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14.xml"/>
  <Override ContentType="application/vnd.openxmlformats-officedocument.drawingml.chart+xml" PartName="/xl/charts/chart15.xml"/>
  <Override ContentType="application/vnd.openxmlformats-officedocument.drawingml.chart+xml" PartName="/xl/charts/chart16.xml"/>
  <Override ContentType="application/vnd.openxmlformats-officedocument.drawingml.chart+xml" PartName="/xl/charts/chart17.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2640" windowWidth="8865" windowHeight="7380" firstSheet="3" activeTab="3"/>
  </bookViews>
  <sheets>
    <sheet name="Estimates" sheetId="5" state="hidden" r:id="rId1"/>
    <sheet name="Q" sheetId="8" state="hidden" r:id="rId2"/>
    <sheet name="Changes" sheetId="24" state="hidden" r:id="rId3"/>
    <sheet name="ImportantDisclosures" sheetId="29" r:id="rId4"/>
    <sheet name="CircularReferenceAlert" sheetId="32" r:id="rId5"/>
    <sheet name="QTS" sheetId="1" r:id="rId6"/>
    <sheet name="MW-Cache" sheetId="15" state="veryHidden" r:id="rId7"/>
    <sheet name="Link" sheetId="9" state="hidden" r:id="rId8"/>
    <sheet name="Valuation" sheetId="4" r:id="rId9"/>
    <sheet name="IndexInformation" sheetId="30" r:id="rId10"/>
    <sheet name="ModPubIndex" sheetId="31" r:id="rId11"/>
    <sheet name="Charts" sheetId="10" state="hidden" r:id="rId12"/>
    <sheet name="Assumptions" sheetId="20" state="hidden"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s>
  <definedNames>
    <definedName name="__FDS_HYPERLINK_TOGGLE_STATE__" hidden="1">"ON"</definedName>
    <definedName name="__FDS_UNIQUE_RANGE_ID_GENERATOR_COUNTER" hidden="1">8</definedName>
    <definedName name="_1__FDSAUDITLINK__" hidden="1">{"fdsup://directions/FAT Viewer?action=UPDATE&amp;creator=factset&amp;DYN_ARGS=TRUE&amp;DOC_NAME=FAT:FQL_AUDITING_CLIENT_TEMPLATE.FAT&amp;display_string=Audit&amp;VAR:KEY=GFKPGNUHGB&amp;VAR:QUERY=RkZfREVCVChBTk4sMCwsLCxVU0Qp&amp;WINDOW=FIRST_POPUP&amp;HEIGHT=450&amp;WIDTH=450&amp;START_MAXIMIZED=","FALSE&amp;VAR:CALENDAR=US&amp;VAR:SYMBOL=B282YM&amp;VAR:INDEX=0"}</definedName>
    <definedName name="_10__FDSAUDITLINK__" hidden="1">{"fdsup://Directions/FactSet Auditing Viewer?action=AUDIT_VALUE&amp;DB=129&amp;ID1=21870Q10&amp;VALUEID=02001&amp;SDATE=201103&amp;PERIODTYPE=QTR_STD&amp;SCFT=3&amp;window=popup_no_bar&amp;width=385&amp;height=120&amp;START_MAXIMIZED=FALSE&amp;creator=factset&amp;display_string=Audit"}</definedName>
    <definedName name="_100__FDSAUDITLINK__" hidden="1">{"fdsup://directions/FAT Viewer?action=UPDATE&amp;creator=factset&amp;DYN_ARGS=TRUE&amp;DOC_NAME=FAT:FQL_AUDITING_CLIENT_TEMPLATE.FAT&amp;display_string=Audit&amp;VAR:KEY=PCRGJOXSDU&amp;VAR:QUERY=RkZfREVCVChRVFIsMCwsLCxVU0Qp&amp;WINDOW=FIRST_POPUP&amp;HEIGHT=450&amp;WIDTH=450&amp;START_MAXIMIZED=","FALSE&amp;VAR:CALENDAR=US&amp;VAR:SYMBOL=INXN&amp;VAR:INDEX=0"}</definedName>
    <definedName name="_10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1552"}</definedName>
    <definedName name="_10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1551"}</definedName>
    <definedName name="_10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1550"}</definedName>
    <definedName name="_10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1549"}</definedName>
    <definedName name="_10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1548"}</definedName>
    <definedName name="_10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1547"}</definedName>
    <definedName name="_10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1546"}</definedName>
    <definedName name="_10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1545"}</definedName>
    <definedName name="_10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1544"}</definedName>
    <definedName name="_10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1543"}</definedName>
    <definedName name="_101__FDSAUDITLINK__" hidden="1">{"fdsup://directions/FAT Viewer?action=UPDATE&amp;creator=factset&amp;DYN_ARGS=TRUE&amp;DOC_NAME=FAT:FQL_AUDITING_CLIENT_TEMPLATE.FAT&amp;display_string=Audit&amp;VAR:KEY=ZAZOHSNGHC&amp;VAR:QUERY=RkZfREVCVChRVFIsMCwsLCxVU0Qp&amp;WINDOW=FIRST_POPUP&amp;HEIGHT=450&amp;WIDTH=450&amp;START_MAXIMIZED=","FALSE&amp;VAR:CALENDAR=US&amp;VAR:SYMBOL=COR&amp;VAR:INDEX=0"}</definedName>
    <definedName name="_10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1542"}</definedName>
    <definedName name="_10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1541"}</definedName>
    <definedName name="_10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1540"}</definedName>
    <definedName name="_10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1539"}</definedName>
    <definedName name="_10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1538"}</definedName>
    <definedName name="_10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1537"}</definedName>
    <definedName name="_10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1536"}</definedName>
    <definedName name="_10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1535"}</definedName>
    <definedName name="_10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1534"}</definedName>
    <definedName name="_10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1533"}</definedName>
    <definedName name="_102__FDSAUDITLINK__" hidden="1">{"fdsup://directions/FAT Viewer?action=UPDATE&amp;creator=factset&amp;DYN_ARGS=TRUE&amp;DOC_NAME=FAT:FQL_AUDITING_CLIENT_TEMPLATE.FAT&amp;display_string=Audit&amp;VAR:KEY=LCRSDAPSXK&amp;VAR:QUERY=RkZfREVCVChBTk4sMCwsLCxVU0Qp&amp;WINDOW=FIRST_POPUP&amp;HEIGHT=450&amp;WIDTH=450&amp;START_MAXIMIZED=","FALSE&amp;VAR:CALENDAR=US&amp;VAR:SYMBOL=B282YM&amp;VAR:INDEX=0"}</definedName>
    <definedName name="_10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1532"}</definedName>
    <definedName name="_10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1531"}</definedName>
    <definedName name="_10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1530"}</definedName>
    <definedName name="_10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1529"}</definedName>
    <definedName name="_10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1528"}</definedName>
    <definedName name="_10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1527"}</definedName>
    <definedName name="_10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1526"}</definedName>
    <definedName name="_10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1525"}</definedName>
    <definedName name="_10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1524"}</definedName>
    <definedName name="_10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1523"}</definedName>
    <definedName name="_103__FDSAUDITLINK__" hidden="1">{"fdsup://directions/FAT Viewer?action=UPDATE&amp;creator=factset&amp;DYN_ARGS=TRUE&amp;DOC_NAME=FAT:FQL_AUDITING_CLIENT_TEMPLATE.FAT&amp;display_string=Audit&amp;VAR:KEY=LCVWFIZGLE&amp;VAR:QUERY=RkZfREVCVChRVFIsMCwsLCxVU0Qp&amp;WINDOW=FIRST_POPUP&amp;HEIGHT=450&amp;WIDTH=450&amp;START_MAXIMIZED=","FALSE&amp;VAR:CALENDAR=US&amp;VAR:SYMBOL=INXN&amp;VAR:INDEX=0"}</definedName>
    <definedName name="_10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1522"}</definedName>
    <definedName name="_10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1521"}</definedName>
    <definedName name="_10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1520"}</definedName>
    <definedName name="_10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1519"}</definedName>
    <definedName name="_10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1518"}</definedName>
    <definedName name="_10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1517"}</definedName>
    <definedName name="_10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1516"}</definedName>
    <definedName name="_10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1515"}</definedName>
    <definedName name="_10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1514"}</definedName>
    <definedName name="_10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1513"}</definedName>
    <definedName name="_104__FDSAUDITLINK__" hidden="1">{"fdsup://directions/FAT Viewer?action=UPDATE&amp;creator=factset&amp;DYN_ARGS=TRUE&amp;DOC_NAME=FAT:FQL_AUDITING_CLIENT_TEMPLATE.FAT&amp;display_string=Audit&amp;VAR:KEY=RGRQDQTWBQ&amp;VAR:QUERY=RkZfREVCVChRVFIsMCwsLCxVU0Qp&amp;WINDOW=FIRST_POPUP&amp;HEIGHT=450&amp;WIDTH=450&amp;START_MAXIMIZED=","FALSE&amp;VAR:CALENDAR=US&amp;VAR:SYMBOL=COR&amp;VAR:INDEX=0"}</definedName>
    <definedName name="_10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1512"}</definedName>
    <definedName name="_10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1511"}</definedName>
    <definedName name="_10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1510"}</definedName>
    <definedName name="_10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1509"}</definedName>
    <definedName name="_10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1508"}</definedName>
    <definedName name="_10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1507"}</definedName>
    <definedName name="_10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1506"}</definedName>
    <definedName name="_10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1505"}</definedName>
    <definedName name="_10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1504"}</definedName>
    <definedName name="_10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1503"}</definedName>
    <definedName name="_105__FDSAUDITLINK__" hidden="1">{"fdsup://directions/FAT Viewer?action=UPDATE&amp;creator=factset&amp;DYN_ARGS=TRUE&amp;DOC_NAME=FAT:FQL_AUDITING_CLIENT_TEMPLATE.FAT&amp;display_string=Audit&amp;VAR:KEY=DUHUPSTUHY&amp;VAR:QUERY=RkZfREVCVChBTk4sMCwsLCxVU0Qp&amp;WINDOW=FIRST_POPUP&amp;HEIGHT=450&amp;WIDTH=450&amp;START_MAXIMIZED=","FALSE&amp;VAR:CALENDAR=US&amp;VAR:SYMBOL=B282YM&amp;VAR:INDEX=0"}</definedName>
    <definedName name="_10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1502"}</definedName>
    <definedName name="_10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1501"}</definedName>
    <definedName name="_10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1500"}</definedName>
    <definedName name="_10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1499"}</definedName>
    <definedName name="_10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1498"}</definedName>
    <definedName name="_10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1497"}</definedName>
    <definedName name="_10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1496"}</definedName>
    <definedName name="_10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1495"}</definedName>
    <definedName name="_10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1494"}</definedName>
    <definedName name="_10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1493"}</definedName>
    <definedName name="_106__FDSAUDITLINK__" hidden="1">{"fdsup://directions/FAT Viewer?action=UPDATE&amp;creator=factset&amp;DYN_ARGS=TRUE&amp;DOC_NAME=FAT:FQL_AUDITING_CLIENT_TEMPLATE.FAT&amp;display_string=Audit&amp;VAR:KEY=VCLOXYTSJK&amp;VAR:QUERY=RkZfREVCVChRVFIsMCwsLCxVU0Qp&amp;WINDOW=FIRST_POPUP&amp;HEIGHT=450&amp;WIDTH=450&amp;START_MAXIMIZED=","FALSE&amp;VAR:CALENDAR=US&amp;VAR:SYMBOL=INXN&amp;VAR:INDEX=0"}</definedName>
    <definedName name="_10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1492"}</definedName>
    <definedName name="_10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1491"}</definedName>
    <definedName name="_10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1490"}</definedName>
    <definedName name="_10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1489"}</definedName>
    <definedName name="_10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1488"}</definedName>
    <definedName name="_10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1487"}</definedName>
    <definedName name="_10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1486"}</definedName>
    <definedName name="_10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1485"}</definedName>
    <definedName name="_10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1484"}</definedName>
    <definedName name="_10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1483"}</definedName>
    <definedName name="_107__FDSAUDITLINK__" hidden="1">{"fdsup://directions/FAT Viewer?action=UPDATE&amp;creator=factset&amp;DYN_ARGS=TRUE&amp;DOC_NAME=FAT:FQL_AUDITING_CLIENT_TEMPLATE.FAT&amp;display_string=Audit&amp;VAR:KEY=BIZEBEDKXG&amp;VAR:QUERY=RkZfREVCVChRVFIsMCwsLCxVU0Qp&amp;WINDOW=FIRST_POPUP&amp;HEIGHT=450&amp;WIDTH=450&amp;START_MAXIMIZED=","FALSE&amp;VAR:CALENDAR=US&amp;VAR:SYMBOL=COR&amp;VAR:INDEX=0"}</definedName>
    <definedName name="_10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1482"}</definedName>
    <definedName name="_10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1481"}</definedName>
    <definedName name="_10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1480"}</definedName>
    <definedName name="_10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1479"}</definedName>
    <definedName name="_10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1478"}</definedName>
    <definedName name="_10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1477"}</definedName>
    <definedName name="_10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1476"}</definedName>
    <definedName name="_10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1475"}</definedName>
    <definedName name="_10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1474"}</definedName>
    <definedName name="_10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1473"}</definedName>
    <definedName name="_108__FDSAUDITLINK__" hidden="1">{"fdsup://directions/FAT Viewer?action=UPDATE&amp;creator=factset&amp;DYN_ARGS=TRUE&amp;DOC_NAME=FAT:FQL_AUDITING_CLIENT_TEMPLATE.FAT&amp;display_string=Audit&amp;VAR:KEY=MZUTQDSTUH&amp;VAR:QUERY=RkZfREVCVChBTk4sMCwsLCxVU0Qp&amp;WINDOW=FIRST_POPUP&amp;HEIGHT=450&amp;WIDTH=450&amp;START_MAXIMIZED=","FALSE&amp;VAR:CALENDAR=US&amp;VAR:SYMBOL=B282YM&amp;VAR:INDEX=0"}</definedName>
    <definedName name="_10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1472"}</definedName>
    <definedName name="_10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1471"}</definedName>
    <definedName name="_10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1470"}</definedName>
    <definedName name="_10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1469"}</definedName>
    <definedName name="_10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1468"}</definedName>
    <definedName name="_10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1467"}</definedName>
    <definedName name="_10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1466"}</definedName>
    <definedName name="_10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1465"}</definedName>
    <definedName name="_10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1464"}</definedName>
    <definedName name="_10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1463"}</definedName>
    <definedName name="_109__FDSAUDITLINK__" hidden="1">{"fdsup://directions/FAT Viewer?action=UPDATE&amp;creator=factset&amp;DYN_ARGS=TRUE&amp;DOC_NAME=FAT:FQL_AUDITING_CLIENT_TEMPLATE.FAT&amp;display_string=Audit&amp;VAR:KEY=SPAPCBEVCB&amp;VAR:QUERY=RkZfREVCVChRVFIsMCwsLCxVU0Qp&amp;WINDOW=FIRST_POPUP&amp;HEIGHT=450&amp;WIDTH=450&amp;START_MAXIMIZED=","FALSE&amp;VAR:CALENDAR=US&amp;VAR:SYMBOL=INXN&amp;VAR:INDEX=0"}</definedName>
    <definedName name="_10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1462"}</definedName>
    <definedName name="_10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1461"}</definedName>
    <definedName name="_10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1460"}</definedName>
    <definedName name="_10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1459"}</definedName>
    <definedName name="_10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1458"}</definedName>
    <definedName name="_10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1457"}</definedName>
    <definedName name="_10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1456"}</definedName>
    <definedName name="_10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1455"}</definedName>
    <definedName name="_10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1454"}</definedName>
    <definedName name="_10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1453"}</definedName>
    <definedName name="_11__FDSAUDITLINK__" hidden="1">{"fdsup://directions/FAT Viewer?action=UPDATE&amp;creator=factset&amp;DYN_ARGS=TRUE&amp;DOC_NAME=FAT:FQL_AUDITING_CLIENT_TEMPLATE.FAT&amp;display_string=Audit&amp;VAR:KEY=QXWNCPGRGJ&amp;VAR:QUERY=RkZfREVCVChRVFIsMCwsLCxVU0Qp&amp;WINDOW=FIRST_POPUP&amp;HEIGHT=450&amp;WIDTH=450&amp;START_MAXIMIZED=","FALSE&amp;VAR:CALENDAR=US&amp;VAR:SYMBOL=COR&amp;VAR:INDEX=0"}</definedName>
    <definedName name="_110__FDSAUDITLINK__" hidden="1">{"fdsup://directions/FAT Viewer?action=UPDATE&amp;creator=factset&amp;DYN_ARGS=TRUE&amp;DOC_NAME=FAT:FQL_AUDITING_CLIENT_TEMPLATE.FAT&amp;display_string=Audit&amp;VAR:KEY=KZAZSRUNWR&amp;VAR:QUERY=RkZfREVCVChRVFIsMCwsLCxVU0Qp&amp;WINDOW=FIRST_POPUP&amp;HEIGHT=450&amp;WIDTH=450&amp;START_MAXIMIZED=","FALSE&amp;VAR:CALENDAR=US&amp;VAR:SYMBOL=COR&amp;VAR:INDEX=0"}</definedName>
    <definedName name="_11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1452"}</definedName>
    <definedName name="_11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1451"}</definedName>
    <definedName name="_11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1450"}</definedName>
    <definedName name="_11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1449"}</definedName>
    <definedName name="_11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1448"}</definedName>
    <definedName name="_11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1447"}</definedName>
    <definedName name="_11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1446"}</definedName>
    <definedName name="_11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1445"}</definedName>
    <definedName name="_11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1444"}</definedName>
    <definedName name="_11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1443"}</definedName>
    <definedName name="_111__FDSAUDITLINK__" hidden="1">{"fdsup://directions/FAT Viewer?action=UPDATE&amp;creator=factset&amp;DYN_ARGS=TRUE&amp;DOC_NAME=FAT:FQL_AUDITING_CLIENT_TEMPLATE.FAT&amp;display_string=Audit&amp;VAR:KEY=GHOZUVMNAH&amp;VAR:QUERY=RkZfREVCVChBTk4sMCwsLCxVU0Qp&amp;WINDOW=FIRST_POPUP&amp;HEIGHT=450&amp;WIDTH=450&amp;START_MAXIMIZED=","FALSE&amp;VAR:CALENDAR=US&amp;VAR:SYMBOL=B282YM&amp;VAR:INDEX=0"}</definedName>
    <definedName name="_11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1442"}</definedName>
    <definedName name="_11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1441"}</definedName>
    <definedName name="_11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1440"}</definedName>
    <definedName name="_11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1439"}</definedName>
    <definedName name="_11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1438"}</definedName>
    <definedName name="_11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1437"}</definedName>
    <definedName name="_11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1436"}</definedName>
    <definedName name="_11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1435"}</definedName>
    <definedName name="_11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1434"}</definedName>
    <definedName name="_11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1433"}</definedName>
    <definedName name="_112__FDSAUDITLINK__" hidden="1">{"fdsup://directions/FAT Viewer?action=UPDATE&amp;creator=factset&amp;DYN_ARGS=TRUE&amp;DOC_NAME=FAT:FQL_AUDITING_CLIENT_TEMPLATE.FAT&amp;display_string=Audit&amp;VAR:KEY=IPWHCVGVSN&amp;VAR:QUERY=RkZfREVCVChRVFIsMCwsLCxVU0Qp&amp;WINDOW=FIRST_POPUP&amp;HEIGHT=450&amp;WIDTH=450&amp;START_MAXIMIZED=","FALSE&amp;VAR:CALENDAR=US&amp;VAR:SYMBOL=INXN&amp;VAR:INDEX=0"}</definedName>
    <definedName name="_11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1432"}</definedName>
    <definedName name="_11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1431"}</definedName>
    <definedName name="_11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1430"}</definedName>
    <definedName name="_11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1429"}</definedName>
    <definedName name="_11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1428"}</definedName>
    <definedName name="_11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1427"}</definedName>
    <definedName name="_11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1426"}</definedName>
    <definedName name="_11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1425"}</definedName>
    <definedName name="_11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1424"}</definedName>
    <definedName name="_11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1423"}</definedName>
    <definedName name="_113__FDSAUDITLINK__" hidden="1">{"fdsup://directions/FAT Viewer?action=UPDATE&amp;creator=factset&amp;DYN_ARGS=TRUE&amp;DOC_NAME=FAT:FQL_AUDITING_CLIENT_TEMPLATE.FAT&amp;display_string=Audit&amp;VAR:KEY=AZCDEZMVMH&amp;VAR:QUERY=RkZfREVCVChRVFIsMCwsLCxVU0Qp&amp;WINDOW=FIRST_POPUP&amp;HEIGHT=450&amp;WIDTH=450&amp;START_MAXIMIZED=","FALSE&amp;VAR:CALENDAR=US&amp;VAR:SYMBOL=COR&amp;VAR:INDEX=0"}</definedName>
    <definedName name="_11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1422"}</definedName>
    <definedName name="_11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1421"}</definedName>
    <definedName name="_11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1420"}</definedName>
    <definedName name="_11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1419"}</definedName>
    <definedName name="_11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1418"}</definedName>
    <definedName name="_11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1417"}</definedName>
    <definedName name="_11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1416"}</definedName>
    <definedName name="_11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1415"}</definedName>
    <definedName name="_11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1414"}</definedName>
    <definedName name="_11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1413"}</definedName>
    <definedName name="_114__FDSAUDITLINK__" hidden="1">{"fdsup://directions/FAT Viewer?action=UPDATE&amp;creator=factset&amp;DYN_ARGS=TRUE&amp;DOC_NAME=FAT:FQL_AUDITING_CLIENT_TEMPLATE.FAT&amp;display_string=Audit&amp;VAR:KEY=TYRQFADMTC&amp;VAR:QUERY=RkZfREVCVChBTk4sMCwsLCxVU0Qp&amp;WINDOW=FIRST_POPUP&amp;HEIGHT=450&amp;WIDTH=450&amp;START_MAXIMIZED=","FALSE&amp;VAR:CALENDAR=US&amp;VAR:SYMBOL=B282YM&amp;VAR:INDEX=0"}</definedName>
    <definedName name="_11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1412"}</definedName>
    <definedName name="_11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1411"}</definedName>
    <definedName name="_11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1410"}</definedName>
    <definedName name="_11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1409"}</definedName>
    <definedName name="_11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1408"}</definedName>
    <definedName name="_11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1407"}</definedName>
    <definedName name="_11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1406"}</definedName>
    <definedName name="_11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1405"}</definedName>
    <definedName name="_11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1404"}</definedName>
    <definedName name="_11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1403"}</definedName>
    <definedName name="_115__FDSAUDITLINK__" hidden="1">{"fdsup://directions/FAT Viewer?action=UPDATE&amp;creator=factset&amp;DYN_ARGS=TRUE&amp;DOC_NAME=FAT:FQL_AUDITING_CLIENT_TEMPLATE.FAT&amp;display_string=Audit&amp;VAR:KEY=LCRQPMTGRA&amp;VAR:QUERY=RkZfREVCVChRVFIsMCwsLCxVU0Qp&amp;WINDOW=FIRST_POPUP&amp;HEIGHT=450&amp;WIDTH=450&amp;START_MAXIMIZED=","FALSE&amp;VAR:CALENDAR=US&amp;VAR:SYMBOL=INXN&amp;VAR:INDEX=0"}</definedName>
    <definedName name="_11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1402"}</definedName>
    <definedName name="_11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1401"}</definedName>
    <definedName name="_11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1400"}</definedName>
    <definedName name="_11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1399"}</definedName>
    <definedName name="_11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1398"}</definedName>
    <definedName name="_11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1397"}</definedName>
    <definedName name="_11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1396"}</definedName>
    <definedName name="_11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1395"}</definedName>
    <definedName name="_11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1394"}</definedName>
    <definedName name="_11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1393"}</definedName>
    <definedName name="_116__FDSAUDITLINK__" hidden="1">{"fdsup://directions/FAT Viewer?action=UPDATE&amp;creator=factset&amp;DYN_ARGS=TRUE&amp;DOC_NAME=FAT:FQL_AUDITING_CLIENT_TEMPLATE.FAT&amp;display_string=Audit&amp;VAR:KEY=DQNEPELGDU&amp;VAR:QUERY=RkZfREVCVChRVFIsMCwsLCxVU0Qp&amp;WINDOW=FIRST_POPUP&amp;HEIGHT=450&amp;WIDTH=450&amp;START_MAXIMIZED=","FALSE&amp;VAR:CALENDAR=US&amp;VAR:SYMBOL=COR&amp;VAR:INDEX=0"}</definedName>
    <definedName name="_11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1392"}</definedName>
    <definedName name="_11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1391"}</definedName>
    <definedName name="_11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1390"}</definedName>
    <definedName name="_11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1389"}</definedName>
    <definedName name="_11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1388"}</definedName>
    <definedName name="_11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1387"}</definedName>
    <definedName name="_11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1386"}</definedName>
    <definedName name="_11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1385"}</definedName>
    <definedName name="_11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1384"}</definedName>
    <definedName name="_11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1383"}</definedName>
    <definedName name="_117__FDSAUDITLINK__" hidden="1">{"fdsup://directions/FAT Viewer?action=UPDATE&amp;creator=factset&amp;DYN_ARGS=TRUE&amp;DOC_NAME=FAT:FQL_AUDITING_CLIENT_TEMPLATE.FAT&amp;display_string=Audit&amp;VAR:KEY=AJIXSLGLMT&amp;VAR:QUERY=RkZfREVCVChBTk4sMCwsLCxVU0Qp&amp;WINDOW=FIRST_POPUP&amp;HEIGHT=450&amp;WIDTH=450&amp;START_MAXIMIZED=","FALSE&amp;VAR:CALENDAR=US&amp;VAR:SYMBOL=B282YM&amp;VAR:INDEX=0"}</definedName>
    <definedName name="_11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1382"}</definedName>
    <definedName name="_11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1381"}</definedName>
    <definedName name="_11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1380"}</definedName>
    <definedName name="_11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1379"}</definedName>
    <definedName name="_11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1378"}</definedName>
    <definedName name="_11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1377"}</definedName>
    <definedName name="_11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1376"}</definedName>
    <definedName name="_11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1375"}</definedName>
    <definedName name="_11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1374"}</definedName>
    <definedName name="_11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1373"}</definedName>
    <definedName name="_118__FDSAUDITLINK__" hidden="1">{"fdsup://directions/FAT Viewer?action=UPDATE&amp;creator=factset&amp;DYN_ARGS=TRUE&amp;DOC_NAME=FAT:FQL_AUDITING_CLIENT_TEMPLATE.FAT&amp;display_string=Audit&amp;VAR:KEY=MTADSVUDKN&amp;VAR:QUERY=RkZfREVCVChRVFIsMCwsLCxVU0Qp&amp;WINDOW=FIRST_POPUP&amp;HEIGHT=450&amp;WIDTH=450&amp;START_MAXIMIZED=","FALSE&amp;VAR:CALENDAR=US&amp;VAR:SYMBOL=INXN&amp;VAR:INDEX=0"}</definedName>
    <definedName name="_11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1372"}</definedName>
    <definedName name="_11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1371"}</definedName>
    <definedName name="_11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1370"}</definedName>
    <definedName name="_11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1369"}</definedName>
    <definedName name="_11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1368"}</definedName>
    <definedName name="_11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1367"}</definedName>
    <definedName name="_11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1366"}</definedName>
    <definedName name="_11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1365"}</definedName>
    <definedName name="_11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1364"}</definedName>
    <definedName name="_11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1363"}</definedName>
    <definedName name="_119__FDSAUDITLINK__" hidden="1">{"fdsup://directions/FAT Viewer?action=UPDATE&amp;creator=factset&amp;DYN_ARGS=TRUE&amp;DOC_NAME=FAT:FQL_AUDITING_CLIENT_TEMPLATE.FAT&amp;display_string=Audit&amp;VAR:KEY=UPUDULOJGZ&amp;VAR:QUERY=RkZfREVCVChRVFIsMCwsLCxVU0Qp&amp;WINDOW=FIRST_POPUP&amp;HEIGHT=450&amp;WIDTH=450&amp;START_MAXIMIZED=","FALSE&amp;VAR:CALENDAR=US&amp;VAR:SYMBOL=COR&amp;VAR:INDEX=0"}</definedName>
    <definedName name="_11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1362"}</definedName>
    <definedName name="_11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1361"}</definedName>
    <definedName name="_11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1360"}</definedName>
    <definedName name="_11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1359"}</definedName>
    <definedName name="_11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1358"}</definedName>
    <definedName name="_11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1357"}</definedName>
    <definedName name="_11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1356"}</definedName>
    <definedName name="_11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1355"}</definedName>
    <definedName name="_11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1354"}</definedName>
    <definedName name="_11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1353"}</definedName>
    <definedName name="_12__FDSAUDITLINK__" hidden="1">{"fdsup://Directions/FactSet Auditing Viewer?action=AUDIT_VALUE&amp;DB=129&amp;ID1=B66QLT&amp;VALUEID=05194&amp;SDATE=201103&amp;PERIODTYPE=QTR_STD&amp;SCFT=3&amp;window=popup_no_bar&amp;width=385&amp;height=120&amp;START_MAXIMIZED=FALSE&amp;creator=factset&amp;display_string=Audit"}</definedName>
    <definedName name="_120__FDSAUDITLINK__" hidden="1">{"fdsup://directions/FAT Viewer?action=UPDATE&amp;creator=factset&amp;DYN_ARGS=TRUE&amp;DOC_NAME=FAT:FQL_AUDITING_CLIENT_TEMPLATE.FAT&amp;display_string=Audit&amp;VAR:KEY=PKPEBABGZG&amp;VAR:QUERY=RkZfREVCVChBTk4sMCwsLCxVU0Qp&amp;WINDOW=FIRST_POPUP&amp;HEIGHT=450&amp;WIDTH=450&amp;START_MAXIMIZED=","FALSE&amp;VAR:CALENDAR=US&amp;VAR:SYMBOL=B282YM&amp;VAR:INDEX=0"}</definedName>
    <definedName name="_12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1352"}</definedName>
    <definedName name="_12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1351"}</definedName>
    <definedName name="_12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1350"}</definedName>
    <definedName name="_12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1349"}</definedName>
    <definedName name="_12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1348"}</definedName>
    <definedName name="_12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1347"}</definedName>
    <definedName name="_12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1346"}</definedName>
    <definedName name="_12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1345"}</definedName>
    <definedName name="_12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1344"}</definedName>
    <definedName name="_12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1343"}</definedName>
    <definedName name="_121__FDSAUDITLINK__" hidden="1">{"fdsup://directions/FAT Viewer?action=UPDATE&amp;creator=factset&amp;DYN_ARGS=TRUE&amp;DOC_NAME=FAT:FQL_AUDITING_CLIENT_TEMPLATE.FAT&amp;display_string=Audit&amp;VAR:KEY=PCRGJOXSDU&amp;VAR:QUERY=RkZfREVCVChRVFIsMCwsLCxVU0Qp&amp;WINDOW=FIRST_POPUP&amp;HEIGHT=450&amp;WIDTH=450&amp;START_MAXIMIZED=","FALSE&amp;VAR:CALENDAR=US&amp;VAR:SYMBOL=INXN&amp;VAR:INDEX=0"}</definedName>
    <definedName name="_12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1342"}</definedName>
    <definedName name="_12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1341"}</definedName>
    <definedName name="_12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1340"}</definedName>
    <definedName name="_12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1339"}</definedName>
    <definedName name="_12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1338"}</definedName>
    <definedName name="_12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1337"}</definedName>
    <definedName name="_12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1336"}</definedName>
    <definedName name="_12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1335"}</definedName>
    <definedName name="_12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1334"}</definedName>
    <definedName name="_12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1333"}</definedName>
    <definedName name="_122__FDSAUDITLINK__" hidden="1">{"fdsup://directions/FAT Viewer?action=UPDATE&amp;creator=factset&amp;DYN_ARGS=TRUE&amp;DOC_NAME=FAT:FQL_AUDITING_CLIENT_TEMPLATE.FAT&amp;display_string=Audit&amp;VAR:KEY=ZAZOHSNGHC&amp;VAR:QUERY=RkZfREVCVChRVFIsMCwsLCxVU0Qp&amp;WINDOW=FIRST_POPUP&amp;HEIGHT=450&amp;WIDTH=450&amp;START_MAXIMIZED=","FALSE&amp;VAR:CALENDAR=US&amp;VAR:SYMBOL=COR&amp;VAR:INDEX=0"}</definedName>
    <definedName name="_12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1332"}</definedName>
    <definedName name="_12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1331"}</definedName>
    <definedName name="_12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1330"}</definedName>
    <definedName name="_12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1329"}</definedName>
    <definedName name="_12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1328"}</definedName>
    <definedName name="_12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1327"}</definedName>
    <definedName name="_12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1326"}</definedName>
    <definedName name="_12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1325"}</definedName>
    <definedName name="_12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1324"}</definedName>
    <definedName name="_12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1323"}</definedName>
    <definedName name="_123__FDSAUDITLINK__" hidden="1">{"fdsup://directions/FAT Viewer?action=UPDATE&amp;creator=factset&amp;DYN_ARGS=TRUE&amp;DOC_NAME=FAT:FQL_AUDITING_CLIENT_TEMPLATE.FAT&amp;display_string=Audit&amp;VAR:KEY=IZEHUDGLEL&amp;VAR:QUERY=RkZfREVCVChBTk4sMCwsLCxVU0Qp&amp;WINDOW=FIRST_POPUP&amp;HEIGHT=450&amp;WIDTH=450&amp;START_MAXIMIZED=","FALSE&amp;VAR:CALENDAR=US&amp;VAR:SYMBOL=B282YM&amp;VAR:INDEX=0"}</definedName>
    <definedName name="_12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1322"}</definedName>
    <definedName name="_12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1321"}</definedName>
    <definedName name="_12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1320"}</definedName>
    <definedName name="_12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1319"}</definedName>
    <definedName name="_12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1318"}</definedName>
    <definedName name="_12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1317"}</definedName>
    <definedName name="_12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1316"}</definedName>
    <definedName name="_12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1315"}</definedName>
    <definedName name="_12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1314"}</definedName>
    <definedName name="_12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1313"}</definedName>
    <definedName name="_124__FDSAUDITLINK__" hidden="1">{"fdsup://directions/FAT Viewer?action=UPDATE&amp;creator=factset&amp;DYN_ARGS=TRUE&amp;DOC_NAME=FAT:FQL_AUDITING_CLIENT_TEMPLATE.FAT&amp;display_string=Audit&amp;VAR:KEY=UBMPQRAVEB&amp;VAR:QUERY=RkZfREVCVChRVFIsMCwsLCxVU0Qp&amp;WINDOW=FIRST_POPUP&amp;HEIGHT=450&amp;WIDTH=450&amp;START_MAXIMIZED=","FALSE&amp;VAR:CALENDAR=US&amp;VAR:SYMBOL=INXN&amp;VAR:INDEX=0"}</definedName>
    <definedName name="_12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1312"}</definedName>
    <definedName name="_12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1311"}</definedName>
    <definedName name="_12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1310"}</definedName>
    <definedName name="_12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1309"}</definedName>
    <definedName name="_12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1308"}</definedName>
    <definedName name="_12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1307"}</definedName>
    <definedName name="_12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1306"}</definedName>
    <definedName name="_12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1305"}</definedName>
    <definedName name="_12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1304"}</definedName>
    <definedName name="_12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1303"}</definedName>
    <definedName name="_125__FDSAUDITLINK__" hidden="1">{"fdsup://directions/FAT Viewer?action=UPDATE&amp;creator=factset&amp;DYN_ARGS=TRUE&amp;DOC_NAME=FAT:FQL_AUDITING_CLIENT_TEMPLATE.FAT&amp;display_string=Audit&amp;VAR:KEY=CXEVWTUBEP&amp;VAR:QUERY=RkZfREVCVChRVFIsMCwsLCxVU0Qp&amp;WINDOW=FIRST_POPUP&amp;HEIGHT=450&amp;WIDTH=450&amp;START_MAXIMIZED=","FALSE&amp;VAR:CALENDAR=US&amp;VAR:SYMBOL=COR&amp;VAR:INDEX=0"}</definedName>
    <definedName name="_12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1302"}</definedName>
    <definedName name="_12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1301"}</definedName>
    <definedName name="_12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1300"}</definedName>
    <definedName name="_12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1299"}</definedName>
    <definedName name="_12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1298"}</definedName>
    <definedName name="_12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1297"}</definedName>
    <definedName name="_12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1296"}</definedName>
    <definedName name="_12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1295"}</definedName>
    <definedName name="_12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1294"}</definedName>
    <definedName name="_12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1293"}</definedName>
    <definedName name="_1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2426"}</definedName>
    <definedName name="_12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1292"}</definedName>
    <definedName name="_12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1291"}</definedName>
    <definedName name="_12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1290"}</definedName>
    <definedName name="_12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1289"}</definedName>
    <definedName name="_12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1288"}</definedName>
    <definedName name="_12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1287"}</definedName>
    <definedName name="_12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1286"}</definedName>
    <definedName name="_12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1285"}</definedName>
    <definedName name="_12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1284"}</definedName>
    <definedName name="_12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1283"}</definedName>
    <definedName name="_1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2425"}</definedName>
    <definedName name="_12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1282"}</definedName>
    <definedName name="_12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1281"}</definedName>
    <definedName name="_12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1280"}</definedName>
    <definedName name="_12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1279"}</definedName>
    <definedName name="_12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1278"}</definedName>
    <definedName name="_12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1277"}</definedName>
    <definedName name="_12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1276"}</definedName>
    <definedName name="_12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1275"}</definedName>
    <definedName name="_12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1274"}</definedName>
    <definedName name="_12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1273"}</definedName>
    <definedName name="_1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2424"}</definedName>
    <definedName name="_12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1272"}</definedName>
    <definedName name="_12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1271"}</definedName>
    <definedName name="_12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1270"}</definedName>
    <definedName name="_12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1269"}</definedName>
    <definedName name="_12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1268"}</definedName>
    <definedName name="_12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1267"}</definedName>
    <definedName name="_12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1266"}</definedName>
    <definedName name="_12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1265"}</definedName>
    <definedName name="_12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1264"}</definedName>
    <definedName name="_12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1263"}</definedName>
    <definedName name="_1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2423"}</definedName>
    <definedName name="_12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1262"}</definedName>
    <definedName name="_12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1261"}</definedName>
    <definedName name="_12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1260"}</definedName>
    <definedName name="_12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1259"}</definedName>
    <definedName name="_12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1258"}</definedName>
    <definedName name="_12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1257"}</definedName>
    <definedName name="_12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1256"}</definedName>
    <definedName name="_12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1255"}</definedName>
    <definedName name="_12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1254"}</definedName>
    <definedName name="_12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1253"}</definedName>
    <definedName name="_13__FDSAUDITLINK__" hidden="1">{"fdsup://Directions/FactSet Auditing Viewer?action=AUDIT_VALUE&amp;DB=129&amp;ID1=B66QLT&amp;VALUEID=05194&amp;SDATE=201103&amp;PERIODTYPE=QTR_STD&amp;SCFT=3&amp;window=popup_no_bar&amp;width=385&amp;height=120&amp;START_MAXIMIZED=FALSE&amp;creator=factset&amp;display_string=Audit"}</definedName>
    <definedName name="_1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2422"}</definedName>
    <definedName name="_13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1252"}</definedName>
    <definedName name="_13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1251"}</definedName>
    <definedName name="_13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1250"}</definedName>
    <definedName name="_13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1249"}</definedName>
    <definedName name="_13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1248"}</definedName>
    <definedName name="_13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1247"}</definedName>
    <definedName name="_13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1246"}</definedName>
    <definedName name="_13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1245"}</definedName>
    <definedName name="_13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1244"}</definedName>
    <definedName name="_13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1243"}</definedName>
    <definedName name="_1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2421"}</definedName>
    <definedName name="_13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1242"}</definedName>
    <definedName name="_13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1241"}</definedName>
    <definedName name="_13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1240"}</definedName>
    <definedName name="_13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1239"}</definedName>
    <definedName name="_13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1238"}</definedName>
    <definedName name="_13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1237"}</definedName>
    <definedName name="_13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1236"}</definedName>
    <definedName name="_13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1235"}</definedName>
    <definedName name="_13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1234"}</definedName>
    <definedName name="_13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1233"}</definedName>
    <definedName name="_1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2420"}</definedName>
    <definedName name="_13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1232"}</definedName>
    <definedName name="_13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1231"}</definedName>
    <definedName name="_13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1230"}</definedName>
    <definedName name="_13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1229"}</definedName>
    <definedName name="_13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1228"}</definedName>
    <definedName name="_13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1227"}</definedName>
    <definedName name="_13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1226"}</definedName>
    <definedName name="_13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1225"}</definedName>
    <definedName name="_13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1224"}</definedName>
    <definedName name="_13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1223"}</definedName>
    <definedName name="_1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2419"}</definedName>
    <definedName name="_13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1222"}</definedName>
    <definedName name="_13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1221"}</definedName>
    <definedName name="_13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1220"}</definedName>
    <definedName name="_13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1219"}</definedName>
    <definedName name="_13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1218"}</definedName>
    <definedName name="_13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1217"}</definedName>
    <definedName name="_13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1216"}</definedName>
    <definedName name="_13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1215"}</definedName>
    <definedName name="_13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1214"}</definedName>
    <definedName name="_13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1213"}</definedName>
    <definedName name="_1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2418"}</definedName>
    <definedName name="_13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1212"}</definedName>
    <definedName name="_13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1211"}</definedName>
    <definedName name="_13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1210"}</definedName>
    <definedName name="_13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1209"}</definedName>
    <definedName name="_13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1208"}</definedName>
    <definedName name="_13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1207"}</definedName>
    <definedName name="_13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1206"}</definedName>
    <definedName name="_13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1205"}</definedName>
    <definedName name="_13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1204"}</definedName>
    <definedName name="_13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1203"}</definedName>
    <definedName name="_1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2417"}</definedName>
    <definedName name="_13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1202"}</definedName>
    <definedName name="_13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1201"}</definedName>
    <definedName name="_13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1200"}</definedName>
    <definedName name="_13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1199"}</definedName>
    <definedName name="_13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1198"}</definedName>
    <definedName name="_13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1197"}</definedName>
    <definedName name="_13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1196"}</definedName>
    <definedName name="_13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1195"}</definedName>
    <definedName name="_13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1194"}</definedName>
    <definedName name="_13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1193"}</definedName>
    <definedName name="_1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2416"}</definedName>
    <definedName name="_13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1192"}</definedName>
    <definedName name="_13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1191"}</definedName>
    <definedName name="_13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1190"}</definedName>
    <definedName name="_13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1189"}</definedName>
    <definedName name="_13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1188"}</definedName>
    <definedName name="_13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1187"}</definedName>
    <definedName name="_13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1186"}</definedName>
    <definedName name="_13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1185"}</definedName>
    <definedName name="_13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1184"}</definedName>
    <definedName name="_13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1183"}</definedName>
    <definedName name="_1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2415"}</definedName>
    <definedName name="_13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1182"}</definedName>
    <definedName name="_13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1181"}</definedName>
    <definedName name="_13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1180"}</definedName>
    <definedName name="_13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1179"}</definedName>
    <definedName name="_13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1178"}</definedName>
    <definedName name="_13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1177"}</definedName>
    <definedName name="_13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1176"}</definedName>
    <definedName name="_13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1175"}</definedName>
    <definedName name="_13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1174"}</definedName>
    <definedName name="_13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1173"}</definedName>
    <definedName name="_1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2414"}</definedName>
    <definedName name="_13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1172"}</definedName>
    <definedName name="_13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1171"}</definedName>
    <definedName name="_13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1170"}</definedName>
    <definedName name="_13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1169"}</definedName>
    <definedName name="_13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1168"}</definedName>
    <definedName name="_13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1167"}</definedName>
    <definedName name="_13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1166"}</definedName>
    <definedName name="_13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1165"}</definedName>
    <definedName name="_13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1164"}</definedName>
    <definedName name="_13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1163"}</definedName>
    <definedName name="_1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2413"}</definedName>
    <definedName name="_13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1162"}</definedName>
    <definedName name="_13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1161"}</definedName>
    <definedName name="_13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1160"}</definedName>
    <definedName name="_13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1159"}</definedName>
    <definedName name="_13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1158"}</definedName>
    <definedName name="_13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1157"}</definedName>
    <definedName name="_13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1156"}</definedName>
    <definedName name="_13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1155"}</definedName>
    <definedName name="_13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1154"}</definedName>
    <definedName name="_13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1153"}</definedName>
    <definedName name="_14__FDSAUDITLINK__" hidden="1">{"fdsup://Directions/FactSet Auditing Viewer?action=AUDIT_VALUE&amp;DB=129&amp;ID1=B282YM&amp;VALUEID=02001&amp;SDATE=2010&amp;PERIODTYPE=ANN_STD&amp;SCFT=3&amp;window=popup_no_bar&amp;width=385&amp;height=120&amp;START_MAXIMIZED=FALSE&amp;creator=factset&amp;display_string=Audit"}</definedName>
    <definedName name="_1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2412"}</definedName>
    <definedName name="_14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1152"}</definedName>
    <definedName name="_14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1151"}</definedName>
    <definedName name="_14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1150"}</definedName>
    <definedName name="_14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1149"}</definedName>
    <definedName name="_14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1148"}</definedName>
    <definedName name="_14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1147"}</definedName>
    <definedName name="_14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1146"}</definedName>
    <definedName name="_14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1145"}</definedName>
    <definedName name="_14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1144"}</definedName>
    <definedName name="_14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1143"}</definedName>
    <definedName name="_1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2411"}</definedName>
    <definedName name="_14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1142"}</definedName>
    <definedName name="_14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1141"}</definedName>
    <definedName name="_14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1140"}</definedName>
    <definedName name="_14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1139"}</definedName>
    <definedName name="_14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1138"}</definedName>
    <definedName name="_14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1137"}</definedName>
    <definedName name="_14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1136"}</definedName>
    <definedName name="_14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1135"}</definedName>
    <definedName name="_14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1134"}</definedName>
    <definedName name="_14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1133"}</definedName>
    <definedName name="_1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2410"}</definedName>
    <definedName name="_14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1132"}</definedName>
    <definedName name="_14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1131"}</definedName>
    <definedName name="_14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1130"}</definedName>
    <definedName name="_14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1129"}</definedName>
    <definedName name="_14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1128"}</definedName>
    <definedName name="_14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1127"}</definedName>
    <definedName name="_14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1126"}</definedName>
    <definedName name="_14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1125"}</definedName>
    <definedName name="_14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1124"}</definedName>
    <definedName name="_14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1123"}</definedName>
    <definedName name="_1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2409"}</definedName>
    <definedName name="_14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1122"}</definedName>
    <definedName name="_14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1121"}</definedName>
    <definedName name="_14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1120"}</definedName>
    <definedName name="_14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1119"}</definedName>
    <definedName name="_14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1118"}</definedName>
    <definedName name="_14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1117"}</definedName>
    <definedName name="_14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1116"}</definedName>
    <definedName name="_14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1115"}</definedName>
    <definedName name="_14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1114"}</definedName>
    <definedName name="_14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1113"}</definedName>
    <definedName name="_1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2408"}</definedName>
    <definedName name="_14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1112"}</definedName>
    <definedName name="_14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1111"}</definedName>
    <definedName name="_14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1110"}</definedName>
    <definedName name="_14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1109"}</definedName>
    <definedName name="_14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1108"}</definedName>
    <definedName name="_14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1107"}</definedName>
    <definedName name="_14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1106"}</definedName>
    <definedName name="_14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1105"}</definedName>
    <definedName name="_14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1104"}</definedName>
    <definedName name="_14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1103"}</definedName>
    <definedName name="_1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2407"}</definedName>
    <definedName name="_14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1102"}</definedName>
    <definedName name="_14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1101"}</definedName>
    <definedName name="_14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1100"}</definedName>
    <definedName name="_14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1099"}</definedName>
    <definedName name="_14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1098"}</definedName>
    <definedName name="_14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1097"}</definedName>
    <definedName name="_14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1096"}</definedName>
    <definedName name="_14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1095"}</definedName>
    <definedName name="_14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1094"}</definedName>
    <definedName name="_14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1093"}</definedName>
    <definedName name="_1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2406"}</definedName>
    <definedName name="_14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1092"}</definedName>
    <definedName name="_14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1091"}</definedName>
    <definedName name="_14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1090"}</definedName>
    <definedName name="_14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1089"}</definedName>
    <definedName name="_14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1088"}</definedName>
    <definedName name="_14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1087"}</definedName>
    <definedName name="_14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1086"}</definedName>
    <definedName name="_14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1085"}</definedName>
    <definedName name="_14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1084"}</definedName>
    <definedName name="_14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1083"}</definedName>
    <definedName name="_1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2405"}</definedName>
    <definedName name="_14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1082"}</definedName>
    <definedName name="_14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1081"}</definedName>
    <definedName name="_14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1080"}</definedName>
    <definedName name="_14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1079"}</definedName>
    <definedName name="_14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1078"}</definedName>
    <definedName name="_14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1077"}</definedName>
    <definedName name="_14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1076"}</definedName>
    <definedName name="_14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1075"}</definedName>
    <definedName name="_14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1074"}</definedName>
    <definedName name="_14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1073"}</definedName>
    <definedName name="_1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2404"}</definedName>
    <definedName name="_14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1072"}</definedName>
    <definedName name="_14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1071"}</definedName>
    <definedName name="_14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1070"}</definedName>
    <definedName name="_14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1069"}</definedName>
    <definedName name="_14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1068"}</definedName>
    <definedName name="_14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1067"}</definedName>
    <definedName name="_14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1066"}</definedName>
    <definedName name="_14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1065"}</definedName>
    <definedName name="_14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1064"}</definedName>
    <definedName name="_14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1063"}</definedName>
    <definedName name="_1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2403"}</definedName>
    <definedName name="_14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1062"}</definedName>
    <definedName name="_14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1061"}</definedName>
    <definedName name="_14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1060"}</definedName>
    <definedName name="_14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1059"}</definedName>
    <definedName name="_14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1058"}</definedName>
    <definedName name="_14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1057"}</definedName>
    <definedName name="_14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1056"}</definedName>
    <definedName name="_14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1055"}</definedName>
    <definedName name="_14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1054"}</definedName>
    <definedName name="_14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1053"}</definedName>
    <definedName name="_15__FDSAUDITLINK__" hidden="1">{"fdsup://Directions/FactSet Auditing Viewer?action=AUDIT_VALUE&amp;DB=129&amp;ID1=B282YM&amp;VALUEID=05194&amp;SDATE=2010&amp;PERIODTYPE=ANN_STD&amp;SCFT=3&amp;window=popup_no_bar&amp;width=385&amp;height=120&amp;START_MAXIMIZED=FALSE&amp;creator=factset&amp;display_string=Audit"}</definedName>
    <definedName name="_1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2402"}</definedName>
    <definedName name="_15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1052"}</definedName>
    <definedName name="_15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1051"}</definedName>
    <definedName name="_15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1050"}</definedName>
    <definedName name="_15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1049"}</definedName>
    <definedName name="_15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1048"}</definedName>
    <definedName name="_15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1047"}</definedName>
    <definedName name="_15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1046"}</definedName>
    <definedName name="_15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1045"}</definedName>
    <definedName name="_15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1044"}</definedName>
    <definedName name="_15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1043"}</definedName>
    <definedName name="_1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2401"}</definedName>
    <definedName name="_15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1042"}</definedName>
    <definedName name="_15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1041"}</definedName>
    <definedName name="_15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1040"}</definedName>
    <definedName name="_15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1039"}</definedName>
    <definedName name="_15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1038"}</definedName>
    <definedName name="_15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1037"}</definedName>
    <definedName name="_15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1036"}</definedName>
    <definedName name="_15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1035"}</definedName>
    <definedName name="_15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1034"}</definedName>
    <definedName name="_15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1033"}</definedName>
    <definedName name="_1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2400"}</definedName>
    <definedName name="_15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1032"}</definedName>
    <definedName name="_15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1031"}</definedName>
    <definedName name="_15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1030"}</definedName>
    <definedName name="_15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1029"}</definedName>
    <definedName name="_15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1028"}</definedName>
    <definedName name="_15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1027"}</definedName>
    <definedName name="_15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1026"}</definedName>
    <definedName name="_15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1025"}</definedName>
    <definedName name="_15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1024"}</definedName>
    <definedName name="_15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1023"}</definedName>
    <definedName name="_1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2399"}</definedName>
    <definedName name="_15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1022"}</definedName>
    <definedName name="_15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1021"}</definedName>
    <definedName name="_15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1020"}</definedName>
    <definedName name="_15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1019"}</definedName>
    <definedName name="_15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1018"}</definedName>
    <definedName name="_15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1017"}</definedName>
    <definedName name="_15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1016"}</definedName>
    <definedName name="_15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1015"}</definedName>
    <definedName name="_15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1014"}</definedName>
    <definedName name="_15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1013"}</definedName>
    <definedName name="_1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2398"}</definedName>
    <definedName name="_15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1012"}</definedName>
    <definedName name="_15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1011"}</definedName>
    <definedName name="_15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1010"}</definedName>
    <definedName name="_15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1009"}</definedName>
    <definedName name="_15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1008"}</definedName>
    <definedName name="_15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1007"}</definedName>
    <definedName name="_15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1006"}</definedName>
    <definedName name="_15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1005"}</definedName>
    <definedName name="_15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1004"}</definedName>
    <definedName name="_15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1003"}</definedName>
    <definedName name="_1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2397"}</definedName>
    <definedName name="_15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1002"}</definedName>
    <definedName name="_15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1001"}</definedName>
    <definedName name="_15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1000"}</definedName>
    <definedName name="_15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999"}</definedName>
    <definedName name="_15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998"}</definedName>
    <definedName name="_15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997"}</definedName>
    <definedName name="_15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996"}</definedName>
    <definedName name="_15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995"}</definedName>
    <definedName name="_15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994"}</definedName>
    <definedName name="_15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993"}</definedName>
    <definedName name="_1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2396"}</definedName>
    <definedName name="_15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992"}</definedName>
    <definedName name="_15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991"}</definedName>
    <definedName name="_15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990"}</definedName>
    <definedName name="_15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989"}</definedName>
    <definedName name="_15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988"}</definedName>
    <definedName name="_15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987"}</definedName>
    <definedName name="_15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986"}</definedName>
    <definedName name="_15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985"}</definedName>
    <definedName name="_15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984"}</definedName>
    <definedName name="_15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983"}</definedName>
    <definedName name="_1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2395"}</definedName>
    <definedName name="_15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982"}</definedName>
    <definedName name="_15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981"}</definedName>
    <definedName name="_15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980"}</definedName>
    <definedName name="_15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979"}</definedName>
    <definedName name="_15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978"}</definedName>
    <definedName name="_15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977"}</definedName>
    <definedName name="_15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976"}</definedName>
    <definedName name="_15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975"}</definedName>
    <definedName name="_15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974"}</definedName>
    <definedName name="_15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973"}</definedName>
    <definedName name="_1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2394"}</definedName>
    <definedName name="_15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972"}</definedName>
    <definedName name="_15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971"}</definedName>
    <definedName name="_15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970"}</definedName>
    <definedName name="_15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969"}</definedName>
    <definedName name="_15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968"}</definedName>
    <definedName name="_15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967"}</definedName>
    <definedName name="_15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966"}</definedName>
    <definedName name="_15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965"}</definedName>
    <definedName name="_15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964"}</definedName>
    <definedName name="_15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963"}</definedName>
    <definedName name="_1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2393"}</definedName>
    <definedName name="_15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962"}</definedName>
    <definedName name="_15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961"}</definedName>
    <definedName name="_15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960"}</definedName>
    <definedName name="_15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959"}</definedName>
    <definedName name="_15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958"}</definedName>
    <definedName name="_15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957"}</definedName>
    <definedName name="_15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956"}</definedName>
    <definedName name="_15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955"}</definedName>
    <definedName name="_15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954"}</definedName>
    <definedName name="_15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953"}</definedName>
    <definedName name="_16__FDSAUDITLINK__" hidden="1">{"fdsup://Directions/FactSet Auditing Viewer?action=AUDIT_VALUE&amp;DB=129&amp;ID1=B282YM&amp;VALUEID=02001&amp;SDATE=2010&amp;PERIODTYPE=ANN_STD&amp;SCFT=3&amp;window=popup_no_bar&amp;width=385&amp;height=120&amp;START_MAXIMIZED=FALSE&amp;creator=factset&amp;display_string=Audit"}</definedName>
    <definedName name="_1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2392"}</definedName>
    <definedName name="_16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952"}</definedName>
    <definedName name="_16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951"}</definedName>
    <definedName name="_16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950"}</definedName>
    <definedName name="_16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949"}</definedName>
    <definedName name="_16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948"}</definedName>
    <definedName name="_16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947"}</definedName>
    <definedName name="_16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946"}</definedName>
    <definedName name="_16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945"}</definedName>
    <definedName name="_16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944"}</definedName>
    <definedName name="_16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943"}</definedName>
    <definedName name="_1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2391"}</definedName>
    <definedName name="_16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942"}</definedName>
    <definedName name="_16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941"}</definedName>
    <definedName name="_16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940"}</definedName>
    <definedName name="_16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939"}</definedName>
    <definedName name="_16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938"}</definedName>
    <definedName name="_16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937"}</definedName>
    <definedName name="_16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936"}</definedName>
    <definedName name="_16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935"}</definedName>
    <definedName name="_16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934"}</definedName>
    <definedName name="_16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933"}</definedName>
    <definedName name="_1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2390"}</definedName>
    <definedName name="_16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932"}</definedName>
    <definedName name="_16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931"}</definedName>
    <definedName name="_16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930"}</definedName>
    <definedName name="_16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929"}</definedName>
    <definedName name="_16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928"}</definedName>
    <definedName name="_16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927"}</definedName>
    <definedName name="_16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926"}</definedName>
    <definedName name="_16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925"}</definedName>
    <definedName name="_16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924"}</definedName>
    <definedName name="_16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923"}</definedName>
    <definedName name="_1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2389"}</definedName>
    <definedName name="_16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922"}</definedName>
    <definedName name="_16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921"}</definedName>
    <definedName name="_16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920"}</definedName>
    <definedName name="_16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919"}</definedName>
    <definedName name="_16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918"}</definedName>
    <definedName name="_16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917"}</definedName>
    <definedName name="_16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916"}</definedName>
    <definedName name="_16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915"}</definedName>
    <definedName name="_16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914"}</definedName>
    <definedName name="_16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913"}</definedName>
    <definedName name="_1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2388"}</definedName>
    <definedName name="_16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912"}</definedName>
    <definedName name="_16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911"}</definedName>
    <definedName name="_16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910"}</definedName>
    <definedName name="_16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909"}</definedName>
    <definedName name="_16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908"}</definedName>
    <definedName name="_16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907"}</definedName>
    <definedName name="_16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906"}</definedName>
    <definedName name="_16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905"}</definedName>
    <definedName name="_16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904"}</definedName>
    <definedName name="_16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903"}</definedName>
    <definedName name="_1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2387"}</definedName>
    <definedName name="_16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902"}</definedName>
    <definedName name="_16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901"}</definedName>
    <definedName name="_16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900"}</definedName>
    <definedName name="_16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899"}</definedName>
    <definedName name="_16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898"}</definedName>
    <definedName name="_16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897"}</definedName>
    <definedName name="_16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896"}</definedName>
    <definedName name="_16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895"}</definedName>
    <definedName name="_16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894"}</definedName>
    <definedName name="_16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893"}</definedName>
    <definedName name="_1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2386"}</definedName>
    <definedName name="_16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892"}</definedName>
    <definedName name="_16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891"}</definedName>
    <definedName name="_16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890"}</definedName>
    <definedName name="_16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889"}</definedName>
    <definedName name="_16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888"}</definedName>
    <definedName name="_16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887"}</definedName>
    <definedName name="_16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886"}</definedName>
    <definedName name="_16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885"}</definedName>
    <definedName name="_16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884"}</definedName>
    <definedName name="_16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883"}</definedName>
    <definedName name="_1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2385"}</definedName>
    <definedName name="_16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882"}</definedName>
    <definedName name="_16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881"}</definedName>
    <definedName name="_16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880"}</definedName>
    <definedName name="_16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879"}</definedName>
    <definedName name="_16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878"}</definedName>
    <definedName name="_16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877"}</definedName>
    <definedName name="_16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876"}</definedName>
    <definedName name="_16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875"}</definedName>
    <definedName name="_16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874"}</definedName>
    <definedName name="_16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873"}</definedName>
    <definedName name="_1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2384"}</definedName>
    <definedName name="_16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872"}</definedName>
    <definedName name="_16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871"}</definedName>
    <definedName name="_16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870"}</definedName>
    <definedName name="_16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869"}</definedName>
    <definedName name="_16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868"}</definedName>
    <definedName name="_16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867"}</definedName>
    <definedName name="_16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866"}</definedName>
    <definedName name="_16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865"}</definedName>
    <definedName name="_16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864"}</definedName>
    <definedName name="_16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863"}</definedName>
    <definedName name="_1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2383"}</definedName>
    <definedName name="_16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862"}</definedName>
    <definedName name="_16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861"}</definedName>
    <definedName name="_16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860"}</definedName>
    <definedName name="_16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859"}</definedName>
    <definedName name="_16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858"}</definedName>
    <definedName name="_16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857"}</definedName>
    <definedName name="_16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856"}</definedName>
    <definedName name="_16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855"}</definedName>
    <definedName name="_16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854"}</definedName>
    <definedName name="_16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853"}</definedName>
    <definedName name="_17__FDSAUDITLINK__" hidden="1">{"fdsup://Directions/FactSet Auditing Viewer?action=AUDIT_VALUE&amp;DB=129&amp;ID1=21870Q10&amp;VALUEID=05194&amp;SDATE=201103&amp;PERIODTYPE=QTR_STD&amp;SCFT=3&amp;window=popup_no_bar&amp;width=385&amp;height=120&amp;START_MAXIMIZED=FALSE&amp;creator=factset&amp;display_string=Audit"}</definedName>
    <definedName name="_1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2382"}</definedName>
    <definedName name="_17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852"}</definedName>
    <definedName name="_17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851"}</definedName>
    <definedName name="_17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850"}</definedName>
    <definedName name="_17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849"}</definedName>
    <definedName name="_17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848"}</definedName>
    <definedName name="_17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847"}</definedName>
    <definedName name="_17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846"}</definedName>
    <definedName name="_17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845"}</definedName>
    <definedName name="_17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844"}</definedName>
    <definedName name="_17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843"}</definedName>
    <definedName name="_1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2381"}</definedName>
    <definedName name="_17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842"}</definedName>
    <definedName name="_17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841"}</definedName>
    <definedName name="_17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840"}</definedName>
    <definedName name="_17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839"}</definedName>
    <definedName name="_17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838"}</definedName>
    <definedName name="_17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837"}</definedName>
    <definedName name="_17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836"}</definedName>
    <definedName name="_17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835"}</definedName>
    <definedName name="_17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834"}</definedName>
    <definedName name="_17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833"}</definedName>
    <definedName name="_1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2380"}</definedName>
    <definedName name="_17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832"}</definedName>
    <definedName name="_17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831"}</definedName>
    <definedName name="_17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830"}</definedName>
    <definedName name="_17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829"}</definedName>
    <definedName name="_17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828"}</definedName>
    <definedName name="_17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827"}</definedName>
    <definedName name="_17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826"}</definedName>
    <definedName name="_17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825"}</definedName>
    <definedName name="_17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824"}</definedName>
    <definedName name="_17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823"}</definedName>
    <definedName name="_1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2379"}</definedName>
    <definedName name="_17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822"}</definedName>
    <definedName name="_17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821"}</definedName>
    <definedName name="_17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820"}</definedName>
    <definedName name="_17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819"}</definedName>
    <definedName name="_17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818"}</definedName>
    <definedName name="_17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817"}</definedName>
    <definedName name="_17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816"}</definedName>
    <definedName name="_17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815"}</definedName>
    <definedName name="_17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814"}</definedName>
    <definedName name="_17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813"}</definedName>
    <definedName name="_1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2378"}</definedName>
    <definedName name="_17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812"}</definedName>
    <definedName name="_17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811"}</definedName>
    <definedName name="_17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810"}</definedName>
    <definedName name="_17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809"}</definedName>
    <definedName name="_17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808"}</definedName>
    <definedName name="_17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807"}</definedName>
    <definedName name="_17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806"}</definedName>
    <definedName name="_17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805"}</definedName>
    <definedName name="_17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804"}</definedName>
    <definedName name="_17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803"}</definedName>
    <definedName name="_1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2377"}</definedName>
    <definedName name="_17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802"}</definedName>
    <definedName name="_17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801"}</definedName>
    <definedName name="_17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800"}</definedName>
    <definedName name="_17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799"}</definedName>
    <definedName name="_17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798"}</definedName>
    <definedName name="_17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797"}</definedName>
    <definedName name="_17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796"}</definedName>
    <definedName name="_17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795"}</definedName>
    <definedName name="_17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794"}</definedName>
    <definedName name="_17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793"}</definedName>
    <definedName name="_1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2376"}</definedName>
    <definedName name="_17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792"}</definedName>
    <definedName name="_17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791"}</definedName>
    <definedName name="_17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790"}</definedName>
    <definedName name="_17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789"}</definedName>
    <definedName name="_17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788"}</definedName>
    <definedName name="_17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787"}</definedName>
    <definedName name="_17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786"}</definedName>
    <definedName name="_17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785"}</definedName>
    <definedName name="_17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784"}</definedName>
    <definedName name="_17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783"}</definedName>
    <definedName name="_1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2375"}</definedName>
    <definedName name="_17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782"}</definedName>
    <definedName name="_17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781"}</definedName>
    <definedName name="_17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780"}</definedName>
    <definedName name="_17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779"}</definedName>
    <definedName name="_17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778"}</definedName>
    <definedName name="_17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777"}</definedName>
    <definedName name="_17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776"}</definedName>
    <definedName name="_17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775"}</definedName>
    <definedName name="_17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774"}</definedName>
    <definedName name="_17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773"}</definedName>
    <definedName name="_1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2374"}</definedName>
    <definedName name="_17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772"}</definedName>
    <definedName name="_17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771"}</definedName>
    <definedName name="_17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770"}</definedName>
    <definedName name="_17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769"}</definedName>
    <definedName name="_17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768"}</definedName>
    <definedName name="_17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767"}</definedName>
    <definedName name="_17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766"}</definedName>
    <definedName name="_17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765"}</definedName>
    <definedName name="_17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764"}</definedName>
    <definedName name="_17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763"}</definedName>
    <definedName name="_1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2373"}</definedName>
    <definedName name="_17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762"}</definedName>
    <definedName name="_17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761"}</definedName>
    <definedName name="_17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760"}</definedName>
    <definedName name="_17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759"}</definedName>
    <definedName name="_17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758"}</definedName>
    <definedName name="_17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757"}</definedName>
    <definedName name="_17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756"}</definedName>
    <definedName name="_17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755"}</definedName>
    <definedName name="_17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754"}</definedName>
    <definedName name="_17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753"}</definedName>
    <definedName name="_18__FDSAUDITLINK__" hidden="1">{"fdsup://Directions/FactSet Auditing Viewer?action=AUDIT_VALUE&amp;DB=129&amp;ID1=B282YM&amp;VALUEID=02001&amp;SDATE=2010&amp;PERIODTYPE=ANN_STD&amp;SCFT=3&amp;window=popup_no_bar&amp;width=385&amp;height=120&amp;START_MAXIMIZED=FALSE&amp;creator=factset&amp;display_string=Audit"}</definedName>
    <definedName name="_1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2372"}</definedName>
    <definedName name="_18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752"}</definedName>
    <definedName name="_18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751"}</definedName>
    <definedName name="_18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750"}</definedName>
    <definedName name="_18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749"}</definedName>
    <definedName name="_18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748"}</definedName>
    <definedName name="_18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747"}</definedName>
    <definedName name="_18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746"}</definedName>
    <definedName name="_18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745"}</definedName>
    <definedName name="_18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744"}</definedName>
    <definedName name="_18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743"}</definedName>
    <definedName name="_1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2371"}</definedName>
    <definedName name="_18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742"}</definedName>
    <definedName name="_18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741"}</definedName>
    <definedName name="_18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740"}</definedName>
    <definedName name="_18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739"}</definedName>
    <definedName name="_18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738"}</definedName>
    <definedName name="_18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737"}</definedName>
    <definedName name="_18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736"}</definedName>
    <definedName name="_18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735"}</definedName>
    <definedName name="_18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734"}</definedName>
    <definedName name="_18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733"}</definedName>
    <definedName name="_1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2370"}</definedName>
    <definedName name="_18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732"}</definedName>
    <definedName name="_18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731"}</definedName>
    <definedName name="_18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730"}</definedName>
    <definedName name="_18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729"}</definedName>
    <definedName name="_18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728"}</definedName>
    <definedName name="_18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727"}</definedName>
    <definedName name="_18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726"}</definedName>
    <definedName name="_18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725"}</definedName>
    <definedName name="_18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724"}</definedName>
    <definedName name="_18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723"}</definedName>
    <definedName name="_1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2369"}</definedName>
    <definedName name="_18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722"}</definedName>
    <definedName name="_18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721"}</definedName>
    <definedName name="_18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720"}</definedName>
    <definedName name="_18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719"}</definedName>
    <definedName name="_18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718"}</definedName>
    <definedName name="_18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717"}</definedName>
    <definedName name="_18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716"}</definedName>
    <definedName name="_18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715"}</definedName>
    <definedName name="_18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714"}</definedName>
    <definedName name="_18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713"}</definedName>
    <definedName name="_1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2368"}</definedName>
    <definedName name="_18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712"}</definedName>
    <definedName name="_18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711"}</definedName>
    <definedName name="_18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710"}</definedName>
    <definedName name="_18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709"}</definedName>
    <definedName name="_18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708"}</definedName>
    <definedName name="_18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707"}</definedName>
    <definedName name="_18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706"}</definedName>
    <definedName name="_18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705"}</definedName>
    <definedName name="_18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704"}</definedName>
    <definedName name="_18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703"}</definedName>
    <definedName name="_1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2367"}</definedName>
    <definedName name="_18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702"}</definedName>
    <definedName name="_18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701"}</definedName>
    <definedName name="_18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700"}</definedName>
    <definedName name="_18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699"}</definedName>
    <definedName name="_18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698"}</definedName>
    <definedName name="_18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697"}</definedName>
    <definedName name="_18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696"}</definedName>
    <definedName name="_18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695"}</definedName>
    <definedName name="_18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694"}</definedName>
    <definedName name="_18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693"}</definedName>
    <definedName name="_1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2366"}</definedName>
    <definedName name="_18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692"}</definedName>
    <definedName name="_18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691"}</definedName>
    <definedName name="_18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690"}</definedName>
    <definedName name="_18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689"}</definedName>
    <definedName name="_18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688"}</definedName>
    <definedName name="_18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687"}</definedName>
    <definedName name="_18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686"}</definedName>
    <definedName name="_18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685"}</definedName>
    <definedName name="_18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684"}</definedName>
    <definedName name="_18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683"}</definedName>
    <definedName name="_1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2365"}</definedName>
    <definedName name="_18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682"}</definedName>
    <definedName name="_18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681"}</definedName>
    <definedName name="_18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680"}</definedName>
    <definedName name="_18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679"}</definedName>
    <definedName name="_18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678"}</definedName>
    <definedName name="_18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677"}</definedName>
    <definedName name="_18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676"}</definedName>
    <definedName name="_18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675"}</definedName>
    <definedName name="_18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674"}</definedName>
    <definedName name="_18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673"}</definedName>
    <definedName name="_1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2364"}</definedName>
    <definedName name="_18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672"}</definedName>
    <definedName name="_18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671"}</definedName>
    <definedName name="_18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670"}</definedName>
    <definedName name="_18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669"}</definedName>
    <definedName name="_18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668"}</definedName>
    <definedName name="_18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667"}</definedName>
    <definedName name="_18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666"}</definedName>
    <definedName name="_18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665"}</definedName>
    <definedName name="_18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664"}</definedName>
    <definedName name="_18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663"}</definedName>
    <definedName name="_1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2363"}</definedName>
    <definedName name="_18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662"}</definedName>
    <definedName name="_18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661"}</definedName>
    <definedName name="_18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660"}</definedName>
    <definedName name="_18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659"}</definedName>
    <definedName name="_18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658"}</definedName>
    <definedName name="_18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657"}</definedName>
    <definedName name="_18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656"}</definedName>
    <definedName name="_18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655"}</definedName>
    <definedName name="_18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654"}</definedName>
    <definedName name="_18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653"}</definedName>
    <definedName name="_19__FDSAUDITLINK__" hidden="1">{"fdsup://Directions/FactSet Auditing Viewer?action=AUDIT_VALUE&amp;DB=129&amp;ID1=B282YM&amp;VALUEID=05194&amp;SDATE=2010&amp;PERIODTYPE=ANN_STD&amp;SCFT=3&amp;window=popup_no_bar&amp;width=385&amp;height=120&amp;START_MAXIMIZED=FALSE&amp;creator=factset&amp;display_string=Audit"}</definedName>
    <definedName name="_1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2362"}</definedName>
    <definedName name="_19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652"}</definedName>
    <definedName name="_19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651"}</definedName>
    <definedName name="_19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650"}</definedName>
    <definedName name="_19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649"}</definedName>
    <definedName name="_19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648"}</definedName>
    <definedName name="_19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647"}</definedName>
    <definedName name="_19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646"}</definedName>
    <definedName name="_19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645"}</definedName>
    <definedName name="_19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644"}</definedName>
    <definedName name="_19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643"}</definedName>
    <definedName name="_1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2361"}</definedName>
    <definedName name="_19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642"}</definedName>
    <definedName name="_19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641"}</definedName>
    <definedName name="_19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640"}</definedName>
    <definedName name="_19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639"}</definedName>
    <definedName name="_19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638"}</definedName>
    <definedName name="_19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637"}</definedName>
    <definedName name="_19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636"}</definedName>
    <definedName name="_19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635"}</definedName>
    <definedName name="_19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634"}</definedName>
    <definedName name="_19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633"}</definedName>
    <definedName name="_1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2360"}</definedName>
    <definedName name="_19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632"}</definedName>
    <definedName name="_19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631"}</definedName>
    <definedName name="_19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630"}</definedName>
    <definedName name="_19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629"}</definedName>
    <definedName name="_19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628"}</definedName>
    <definedName name="_19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627"}</definedName>
    <definedName name="_19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626"}</definedName>
    <definedName name="_19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625"}</definedName>
    <definedName name="_19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624"}</definedName>
    <definedName name="_19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623"}</definedName>
    <definedName name="_1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2359"}</definedName>
    <definedName name="_19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622"}</definedName>
    <definedName name="_19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621"}</definedName>
    <definedName name="_19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620"}</definedName>
    <definedName name="_19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619"}</definedName>
    <definedName name="_19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618"}</definedName>
    <definedName name="_19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617"}</definedName>
    <definedName name="_19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616"}</definedName>
    <definedName name="_19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615"}</definedName>
    <definedName name="_19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614"}</definedName>
    <definedName name="_19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613"}</definedName>
    <definedName name="_1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2358"}</definedName>
    <definedName name="_19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612"}</definedName>
    <definedName name="_19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611"}</definedName>
    <definedName name="_19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610"}</definedName>
    <definedName name="_19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609"}</definedName>
    <definedName name="_19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608"}</definedName>
    <definedName name="_19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607"}</definedName>
    <definedName name="_19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606"}</definedName>
    <definedName name="_19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605"}</definedName>
    <definedName name="_19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604"}</definedName>
    <definedName name="_19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603"}</definedName>
    <definedName name="_1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2357"}</definedName>
    <definedName name="_19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602"}</definedName>
    <definedName name="_19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601"}</definedName>
    <definedName name="_19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600"}</definedName>
    <definedName name="_19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599"}</definedName>
    <definedName name="_19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598"}</definedName>
    <definedName name="_19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597"}</definedName>
    <definedName name="_19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596"}</definedName>
    <definedName name="_19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595"}</definedName>
    <definedName name="_19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594"}</definedName>
    <definedName name="_19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593"}</definedName>
    <definedName name="_1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2356"}</definedName>
    <definedName name="_19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592"}</definedName>
    <definedName name="_19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591"}</definedName>
    <definedName name="_19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590"}</definedName>
    <definedName name="_19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589"}</definedName>
    <definedName name="_19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588"}</definedName>
    <definedName name="_19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587"}</definedName>
    <definedName name="_19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586"}</definedName>
    <definedName name="_19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585"}</definedName>
    <definedName name="_19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584"}</definedName>
    <definedName name="_19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583"}</definedName>
    <definedName name="_1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2355"}</definedName>
    <definedName name="_19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582"}</definedName>
    <definedName name="_19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581"}</definedName>
    <definedName name="_19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580"}</definedName>
    <definedName name="_19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579"}</definedName>
    <definedName name="_19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578"}</definedName>
    <definedName name="_19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577"}</definedName>
    <definedName name="_19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576"}</definedName>
    <definedName name="_19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575"}</definedName>
    <definedName name="_19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574"}</definedName>
    <definedName name="_19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573"}</definedName>
    <definedName name="_1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2354"}</definedName>
    <definedName name="_19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572"}</definedName>
    <definedName name="_19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571"}</definedName>
    <definedName name="_19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570"}</definedName>
    <definedName name="_19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569"}</definedName>
    <definedName name="_19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568"}</definedName>
    <definedName name="_19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567"}</definedName>
    <definedName name="_19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566"}</definedName>
    <definedName name="_19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565"}</definedName>
    <definedName name="_19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564"}</definedName>
    <definedName name="_19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563"}</definedName>
    <definedName name="_1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2353"}</definedName>
    <definedName name="_19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562"}</definedName>
    <definedName name="_19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561"}</definedName>
    <definedName name="_19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560"}</definedName>
    <definedName name="_19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559"}</definedName>
    <definedName name="_19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558"}</definedName>
    <definedName name="_19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557"}</definedName>
    <definedName name="_19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556"}</definedName>
    <definedName name="_19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555"}</definedName>
    <definedName name="_19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554"}</definedName>
    <definedName name="_19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553"}</definedName>
    <definedName name="_1Q06VarAnalysis">'[1]1Q06 Earnings Variance'!$A$7:$H$82</definedName>
    <definedName name="_1Q07VarAnalysis">'[1]1Q07 Earnings Variance'!$A$7:$H$88</definedName>
    <definedName name="_2__FDSAUDITLINK__" hidden="1">{"fdsup://Directions/FactSet Auditing Viewer?action=AUDIT_VALUE&amp;DB=129&amp;ID1=B66QLT&amp;VALUEID=02001&amp;SDATE=201103&amp;PERIODTYPE=QTR_STD&amp;SCFT=3&amp;window=popup_no_bar&amp;width=385&amp;height=120&amp;START_MAXIMIZED=FALSE&amp;creator=factset&amp;display_string=Audit"}</definedName>
    <definedName name="_20__FDSAUDITLINK__" hidden="1">{"fdsup://Directions/FactSet Auditing Viewer?action=AUDIT_VALUE&amp;DB=129&amp;ID1=B282YM&amp;VALUEID=02001&amp;SDATE=2010&amp;PERIODTYPE=ANN_STD&amp;SCFT=3&amp;window=popup_no_bar&amp;width=385&amp;height=120&amp;START_MAXIMIZED=FALSE&amp;creator=factset&amp;display_string=Audit"}</definedName>
    <definedName name="_2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2352"}</definedName>
    <definedName name="_20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552"}</definedName>
    <definedName name="_20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551"}</definedName>
    <definedName name="_20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550"}</definedName>
    <definedName name="_20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549"}</definedName>
    <definedName name="_20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548"}</definedName>
    <definedName name="_20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547"}</definedName>
    <definedName name="_20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546"}</definedName>
    <definedName name="_20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545"}</definedName>
    <definedName name="_20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544"}</definedName>
    <definedName name="_20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543"}</definedName>
    <definedName name="_2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2351"}</definedName>
    <definedName name="_20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542"}</definedName>
    <definedName name="_20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541"}</definedName>
    <definedName name="_20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540"}</definedName>
    <definedName name="_20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539"}</definedName>
    <definedName name="_20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538"}</definedName>
    <definedName name="_20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537"}</definedName>
    <definedName name="_20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536"}</definedName>
    <definedName name="_20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535"}</definedName>
    <definedName name="_20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534"}</definedName>
    <definedName name="_20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533"}</definedName>
    <definedName name="_2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2350"}</definedName>
    <definedName name="_20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532"}</definedName>
    <definedName name="_20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531"}</definedName>
    <definedName name="_20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530"}</definedName>
    <definedName name="_20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529"}</definedName>
    <definedName name="_20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528"}</definedName>
    <definedName name="_20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527"}</definedName>
    <definedName name="_20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526"}</definedName>
    <definedName name="_20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525"}</definedName>
    <definedName name="_20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524"}</definedName>
    <definedName name="_20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523"}</definedName>
    <definedName name="_2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2349"}</definedName>
    <definedName name="_20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522"}</definedName>
    <definedName name="_20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521"}</definedName>
    <definedName name="_20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520"}</definedName>
    <definedName name="_20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519"}</definedName>
    <definedName name="_20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518"}</definedName>
    <definedName name="_20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517"}</definedName>
    <definedName name="_20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516"}</definedName>
    <definedName name="_20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515"}</definedName>
    <definedName name="_20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514"}</definedName>
    <definedName name="_20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513"}</definedName>
    <definedName name="_2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2348"}</definedName>
    <definedName name="_20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512"}</definedName>
    <definedName name="_20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511"}</definedName>
    <definedName name="_20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510"}</definedName>
    <definedName name="_20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509"}</definedName>
    <definedName name="_20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508"}</definedName>
    <definedName name="_20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507"}</definedName>
    <definedName name="_20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506"}</definedName>
    <definedName name="_20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505"}</definedName>
    <definedName name="_20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504"}</definedName>
    <definedName name="_20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503"}</definedName>
    <definedName name="_2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2347"}</definedName>
    <definedName name="_20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502"}</definedName>
    <definedName name="_20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501"}</definedName>
    <definedName name="_20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500"}</definedName>
    <definedName name="_20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499"}</definedName>
    <definedName name="_20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498"}</definedName>
    <definedName name="_20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497"}</definedName>
    <definedName name="_20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496"}</definedName>
    <definedName name="_20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495"}</definedName>
    <definedName name="_20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494"}</definedName>
    <definedName name="_20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493"}</definedName>
    <definedName name="_2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2346"}</definedName>
    <definedName name="_20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492"}</definedName>
    <definedName name="_20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491"}</definedName>
    <definedName name="_20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490"}</definedName>
    <definedName name="_20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489"}</definedName>
    <definedName name="_20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488"}</definedName>
    <definedName name="_20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487"}</definedName>
    <definedName name="_20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486"}</definedName>
    <definedName name="_20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485"}</definedName>
    <definedName name="_20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484"}</definedName>
    <definedName name="_20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483"}</definedName>
    <definedName name="_2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2345"}</definedName>
    <definedName name="_20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482"}</definedName>
    <definedName name="_20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481"}</definedName>
    <definedName name="_20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480"}</definedName>
    <definedName name="_20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479"}</definedName>
    <definedName name="_20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478"}</definedName>
    <definedName name="_20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477"}</definedName>
    <definedName name="_20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476"}</definedName>
    <definedName name="_20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475"}</definedName>
    <definedName name="_20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474"}</definedName>
    <definedName name="_20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473"}</definedName>
    <definedName name="_2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2344"}</definedName>
    <definedName name="_20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472"}</definedName>
    <definedName name="_20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471"}</definedName>
    <definedName name="_20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470"}</definedName>
    <definedName name="_20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469"}</definedName>
    <definedName name="_20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468"}</definedName>
    <definedName name="_20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467"}</definedName>
    <definedName name="_20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466"}</definedName>
    <definedName name="_20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465"}</definedName>
    <definedName name="_20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464"}</definedName>
    <definedName name="_20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463"}</definedName>
    <definedName name="_2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2343"}</definedName>
    <definedName name="_20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462"}</definedName>
    <definedName name="_20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461"}</definedName>
    <definedName name="_20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460"}</definedName>
    <definedName name="_20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459"}</definedName>
    <definedName name="_20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458"}</definedName>
    <definedName name="_20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457"}</definedName>
    <definedName name="_20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456"}</definedName>
    <definedName name="_20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455"}</definedName>
    <definedName name="_20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454"}</definedName>
    <definedName name="_20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453"}</definedName>
    <definedName name="_21__FDSAUDITLINK__" hidden="1">{"fdsup://Directions/FactSet Auditing Viewer?action=AUDIT_VALUE&amp;DB=129&amp;ID1=21870Q10&amp;VALUEID=05194&amp;SDATE=201103&amp;PERIODTYPE=QTR_STD&amp;SCFT=3&amp;window=popup_no_bar&amp;width=385&amp;height=120&amp;START_MAXIMIZED=FALSE&amp;creator=factset&amp;display_string=Audit"}</definedName>
    <definedName name="_2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2342"}</definedName>
    <definedName name="_21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452"}</definedName>
    <definedName name="_21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451"}</definedName>
    <definedName name="_21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450"}</definedName>
    <definedName name="_21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449"}</definedName>
    <definedName name="_21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448"}</definedName>
    <definedName name="_21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447"}</definedName>
    <definedName name="_21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446"}</definedName>
    <definedName name="_21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445"}</definedName>
    <definedName name="_21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444"}</definedName>
    <definedName name="_21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443"}</definedName>
    <definedName name="_2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2341"}</definedName>
    <definedName name="_21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442"}</definedName>
    <definedName name="_21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441"}</definedName>
    <definedName name="_21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440"}</definedName>
    <definedName name="_21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439"}</definedName>
    <definedName name="_21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438"}</definedName>
    <definedName name="_21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437"}</definedName>
    <definedName name="_21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436"}</definedName>
    <definedName name="_21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435"}</definedName>
    <definedName name="_21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434"}</definedName>
    <definedName name="_21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433"}</definedName>
    <definedName name="_2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2340"}</definedName>
    <definedName name="_21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432"}</definedName>
    <definedName name="_21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431"}</definedName>
    <definedName name="_21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430"}</definedName>
    <definedName name="_21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429"}</definedName>
    <definedName name="_21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428"}</definedName>
    <definedName name="_21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427"}</definedName>
    <definedName name="_21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426"}</definedName>
    <definedName name="_21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425"}</definedName>
    <definedName name="_21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424"}</definedName>
    <definedName name="_21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423"}</definedName>
    <definedName name="_2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2339"}</definedName>
    <definedName name="_21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422"}</definedName>
    <definedName name="_21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421"}</definedName>
    <definedName name="_21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420"}</definedName>
    <definedName name="_21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419"}</definedName>
    <definedName name="_21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418"}</definedName>
    <definedName name="_21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417"}</definedName>
    <definedName name="_21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416"}</definedName>
    <definedName name="_21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415"}</definedName>
    <definedName name="_21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414"}</definedName>
    <definedName name="_21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413"}</definedName>
    <definedName name="_2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2338"}</definedName>
    <definedName name="_21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412"}</definedName>
    <definedName name="_21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411"}</definedName>
    <definedName name="_21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410"}</definedName>
    <definedName name="_21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409"}</definedName>
    <definedName name="_21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408"}</definedName>
    <definedName name="_21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407"}</definedName>
    <definedName name="_21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406"}</definedName>
    <definedName name="_21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405"}</definedName>
    <definedName name="_21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404"}</definedName>
    <definedName name="_21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403"}</definedName>
    <definedName name="_2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2337"}</definedName>
    <definedName name="_21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402"}</definedName>
    <definedName name="_21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401"}</definedName>
    <definedName name="_21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400"}</definedName>
    <definedName name="_21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399"}</definedName>
    <definedName name="_21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398"}</definedName>
    <definedName name="_21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397"}</definedName>
    <definedName name="_21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396"}</definedName>
    <definedName name="_21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395"}</definedName>
    <definedName name="_21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394"}</definedName>
    <definedName name="_21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393"}</definedName>
    <definedName name="_2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2336"}</definedName>
    <definedName name="_21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392"}</definedName>
    <definedName name="_21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391"}</definedName>
    <definedName name="_21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390"}</definedName>
    <definedName name="_21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389"}</definedName>
    <definedName name="_21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388"}</definedName>
    <definedName name="_21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387"}</definedName>
    <definedName name="_21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386"}</definedName>
    <definedName name="_21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385"}</definedName>
    <definedName name="_21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384"}</definedName>
    <definedName name="_21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383"}</definedName>
    <definedName name="_2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2335"}</definedName>
    <definedName name="_21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382"}</definedName>
    <definedName name="_21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381"}</definedName>
    <definedName name="_21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380"}</definedName>
    <definedName name="_21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379"}</definedName>
    <definedName name="_21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378"}</definedName>
    <definedName name="_21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377"}</definedName>
    <definedName name="_21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376"}</definedName>
    <definedName name="_21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375"}</definedName>
    <definedName name="_21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374"}</definedName>
    <definedName name="_21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373"}</definedName>
    <definedName name="_2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2334"}</definedName>
    <definedName name="_21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372"}</definedName>
    <definedName name="_21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371"}</definedName>
    <definedName name="_21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370"}</definedName>
    <definedName name="_21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369"}</definedName>
    <definedName name="_21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368"}</definedName>
    <definedName name="_21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367"}</definedName>
    <definedName name="_21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366"}</definedName>
    <definedName name="_21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365"}</definedName>
    <definedName name="_21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364"}</definedName>
    <definedName name="_21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363"}</definedName>
    <definedName name="_2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2333"}</definedName>
    <definedName name="_21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362"}</definedName>
    <definedName name="_21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361"}</definedName>
    <definedName name="_21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360"}</definedName>
    <definedName name="_21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359"}</definedName>
    <definedName name="_21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358"}</definedName>
    <definedName name="_21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357"}</definedName>
    <definedName name="_21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356"}</definedName>
    <definedName name="_21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355"}</definedName>
    <definedName name="_21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354"}</definedName>
    <definedName name="_21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353"}</definedName>
    <definedName name="_22__FDSAUDITLINK__" hidden="1">{"fdsup://Directions/FactSet Auditing Viewer?action=AUDIT_VALUE&amp;DB=129&amp;ID1=B282YM&amp;VALUEID=05194&amp;SDATE=2010&amp;PERIODTYPE=ANN_STD&amp;SCFT=3&amp;window=popup_no_bar&amp;width=385&amp;height=120&amp;START_MAXIMIZED=FALSE&amp;creator=factset&amp;display_string=Audit"}</definedName>
    <definedName name="_2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2332"}</definedName>
    <definedName name="_22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352"}</definedName>
    <definedName name="_22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351"}</definedName>
    <definedName name="_22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350"}</definedName>
    <definedName name="_22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349"}</definedName>
    <definedName name="_22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348"}</definedName>
    <definedName name="_22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347"}</definedName>
    <definedName name="_22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346"}</definedName>
    <definedName name="_22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345"}</definedName>
    <definedName name="_22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344"}</definedName>
    <definedName name="_22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343"}</definedName>
    <definedName name="_2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2331"}</definedName>
    <definedName name="_22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342"}</definedName>
    <definedName name="_22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341"}</definedName>
    <definedName name="_22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340"}</definedName>
    <definedName name="_22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339"}</definedName>
    <definedName name="_22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338"}</definedName>
    <definedName name="_22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337"}</definedName>
    <definedName name="_22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336"}</definedName>
    <definedName name="_22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335"}</definedName>
    <definedName name="_22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334"}</definedName>
    <definedName name="_22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333"}</definedName>
    <definedName name="_2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2330"}</definedName>
    <definedName name="_22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332"}</definedName>
    <definedName name="_22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331"}</definedName>
    <definedName name="_22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330"}</definedName>
    <definedName name="_22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329"}</definedName>
    <definedName name="_22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328"}</definedName>
    <definedName name="_22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327"}</definedName>
    <definedName name="_22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326"}</definedName>
    <definedName name="_22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325"}</definedName>
    <definedName name="_22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324"}</definedName>
    <definedName name="_22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323"}</definedName>
    <definedName name="_2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2329"}</definedName>
    <definedName name="_22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322"}</definedName>
    <definedName name="_22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321"}</definedName>
    <definedName name="_22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320"}</definedName>
    <definedName name="_22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319"}</definedName>
    <definedName name="_22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318"}</definedName>
    <definedName name="_22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317"}</definedName>
    <definedName name="_22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316"}</definedName>
    <definedName name="_22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315"}</definedName>
    <definedName name="_22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314"}</definedName>
    <definedName name="_22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313"}</definedName>
    <definedName name="_2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2328"}</definedName>
    <definedName name="_22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312"}</definedName>
    <definedName name="_22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311"}</definedName>
    <definedName name="_22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310"}</definedName>
    <definedName name="_22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309"}</definedName>
    <definedName name="_22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308"}</definedName>
    <definedName name="_22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307"}</definedName>
    <definedName name="_22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306"}</definedName>
    <definedName name="_22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305"}</definedName>
    <definedName name="_22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304"}</definedName>
    <definedName name="_22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303"}</definedName>
    <definedName name="_2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2327"}</definedName>
    <definedName name="_22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302"}</definedName>
    <definedName name="_22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301"}</definedName>
    <definedName name="_22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300"}</definedName>
    <definedName name="_22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299"}</definedName>
    <definedName name="_22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298"}</definedName>
    <definedName name="_22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297"}</definedName>
    <definedName name="_22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296"}</definedName>
    <definedName name="_22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295"}</definedName>
    <definedName name="_22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294"}</definedName>
    <definedName name="_22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293"}</definedName>
    <definedName name="_2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2326"}</definedName>
    <definedName name="_22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292"}</definedName>
    <definedName name="_22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291"}</definedName>
    <definedName name="_22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290"}</definedName>
    <definedName name="_22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289"}</definedName>
    <definedName name="_22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288"}</definedName>
    <definedName name="_22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287"}</definedName>
    <definedName name="_22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286"}</definedName>
    <definedName name="_22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285"}</definedName>
    <definedName name="_22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284"}</definedName>
    <definedName name="_22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283"}</definedName>
    <definedName name="_2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2325"}</definedName>
    <definedName name="_22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282"}</definedName>
    <definedName name="_22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281"}</definedName>
    <definedName name="_22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280"}</definedName>
    <definedName name="_22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279"}</definedName>
    <definedName name="_22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278"}</definedName>
    <definedName name="_22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277"}</definedName>
    <definedName name="_22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276"}</definedName>
    <definedName name="_22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275"}</definedName>
    <definedName name="_22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274"}</definedName>
    <definedName name="_22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273"}</definedName>
    <definedName name="_2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2324"}</definedName>
    <definedName name="_22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272"}</definedName>
    <definedName name="_22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271"}</definedName>
    <definedName name="_22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270"}</definedName>
    <definedName name="_22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269"}</definedName>
    <definedName name="_22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268"}</definedName>
    <definedName name="_22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267"}</definedName>
    <definedName name="_22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266"}</definedName>
    <definedName name="_22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265"}</definedName>
    <definedName name="_22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264"}</definedName>
    <definedName name="_22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263"}</definedName>
    <definedName name="_2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2323"}</definedName>
    <definedName name="_22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262"}</definedName>
    <definedName name="_22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261"}</definedName>
    <definedName name="_22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260"}</definedName>
    <definedName name="_22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259"}</definedName>
    <definedName name="_22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258"}</definedName>
    <definedName name="_22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257"}</definedName>
    <definedName name="_22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256"}</definedName>
    <definedName name="_22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255"}</definedName>
    <definedName name="_22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254"}</definedName>
    <definedName name="_22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253"}</definedName>
    <definedName name="_23__FDSAUDITLINK__" hidden="1">{"fdsup://Directions/FactSet Auditing Viewer?action=AUDIT_VALUE&amp;DB=129&amp;ID1=B282YM&amp;VALUEID=05194&amp;SDATE=2010&amp;PERIODTYPE=ANN_STD&amp;SCFT=3&amp;window=popup_no_bar&amp;width=385&amp;height=120&amp;START_MAXIMIZED=FALSE&amp;creator=factset&amp;display_string=Audit"}</definedName>
    <definedName name="_2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2322"}</definedName>
    <definedName name="_23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252"}</definedName>
    <definedName name="_23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251"}</definedName>
    <definedName name="_23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250"}</definedName>
    <definedName name="_23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249"}</definedName>
    <definedName name="_23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248"}</definedName>
    <definedName name="_23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247"}</definedName>
    <definedName name="_23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246"}</definedName>
    <definedName name="_23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245"}</definedName>
    <definedName name="_23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244"}</definedName>
    <definedName name="_23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243"}</definedName>
    <definedName name="_2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2321"}</definedName>
    <definedName name="_23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242"}</definedName>
    <definedName name="_23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241"}</definedName>
    <definedName name="_23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240"}</definedName>
    <definedName name="_23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239"}</definedName>
    <definedName name="_23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238"}</definedName>
    <definedName name="_23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237"}</definedName>
    <definedName name="_23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236"}</definedName>
    <definedName name="_23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235"}</definedName>
    <definedName name="_23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234"}</definedName>
    <definedName name="_23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233"}</definedName>
    <definedName name="_2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2320"}</definedName>
    <definedName name="_23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232"}</definedName>
    <definedName name="_23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231"}</definedName>
    <definedName name="_23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230"}</definedName>
    <definedName name="_23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229"}</definedName>
    <definedName name="_23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228"}</definedName>
    <definedName name="_23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227"}</definedName>
    <definedName name="_23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226"}</definedName>
    <definedName name="_23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225"}</definedName>
    <definedName name="_23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224"}</definedName>
    <definedName name="_23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223"}</definedName>
    <definedName name="_2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2319"}</definedName>
    <definedName name="_23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222"}</definedName>
    <definedName name="_23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221"}</definedName>
    <definedName name="_23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220"}</definedName>
    <definedName name="_23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219"}</definedName>
    <definedName name="_23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218"}</definedName>
    <definedName name="_23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217"}</definedName>
    <definedName name="_23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216"}</definedName>
    <definedName name="_23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215"}</definedName>
    <definedName name="_23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214"}</definedName>
    <definedName name="_23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213"}</definedName>
    <definedName name="_2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2318"}</definedName>
    <definedName name="_23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212"}</definedName>
    <definedName name="_23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211"}</definedName>
    <definedName name="_23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210"}</definedName>
    <definedName name="_23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209"}</definedName>
    <definedName name="_23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208"}</definedName>
    <definedName name="_23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207"}</definedName>
    <definedName name="_23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206"}</definedName>
    <definedName name="_23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205"}</definedName>
    <definedName name="_23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204"}</definedName>
    <definedName name="_23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203"}</definedName>
    <definedName name="_2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2317"}</definedName>
    <definedName name="_23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202"}</definedName>
    <definedName name="_23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201"}</definedName>
    <definedName name="_23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200"}</definedName>
    <definedName name="_23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199"}</definedName>
    <definedName name="_23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198"}</definedName>
    <definedName name="_23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197"}</definedName>
    <definedName name="_23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196"}</definedName>
    <definedName name="_23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195"}</definedName>
    <definedName name="_23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194"}</definedName>
    <definedName name="_23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193"}</definedName>
    <definedName name="_2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2316"}</definedName>
    <definedName name="_23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192"}</definedName>
    <definedName name="_23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191"}</definedName>
    <definedName name="_23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190"}</definedName>
    <definedName name="_23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189"}</definedName>
    <definedName name="_23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188"}</definedName>
    <definedName name="_23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187"}</definedName>
    <definedName name="_23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186"}</definedName>
    <definedName name="_23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185"}</definedName>
    <definedName name="_23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184"}</definedName>
    <definedName name="_23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183"}</definedName>
    <definedName name="_2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2315"}</definedName>
    <definedName name="_23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182"}</definedName>
    <definedName name="_23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181"}</definedName>
    <definedName name="_23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180"}</definedName>
    <definedName name="_23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179"}</definedName>
    <definedName name="_23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178"}</definedName>
    <definedName name="_23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177"}</definedName>
    <definedName name="_23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176"}</definedName>
    <definedName name="_23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175"}</definedName>
    <definedName name="_23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174"}</definedName>
    <definedName name="_23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173"}</definedName>
    <definedName name="_2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2314"}</definedName>
    <definedName name="_23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172"}</definedName>
    <definedName name="_23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171"}</definedName>
    <definedName name="_23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170"}</definedName>
    <definedName name="_23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169"}</definedName>
    <definedName name="_23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168"}</definedName>
    <definedName name="_23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167"}</definedName>
    <definedName name="_23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166"}</definedName>
    <definedName name="_23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165"}</definedName>
    <definedName name="_23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164"}</definedName>
    <definedName name="_23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163"}</definedName>
    <definedName name="_2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2313"}</definedName>
    <definedName name="_23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162"}</definedName>
    <definedName name="_23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161"}</definedName>
    <definedName name="_23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160"}</definedName>
    <definedName name="_23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159"}</definedName>
    <definedName name="_23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158"}</definedName>
    <definedName name="_23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157"}</definedName>
    <definedName name="_23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156"}</definedName>
    <definedName name="_23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155"}</definedName>
    <definedName name="_23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154"}</definedName>
    <definedName name="_23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153"}</definedName>
    <definedName name="_24__FDSAUDITLINK__" hidden="1">{"fdsup://directions/FAT Viewer?action=UPDATE&amp;creator=factset&amp;DYN_ARGS=TRUE&amp;DOC_NAME=FAT:FQL_AUDITING_CLIENT_TEMPLATE.FAT&amp;display_string=Audit&amp;VAR:KEY=ARULUJYZKH&amp;VAR:QUERY=RkZfREVCVChBTk4sMCwsLCxVU0Qp&amp;WINDOW=FIRST_POPUP&amp;HEIGHT=450&amp;WIDTH=450&amp;START_MAXIMIZED=","FALSE&amp;VAR:CALENDAR=US&amp;VAR:SYMBOL=B282YM&amp;VAR:INDEX=0"}</definedName>
    <definedName name="_2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2312"}</definedName>
    <definedName name="_24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152"}</definedName>
    <definedName name="_24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151"}</definedName>
    <definedName name="_24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150"}</definedName>
    <definedName name="_24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149"}</definedName>
    <definedName name="_24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148"}</definedName>
    <definedName name="_24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147"}</definedName>
    <definedName name="_24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146"}</definedName>
    <definedName name="_24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145"}</definedName>
    <definedName name="_24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144"}</definedName>
    <definedName name="_24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143"}</definedName>
    <definedName name="_2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2311"}</definedName>
    <definedName name="_24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142"}</definedName>
    <definedName name="_24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141"}</definedName>
    <definedName name="_24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140"}</definedName>
    <definedName name="_24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139"}</definedName>
    <definedName name="_24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138"}</definedName>
    <definedName name="_24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137"}</definedName>
    <definedName name="_24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136"}</definedName>
    <definedName name="_24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135"}</definedName>
    <definedName name="_24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134"}</definedName>
    <definedName name="_24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133"}</definedName>
    <definedName name="_2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2310"}</definedName>
    <definedName name="_24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132"}</definedName>
    <definedName name="_24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131"}</definedName>
    <definedName name="_24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130"}</definedName>
    <definedName name="_24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129"}</definedName>
    <definedName name="_24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128"}</definedName>
    <definedName name="_24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127"}</definedName>
    <definedName name="_24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126"}</definedName>
    <definedName name="_24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125"}</definedName>
    <definedName name="_24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124"}</definedName>
    <definedName name="_24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123"}</definedName>
    <definedName name="_2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2309"}</definedName>
    <definedName name="_24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122"}</definedName>
    <definedName name="_24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121"}</definedName>
    <definedName name="_24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120"}</definedName>
    <definedName name="_24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119"}</definedName>
    <definedName name="_24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118"}</definedName>
    <definedName name="_24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117"}</definedName>
    <definedName name="_24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116"}</definedName>
    <definedName name="_24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115"}</definedName>
    <definedName name="_24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114"}</definedName>
    <definedName name="_24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113"}</definedName>
    <definedName name="_2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2308"}</definedName>
    <definedName name="_24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112"}</definedName>
    <definedName name="_24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111"}</definedName>
    <definedName name="_24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110"}</definedName>
    <definedName name="_24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109"}</definedName>
    <definedName name="_24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108"}</definedName>
    <definedName name="_24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107"}</definedName>
    <definedName name="_24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106"}</definedName>
    <definedName name="_24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105"}</definedName>
    <definedName name="_24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104"}</definedName>
    <definedName name="_24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103"}</definedName>
    <definedName name="_2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2307"}</definedName>
    <definedName name="_24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102"}</definedName>
    <definedName name="_24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101"}</definedName>
    <definedName name="_24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100"}</definedName>
    <definedName name="_24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99"}</definedName>
    <definedName name="_24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98"}</definedName>
    <definedName name="_24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97"}</definedName>
    <definedName name="_24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96"}</definedName>
    <definedName name="_24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95"}</definedName>
    <definedName name="_24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94"}</definedName>
    <definedName name="_24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93"}</definedName>
    <definedName name="_2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2306"}</definedName>
    <definedName name="_24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92"}</definedName>
    <definedName name="_24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91"}</definedName>
    <definedName name="_24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90"}</definedName>
    <definedName name="_24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89"}</definedName>
    <definedName name="_24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88"}</definedName>
    <definedName name="_24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87"}</definedName>
    <definedName name="_24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86"}</definedName>
    <definedName name="_24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85"}</definedName>
    <definedName name="_24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84"}</definedName>
    <definedName name="_24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83"}</definedName>
    <definedName name="_2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2305"}</definedName>
    <definedName name="_24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82"}</definedName>
    <definedName name="_24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81"}</definedName>
    <definedName name="_24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80"}</definedName>
    <definedName name="_24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79"}</definedName>
    <definedName name="_24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78"}</definedName>
    <definedName name="_24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77"}</definedName>
    <definedName name="_24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76"}</definedName>
    <definedName name="_24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75"}</definedName>
    <definedName name="_24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74"}</definedName>
    <definedName name="_24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73"}</definedName>
    <definedName name="_2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2304"}</definedName>
    <definedName name="_24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72"}</definedName>
    <definedName name="_24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71"}</definedName>
    <definedName name="_24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70"}</definedName>
    <definedName name="_24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69"}</definedName>
    <definedName name="_24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68"}</definedName>
    <definedName name="_24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67"}</definedName>
    <definedName name="_24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66"}</definedName>
    <definedName name="_24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65"}</definedName>
    <definedName name="_24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64"}</definedName>
    <definedName name="_24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63"}</definedName>
    <definedName name="_2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2303"}</definedName>
    <definedName name="_24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62"}</definedName>
    <definedName name="_24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61"}</definedName>
    <definedName name="_24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60"}</definedName>
    <definedName name="_24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59"}</definedName>
    <definedName name="_24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58"}</definedName>
    <definedName name="_24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57"}</definedName>
    <definedName name="_24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56"}</definedName>
    <definedName name="_24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55"}</definedName>
    <definedName name="_24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54"}</definedName>
    <definedName name="_24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53"}</definedName>
    <definedName name="_25__FDSAUDITLINK__" hidden="1">{"fdsup://directions/FAT Viewer?action=UPDATE&amp;creator=factset&amp;DYN_ARGS=TRUE&amp;DOC_NAME=FAT:FQL_AUDITING_CLIENT_TEMPLATE.FAT&amp;display_string=Audit&amp;VAR:KEY=QHMHWLGDOX&amp;VAR:QUERY=RkZfREVCVChRVFIsMCwsLCxVU0Qp&amp;WINDOW=FIRST_POPUP&amp;HEIGHT=450&amp;WIDTH=450&amp;START_MAXIMIZED=","FALSE&amp;VAR:CALENDAR=US&amp;VAR:SYMBOL=INXN&amp;VAR:INDEX=0"}</definedName>
    <definedName name="_2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2302"}</definedName>
    <definedName name="_25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52"}</definedName>
    <definedName name="_25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51"}</definedName>
    <definedName name="_25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50"}</definedName>
    <definedName name="_25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49"}</definedName>
    <definedName name="_25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48"}</definedName>
    <definedName name="_25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47"}</definedName>
    <definedName name="_25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46"}</definedName>
    <definedName name="_25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45"}</definedName>
    <definedName name="_25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44"}</definedName>
    <definedName name="_25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43"}</definedName>
    <definedName name="_2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2301"}</definedName>
    <definedName name="_25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42"}</definedName>
    <definedName name="_25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41"}</definedName>
    <definedName name="_25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40"}</definedName>
    <definedName name="_25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39"}</definedName>
    <definedName name="_25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38"}</definedName>
    <definedName name="_25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37"}</definedName>
    <definedName name="_25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36"}</definedName>
    <definedName name="_25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35"}</definedName>
    <definedName name="_25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34"}</definedName>
    <definedName name="_25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33"}</definedName>
    <definedName name="_2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2300"}</definedName>
    <definedName name="_25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32"}</definedName>
    <definedName name="_25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31"}</definedName>
    <definedName name="_25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30"}</definedName>
    <definedName name="_25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29"}</definedName>
    <definedName name="_25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28"}</definedName>
    <definedName name="_25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27"}</definedName>
    <definedName name="_25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26"}</definedName>
    <definedName name="_25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25"}</definedName>
    <definedName name="_25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24"}</definedName>
    <definedName name="_25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23"}</definedName>
    <definedName name="_2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2299"}</definedName>
    <definedName name="_25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definedName>
    <definedName name="_25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definedName>
    <definedName name="_25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definedName>
    <definedName name="_25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definedName>
    <definedName name="_25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definedName>
    <definedName name="_25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definedName>
    <definedName name="_25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definedName>
    <definedName name="_25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definedName>
    <definedName name="_25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14"}</definedName>
    <definedName name="_25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13"}</definedName>
    <definedName name="_2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2298"}</definedName>
    <definedName name="_25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12"}</definedName>
    <definedName name="_25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11"}</definedName>
    <definedName name="_25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10"}</definedName>
    <definedName name="_25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9"}</definedName>
    <definedName name="_25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8"}</definedName>
    <definedName name="_25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7"}</definedName>
    <definedName name="_25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6"}</definedName>
    <definedName name="_25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5"}</definedName>
    <definedName name="_25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4"}</definedName>
    <definedName name="_25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3"}</definedName>
    <definedName name="_2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2297"}</definedName>
    <definedName name="_25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definedName>
    <definedName name="_25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definedName>
    <definedName name="_2552__FDSAUDITLINK__" hidden="1">{"fdsup://directions/FAT Viewer?action=UPDATE&amp;creator=factset&amp;DYN_ARGS=TRUE&amp;DOC_NAME=FAT:FQL_AUDITING_CLIENT_TEMPLATE.FAT&amp;display_string=Audit&amp;VAR:KEY=IHSBGDALAL&amp;VAR:QUERY=RkZfREVCVChBTk4sMCwsLCxVU0Qp&amp;WINDOW=FIRST_POPUP&amp;HEIGHT=450&amp;WIDTH=450&amp;START_MAXIMIZED=","FALSE&amp;VAR:CALENDAR=US&amp;VAR:SYMBOL=B282YM&amp;VAR:INDEX=0"}</definedName>
    <definedName name="_2553__FDSAUDITLINK__" hidden="1">{"fdsup://directions/FAT Viewer?action=UPDATE&amp;creator=factset&amp;DYN_ARGS=TRUE&amp;DOC_NAME=FAT:FQL_AUDITING_CLIENT_TEMPLATE.FAT&amp;display_string=Audit&amp;VAR:KEY=QDCFGPCBKD&amp;VAR:QUERY=RkZfREVCVChRVFIsMCwsLCxVU0Qp&amp;WINDOW=FIRST_POPUP&amp;HEIGHT=450&amp;WIDTH=450&amp;START_MAXIMIZED=","FALSE&amp;VAR:CALENDAR=US&amp;VAR:SYMBOL=INXN&amp;VAR:INDEX=0"}</definedName>
    <definedName name="_2554__FDSAUDITLINK__" hidden="1">{"fdsup://directions/FAT Viewer?action=UPDATE&amp;creator=factset&amp;DYN_ARGS=TRUE&amp;DOC_NAME=FAT:FQL_AUDITING_CLIENT_TEMPLATE.FAT&amp;display_string=Audit&amp;VAR:KEY=EXCJOZGTCH&amp;VAR:QUERY=RkZfREVCVChRVFIsMCwsLCxVU0Qp&amp;WINDOW=FIRST_POPUP&amp;HEIGHT=450&amp;WIDTH=450&amp;START_MAXIMIZED=","FALSE&amp;VAR:CALENDAR=US&amp;VAR:SYMBOL=COR&amp;VAR:INDEX=0"}</definedName>
    <definedName name="_2555__FDSAUDITLINK__" hidden="1">{"fdsup://directions/FAT Viewer?action=UPDATE&amp;creator=factset&amp;DYN_ARGS=TRUE&amp;DOC_NAME=FAT:FQL_AUDITING_CLIENT_TEMPLATE.FAT&amp;display_string=Audit&amp;VAR:KEY=WRUJANYJMV&amp;VAR:QUERY=RkZfREVCVChBTk4sMCwsLCxVU0Qp&amp;WINDOW=FIRST_POPUP&amp;HEIGHT=450&amp;WIDTH=450&amp;START_MAXIMIZED=","FALSE&amp;VAR:CALENDAR=US&amp;VAR:SYMBOL=B282YM&amp;VAR:INDEX=0"}</definedName>
    <definedName name="_2556__FDSAUDITLINK__" hidden="1">{"fdsup://directions/FAT Viewer?action=UPDATE&amp;creator=factset&amp;DYN_ARGS=TRUE&amp;DOC_NAME=FAT:FQL_AUDITING_CLIENT_TEMPLATE.FAT&amp;display_string=Audit&amp;VAR:KEY=IPUTEFOTYL&amp;VAR:QUERY=RkZfREVCVChRVFIsMCwsLCxVU0Qp&amp;WINDOW=FIRST_POPUP&amp;HEIGHT=450&amp;WIDTH=450&amp;START_MAXIMIZED=","FALSE&amp;VAR:CALENDAR=US&amp;VAR:SYMBOL=INXN&amp;VAR:INDEX=0"}</definedName>
    <definedName name="_2557__FDSAUDITLINK__" hidden="1">{"fdsup://directions/FAT Viewer?action=UPDATE&amp;creator=factset&amp;DYN_ARGS=TRUE&amp;DOC_NAME=FAT:FQL_AUDITING_CLIENT_TEMPLATE.FAT&amp;display_string=Audit&amp;VAR:KEY=QRWPULYFIJ&amp;VAR:QUERY=RkZfREVCVChRVFIsMCwsLCxVU0Qp&amp;WINDOW=FIRST_POPUP&amp;HEIGHT=450&amp;WIDTH=450&amp;START_MAXIMIZED=","FALSE&amp;VAR:CALENDAR=US&amp;VAR:SYMBOL=COR&amp;VAR:INDEX=0"}</definedName>
    <definedName name="_2558__FDSAUDITLINK__" hidden="1">{"fdsup://directions/FAT Viewer?action=UPDATE&amp;creator=factset&amp;DYN_ARGS=TRUE&amp;DOC_NAME=FAT:FQL_AUDITING_CLIENT_TEMPLATE.FAT&amp;display_string=Audit&amp;VAR:KEY=LWBEJSXSLW&amp;VAR:QUERY=RkZfREVCVChBTk4sMCwsLCxVU0Qp&amp;WINDOW=FIRST_POPUP&amp;HEIGHT=450&amp;WIDTH=450&amp;START_MAXIMIZED=","FALSE&amp;VAR:CALENDAR=US&amp;VAR:SYMBOL=B282YM&amp;VAR:INDEX=0"}</definedName>
    <definedName name="_2559__FDSAUDITLINK__" hidden="1">{"fdsup://directions/FAT Viewer?action=UPDATE&amp;creator=factset&amp;DYN_ARGS=TRUE&amp;DOC_NAME=FAT:FQL_AUDITING_CLIENT_TEMPLATE.FAT&amp;display_string=Audit&amp;VAR:KEY=PEPCBODANU&amp;VAR:QUERY=RkZfREVCVChRVFIsMCwsLCxVU0Qp&amp;WINDOW=FIRST_POPUP&amp;HEIGHT=450&amp;WIDTH=450&amp;START_MAXIMIZED=","FALSE&amp;VAR:CALENDAR=US&amp;VAR:SYMBOL=INXN&amp;VAR:INDEX=0"}</definedName>
    <definedName name="_2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2296"}</definedName>
    <definedName name="_2560__FDSAUDITLINK__" hidden="1">{"fdsup://directions/FAT Viewer?action=UPDATE&amp;creator=factset&amp;DYN_ARGS=TRUE&amp;DOC_NAME=FAT:FQL_AUDITING_CLIENT_TEMPLATE.FAT&amp;display_string=Audit&amp;VAR:KEY=PIRCLIJKPA&amp;VAR:QUERY=RkZfREVCVChRVFIsMCwsLCxVU0Qp&amp;WINDOW=FIRST_POPUP&amp;HEIGHT=450&amp;WIDTH=450&amp;START_MAXIMIZED=","FALSE&amp;VAR:CALENDAR=US&amp;VAR:SYMBOL=COR&amp;VAR:INDEX=0"}</definedName>
    <definedName name="_2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2295"}</definedName>
    <definedName name="_2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2294"}</definedName>
    <definedName name="_2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2293"}</definedName>
    <definedName name="_26__FDSAUDITLINK__" hidden="1">{"fdsup://directions/FAT Viewer?action=UPDATE&amp;creator=factset&amp;DYN_ARGS=TRUE&amp;DOC_NAME=FAT:FQL_AUDITING_CLIENT_TEMPLATE.FAT&amp;display_string=Audit&amp;VAR:KEY=KZABUHUVMD&amp;VAR:QUERY=RkZfREVCVChRVFIsMCwsLCxVU0Qp&amp;WINDOW=FIRST_POPUP&amp;HEIGHT=450&amp;WIDTH=450&amp;START_MAXIMIZED=","FALSE&amp;VAR:CALENDAR=US&amp;VAR:SYMBOL=COR&amp;VAR:INDEX=0"}</definedName>
    <definedName name="_2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2292"}</definedName>
    <definedName name="_2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2291"}</definedName>
    <definedName name="_2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2290"}</definedName>
    <definedName name="_2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2289"}</definedName>
    <definedName name="_2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2288"}</definedName>
    <definedName name="_2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2287"}</definedName>
    <definedName name="_2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2286"}</definedName>
    <definedName name="_2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2285"}</definedName>
    <definedName name="_2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2284"}</definedName>
    <definedName name="_2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2283"}</definedName>
    <definedName name="_27__FDSAUDITLINK__" hidden="1">{"fdsup://directions/FAT Viewer?action=UPDATE&amp;creator=factset&amp;DYN_ARGS=TRUE&amp;DOC_NAME=FAT:FQL_AUDITING_CLIENT_TEMPLATE.FAT&amp;display_string=Audit&amp;VAR:KEY=QBMVKNCJWB&amp;VAR:QUERY=RkZfREVCVChBTk4sMCwsLCxVU0Qp&amp;WINDOW=FIRST_POPUP&amp;HEIGHT=450&amp;WIDTH=450&amp;START_MAXIMIZED=","FALSE&amp;VAR:CALENDAR=US&amp;VAR:SYMBOL=B282YM&amp;VAR:INDEX=0"}</definedName>
    <definedName name="_2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2282"}</definedName>
    <definedName name="_2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2281"}</definedName>
    <definedName name="_2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2280"}</definedName>
    <definedName name="_2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2279"}</definedName>
    <definedName name="_2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2278"}</definedName>
    <definedName name="_2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2277"}</definedName>
    <definedName name="_2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2276"}</definedName>
    <definedName name="_2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2275"}</definedName>
    <definedName name="_2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2274"}</definedName>
    <definedName name="_2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2273"}</definedName>
    <definedName name="_28__FDSAUDITLINK__" hidden="1">{"fdsup://directions/FAT Viewer?action=UPDATE&amp;creator=factset&amp;DYN_ARGS=TRUE&amp;DOC_NAME=FAT:FQL_AUDITING_CLIENT_TEMPLATE.FAT&amp;display_string=Audit&amp;VAR:KEY=SRQBOVSZWZ&amp;VAR:QUERY=RkZfREVCVChRVFIsMCwsLCxVU0Qp&amp;WINDOW=FIRST_POPUP&amp;HEIGHT=450&amp;WIDTH=450&amp;START_MAXIMIZED=","FALSE&amp;VAR:CALENDAR=US&amp;VAR:SYMBOL=INXN&amp;VAR:INDEX=0"}</definedName>
    <definedName name="_2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2272"}</definedName>
    <definedName name="_2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2271"}</definedName>
    <definedName name="_2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2270"}</definedName>
    <definedName name="_2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2269"}</definedName>
    <definedName name="_2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2268"}</definedName>
    <definedName name="_2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2267"}</definedName>
    <definedName name="_2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2266"}</definedName>
    <definedName name="_2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2265"}</definedName>
    <definedName name="_2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2264"}</definedName>
    <definedName name="_2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2263"}</definedName>
    <definedName name="_29__FDSAUDITLINK__" hidden="1">{"fdsup://directions/FAT Viewer?action=UPDATE&amp;creator=factset&amp;DYN_ARGS=TRUE&amp;DOC_NAME=FAT:FQL_AUDITING_CLIENT_TEMPLATE.FAT&amp;display_string=Audit&amp;VAR:KEY=WJUNUJYFUD&amp;VAR:QUERY=RkZfREVCVChRVFIsMCwsLCxVU0Qp&amp;WINDOW=FIRST_POPUP&amp;HEIGHT=450&amp;WIDTH=450&amp;START_MAXIMIZED=","FALSE&amp;VAR:CALENDAR=US&amp;VAR:SYMBOL=COR&amp;VAR:INDEX=0"}</definedName>
    <definedName name="_2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2262"}</definedName>
    <definedName name="_2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2261"}</definedName>
    <definedName name="_2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2260"}</definedName>
    <definedName name="_2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2259"}</definedName>
    <definedName name="_2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2258"}</definedName>
    <definedName name="_2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2257"}</definedName>
    <definedName name="_2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2256"}</definedName>
    <definedName name="_2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2255"}</definedName>
    <definedName name="_2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2254"}</definedName>
    <definedName name="_2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2253"}</definedName>
    <definedName name="_2Q06VarAnalysis">'[1]2Q06 Earnings Variance'!$A$7:$H$82</definedName>
    <definedName name="_2Q07VarAnalysis">'[1]2Q07 Earnings Variance'!$A$7:$H$88</definedName>
    <definedName name="_3__FDSAUDITLINK__" hidden="1">{"fdsup://directions/FAT Viewer?action=UPDATE&amp;creator=factset&amp;DYN_ARGS=TRUE&amp;DOC_NAME=FAT:FQL_AUDITING_CLIENT_TEMPLATE.FAT&amp;display_string=Audit&amp;VAR:KEY=IBMPMRYXGH&amp;VAR:QUERY=RkZfREVCVChRVFIsMCwsLCxVU0Qp&amp;WINDOW=FIRST_POPUP&amp;HEIGHT=450&amp;WIDTH=450&amp;START_MAXIMIZED=","FALSE&amp;VAR:CALENDAR=US&amp;VAR:SYMBOL=INXN&amp;VAR:INDEX=0"}</definedName>
    <definedName name="_30__FDSAUDITLINK__" hidden="1">{"fdsup://directions/FAT Viewer?action=UPDATE&amp;creator=factset&amp;DYN_ARGS=TRUE&amp;DOC_NAME=FAT:FQL_AUDITING_CLIENT_TEMPLATE.FAT&amp;display_string=Audit&amp;VAR:KEY=AJUZINUBAB&amp;VAR:QUERY=RkZfREVCVChRVFIsMCwsLCxVU0Qp&amp;WINDOW=FIRST_POPUP&amp;HEIGHT=450&amp;WIDTH=450&amp;START_MAXIMIZED=","FALSE&amp;VAR:CALENDAR=US&amp;VAR:SYMBOL=COR&amp;VAR:INDEX=0"}</definedName>
    <definedName name="_3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2252"}</definedName>
    <definedName name="_3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2251"}</definedName>
    <definedName name="_3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2250"}</definedName>
    <definedName name="_3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2249"}</definedName>
    <definedName name="_3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2248"}</definedName>
    <definedName name="_3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2247"}</definedName>
    <definedName name="_3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2246"}</definedName>
    <definedName name="_3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2245"}</definedName>
    <definedName name="_3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2244"}</definedName>
    <definedName name="_3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2243"}</definedName>
    <definedName name="_31__FDSAUDITLINK__" hidden="1">{"fdsup://directions/FAT Viewer?action=UPDATE&amp;creator=factset&amp;DYN_ARGS=TRUE&amp;DOC_NAME=FAT:FQL_AUDITING_CLIENT_TEMPLATE.FAT&amp;display_string=Audit&amp;VAR:KEY=IVWRSDSVQR&amp;VAR:QUERY=RkZfREVCVChBTk4sMCwsLCxVU0Qp&amp;WINDOW=FIRST_POPUP&amp;HEIGHT=450&amp;WIDTH=450&amp;START_MAXIMIZED=","FALSE&amp;VAR:CALENDAR=US&amp;VAR:SYMBOL=B282YM&amp;VAR:INDEX=0"}</definedName>
    <definedName name="_3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2242"}</definedName>
    <definedName name="_3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2241"}</definedName>
    <definedName name="_3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2240"}</definedName>
    <definedName name="_3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2239"}</definedName>
    <definedName name="_3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2238"}</definedName>
    <definedName name="_3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2237"}</definedName>
    <definedName name="_3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2236"}</definedName>
    <definedName name="_3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2235"}</definedName>
    <definedName name="_3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2234"}</definedName>
    <definedName name="_3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2233"}</definedName>
    <definedName name="_32__FDSAUDITLINK__" hidden="1">{"fdsup://directions/FAT Viewer?action=UPDATE&amp;creator=factset&amp;DYN_ARGS=TRUE&amp;DOC_NAME=FAT:FQL_AUDITING_CLIENT_TEMPLATE.FAT&amp;display_string=Audit&amp;VAR:KEY=EXIXUBMRUF&amp;VAR:QUERY=RkZfREVCVChRVFIsMCwsLCxVU0Qp&amp;WINDOW=FIRST_POPUP&amp;HEIGHT=450&amp;WIDTH=450&amp;START_MAXIMIZED=","FALSE&amp;VAR:CALENDAR=US&amp;VAR:SYMBOL=INXN&amp;VAR:INDEX=0"}</definedName>
    <definedName name="_3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2232"}</definedName>
    <definedName name="_3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2231"}</definedName>
    <definedName name="_3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2230"}</definedName>
    <definedName name="_3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2229"}</definedName>
    <definedName name="_3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2228"}</definedName>
    <definedName name="_3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2227"}</definedName>
    <definedName name="_3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2226"}</definedName>
    <definedName name="_3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2225"}</definedName>
    <definedName name="_3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2224"}</definedName>
    <definedName name="_3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2223"}</definedName>
    <definedName name="_33__FDSAUDITLINK__" hidden="1">{"fdsup://directions/FAT Viewer?action=UPDATE&amp;creator=factset&amp;DYN_ARGS=TRUE&amp;DOC_NAME=FAT:FQL_AUDITING_CLIENT_TEMPLATE.FAT&amp;display_string=Audit&amp;VAR:KEY=GPSJMFYPIN&amp;VAR:QUERY=RkZfREVCVChRVFIsMCwsLCxVU0Qp&amp;WINDOW=FIRST_POPUP&amp;HEIGHT=450&amp;WIDTH=450&amp;START_MAXIMIZED=","FALSE&amp;VAR:CALENDAR=US&amp;VAR:SYMBOL=COR&amp;VAR:INDEX=0"}</definedName>
    <definedName name="_3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2222"}</definedName>
    <definedName name="_3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2221"}</definedName>
    <definedName name="_3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2220"}</definedName>
    <definedName name="_3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2219"}</definedName>
    <definedName name="_3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2218"}</definedName>
    <definedName name="_3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2217"}</definedName>
    <definedName name="_3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2216"}</definedName>
    <definedName name="_3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2215"}</definedName>
    <definedName name="_3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2214"}</definedName>
    <definedName name="_3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2213"}</definedName>
    <definedName name="_34__FDSAUDITLINK__" hidden="1">{"fdsup://directions/FAT Viewer?action=UPDATE&amp;creator=factset&amp;DYN_ARGS=TRUE&amp;DOC_NAME=FAT:FQL_AUDITING_CLIENT_TEMPLATE.FAT&amp;display_string=Audit&amp;VAR:KEY=EXOVELWTOF&amp;VAR:QUERY=RkZfREVCVChBTk4sMCwsLCxVU0Qp&amp;WINDOW=FIRST_POPUP&amp;HEIGHT=450&amp;WIDTH=450&amp;START_MAXIMIZED=","FALSE&amp;VAR:CALENDAR=US&amp;VAR:SYMBOL=B282YM&amp;VAR:INDEX=0"}</definedName>
    <definedName name="_3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2212"}</definedName>
    <definedName name="_3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2211"}</definedName>
    <definedName name="_3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2210"}</definedName>
    <definedName name="_3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2209"}</definedName>
    <definedName name="_3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2208"}</definedName>
    <definedName name="_3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2207"}</definedName>
    <definedName name="_3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2206"}</definedName>
    <definedName name="_3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2205"}</definedName>
    <definedName name="_3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2204"}</definedName>
    <definedName name="_3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2203"}</definedName>
    <definedName name="_35__FDSAUDITLINK__" hidden="1">{"fdsup://directions/FAT Viewer?action=UPDATE&amp;creator=factset&amp;DYN_ARGS=TRUE&amp;DOC_NAME=FAT:FQL_AUDITING_CLIENT_TEMPLATE.FAT&amp;display_string=Audit&amp;VAR:KEY=SPAFWJEXKZ&amp;VAR:QUERY=RkZfREVCVChRVFIsMCwsLCxVU0Qp&amp;WINDOW=FIRST_POPUP&amp;HEIGHT=450&amp;WIDTH=450&amp;START_MAXIMIZED=","FALSE&amp;VAR:CALENDAR=US&amp;VAR:SYMBOL=INXN&amp;VAR:INDEX=0"}</definedName>
    <definedName name="_3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2202"}</definedName>
    <definedName name="_3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2201"}</definedName>
    <definedName name="_3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2200"}</definedName>
    <definedName name="_3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2199"}</definedName>
    <definedName name="_3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2198"}</definedName>
    <definedName name="_3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2197"}</definedName>
    <definedName name="_3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2196"}</definedName>
    <definedName name="_3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2195"}</definedName>
    <definedName name="_3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2194"}</definedName>
    <definedName name="_3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2193"}</definedName>
    <definedName name="_36__FDSAUDITLINK__" hidden="1">{"fdsup://Directions/FactSet Auditing Viewer?action=AUDIT_VALUE&amp;DB=129&amp;ID1=21870Q10&amp;VALUEID=02001&amp;SDATE=201102&amp;PERIODTYPE=QTR_STD&amp;SCFT=3&amp;window=popup_no_bar&amp;width=385&amp;height=120&amp;START_MAXIMIZED=FALSE&amp;creator=factset&amp;display_string=Audit"}</definedName>
    <definedName name="_3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2192"}</definedName>
    <definedName name="_3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2191"}</definedName>
    <definedName name="_3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2190"}</definedName>
    <definedName name="_3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2189"}</definedName>
    <definedName name="_3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2188"}</definedName>
    <definedName name="_3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2187"}</definedName>
    <definedName name="_3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2186"}</definedName>
    <definedName name="_3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2185"}</definedName>
    <definedName name="_3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2184"}</definedName>
    <definedName name="_3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2183"}</definedName>
    <definedName name="_37__FDSAUDITLINK__" hidden="1">{"fdsup://directions/FAT Viewer?action=UPDATE&amp;creator=factset&amp;DYN_ARGS=TRUE&amp;DOC_NAME=FAT:FQL_AUDITING_CLIENT_TEMPLATE.FAT&amp;display_string=Audit&amp;VAR:KEY=SBKVQRSDAV&amp;VAR:QUERY=RkZfREVCVChRVFIsMCwsLCxVU0Qp&amp;WINDOW=FIRST_POPUP&amp;HEIGHT=450&amp;WIDTH=450&amp;START_MAXIMIZED=","FALSE&amp;VAR:CALENDAR=US&amp;VAR:SYMBOL=COR&amp;VAR:INDEX=0"}</definedName>
    <definedName name="_3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2182"}</definedName>
    <definedName name="_3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2181"}</definedName>
    <definedName name="_3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2180"}</definedName>
    <definedName name="_3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2179"}</definedName>
    <definedName name="_3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2178"}</definedName>
    <definedName name="_3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2177"}</definedName>
    <definedName name="_3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2176"}</definedName>
    <definedName name="_3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2175"}</definedName>
    <definedName name="_3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2174"}</definedName>
    <definedName name="_3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2173"}</definedName>
    <definedName name="_38__FDSAUDITLINK__" hidden="1">{"fdsup://Directions/FactSet Auditing Viewer?action=AUDIT_VALUE&amp;DB=129&amp;ID1=21870Q10&amp;VALUEID=05194&amp;SDATE=201102&amp;PERIODTYPE=QTR_STD&amp;SCFT=3&amp;window=popup_no_bar&amp;width=385&amp;height=120&amp;START_MAXIMIZED=FALSE&amp;creator=factset&amp;display_string=Audit"}</definedName>
    <definedName name="_3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2172"}</definedName>
    <definedName name="_3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2171"}</definedName>
    <definedName name="_3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2170"}</definedName>
    <definedName name="_3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2169"}</definedName>
    <definedName name="_3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2168"}</definedName>
    <definedName name="_3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2167"}</definedName>
    <definedName name="_3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2166"}</definedName>
    <definedName name="_3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2165"}</definedName>
    <definedName name="_3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2164"}</definedName>
    <definedName name="_3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2163"}</definedName>
    <definedName name="_39__FDSAUDITLINK__" hidden="1">{"fdsup://directions/FAT Viewer?action=UPDATE&amp;creator=factset&amp;DYN_ARGS=TRUE&amp;DOC_NAME=FAT:FQL_AUDITING_CLIENT_TEMPLATE.FAT&amp;display_string=Audit&amp;VAR:KEY=GFIJIHYLKP&amp;VAR:QUERY=RkZfREVCVChBTk4sMCwsLCxVU0Qp&amp;WINDOW=FIRST_POPUP&amp;HEIGHT=450&amp;WIDTH=450&amp;START_MAXIMIZED=","FALSE&amp;VAR:CALENDAR=US&amp;VAR:SYMBOL=B282YM&amp;VAR:INDEX=0"}</definedName>
    <definedName name="_3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2162"}</definedName>
    <definedName name="_3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2161"}</definedName>
    <definedName name="_3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2160"}</definedName>
    <definedName name="_3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2159"}</definedName>
    <definedName name="_3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2158"}</definedName>
    <definedName name="_3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2157"}</definedName>
    <definedName name="_3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2156"}</definedName>
    <definedName name="_3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2155"}</definedName>
    <definedName name="_3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2154"}</definedName>
    <definedName name="_3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2153"}</definedName>
    <definedName name="_3Q05VarAnalysis">'[1]3Q05 Earnings Variance'!$A$7:$H$82</definedName>
    <definedName name="_3Q06VarAnalysis">'[1]3Q06 Earnings Variance'!$A$7:$H$82</definedName>
    <definedName name="_3Q07VarAnalysis">'[1]3Q07 Earnings Variance'!$A$7:$H$88</definedName>
    <definedName name="_4__FDSAUDITLINK__" hidden="1">{"fdsup://directions/FAT Viewer?action=UPDATE&amp;creator=factset&amp;DYN_ARGS=TRUE&amp;DOC_NAME=FAT:FQL_AUDITING_CLIENT_TEMPLATE.FAT&amp;display_string=Audit&amp;VAR:KEY=GHKNGNCFGF&amp;VAR:QUERY=RkZfREVCVChRVFIsMCwsLCxVU0Qp&amp;WINDOW=FIRST_POPUP&amp;HEIGHT=450&amp;WIDTH=450&amp;START_MAXIMIZED=","FALSE&amp;VAR:CALENDAR=US&amp;VAR:SYMBOL=COR&amp;VAR:INDEX=0"}</definedName>
    <definedName name="_40__FDSAUDITLINK__" hidden="1">{"fdsup://directions/FAT Viewer?action=UPDATE&amp;creator=factset&amp;DYN_ARGS=TRUE&amp;DOC_NAME=FAT:FQL_AUDITING_CLIENT_TEMPLATE.FAT&amp;display_string=Audit&amp;VAR:KEY=OBORYTSHUX&amp;VAR:QUERY=RkZfREVCVChRVFIsMCwsLCxVU0Qp&amp;WINDOW=FIRST_POPUP&amp;HEIGHT=450&amp;WIDTH=450&amp;START_MAXIMIZED=","FALSE&amp;VAR:CALENDAR=US&amp;VAR:SYMBOL=INXN&amp;VAR:INDEX=0"}</definedName>
    <definedName name="_4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2152"}</definedName>
    <definedName name="_4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2151"}</definedName>
    <definedName name="_4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2150"}</definedName>
    <definedName name="_4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2149"}</definedName>
    <definedName name="_4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2148"}</definedName>
    <definedName name="_4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2147"}</definedName>
    <definedName name="_4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2146"}</definedName>
    <definedName name="_4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2145"}</definedName>
    <definedName name="_4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2144"}</definedName>
    <definedName name="_4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2143"}</definedName>
    <definedName name="_41__FDSAUDITLINK__" hidden="1">{"fdsup://directions/FAT Viewer?action=UPDATE&amp;creator=factset&amp;DYN_ARGS=TRUE&amp;DOC_NAME=FAT:FQL_AUDITING_CLIENT_TEMPLATE.FAT&amp;display_string=Audit&amp;VAR:KEY=MDUPKXOFSF&amp;VAR:QUERY=RkZfREVCVChRVFIsMCwsLCxVU0Qp&amp;WINDOW=FIRST_POPUP&amp;HEIGHT=450&amp;WIDTH=450&amp;START_MAXIMIZED=","FALSE&amp;VAR:CALENDAR=US&amp;VAR:SYMBOL=COR&amp;VAR:INDEX=0"}</definedName>
    <definedName name="_4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2142"}</definedName>
    <definedName name="_4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2141"}</definedName>
    <definedName name="_4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2140"}</definedName>
    <definedName name="_4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2139"}</definedName>
    <definedName name="_4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2138"}</definedName>
    <definedName name="_4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2137"}</definedName>
    <definedName name="_4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2136"}</definedName>
    <definedName name="_4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2135"}</definedName>
    <definedName name="_4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2134"}</definedName>
    <definedName name="_4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2133"}</definedName>
    <definedName name="_42__FDSAUDITLINK__" hidden="1">{"fdsup://directions/FAT Viewer?action=UPDATE&amp;creator=factset&amp;DYN_ARGS=TRUE&amp;DOC_NAME=FAT:FQL_AUDITING_CLIENT_TEMPLATE.FAT&amp;display_string=Audit&amp;VAR:KEY=VGDKRKXSXG&amp;VAR:QUERY=RkZfREVCVChBTk4sMCwsLCxVU0Qp&amp;WINDOW=FIRST_POPUP&amp;HEIGHT=450&amp;WIDTH=450&amp;START_MAXIMIZED=","FALSE&amp;VAR:CALENDAR=US&amp;VAR:SYMBOL=B282YM&amp;VAR:INDEX=0"}</definedName>
    <definedName name="_4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2132"}</definedName>
    <definedName name="_4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2131"}</definedName>
    <definedName name="_4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2130"}</definedName>
    <definedName name="_4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2129"}</definedName>
    <definedName name="_4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2128"}</definedName>
    <definedName name="_4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2127"}</definedName>
    <definedName name="_4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2126"}</definedName>
    <definedName name="_4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2125"}</definedName>
    <definedName name="_4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2124"}</definedName>
    <definedName name="_4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2123"}</definedName>
    <definedName name="_43__FDSAUDITLINK__" hidden="1">{"fdsup://directions/FAT Viewer?action=UPDATE&amp;creator=factset&amp;DYN_ARGS=TRUE&amp;DOC_NAME=FAT:FQL_AUDITING_CLIENT_TEMPLATE.FAT&amp;display_string=Audit&amp;VAR:KEY=HEXYBEROVE&amp;VAR:QUERY=RkZfREVCVChRVFIsMCwsLCxVU0Qp&amp;WINDOW=FIRST_POPUP&amp;HEIGHT=450&amp;WIDTH=450&amp;START_MAXIMIZED=","FALSE&amp;VAR:CALENDAR=US&amp;VAR:SYMBOL=INXN&amp;VAR:INDEX=0"}</definedName>
    <definedName name="_4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2122"}</definedName>
    <definedName name="_4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2121"}</definedName>
    <definedName name="_4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2120"}</definedName>
    <definedName name="_4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2119"}</definedName>
    <definedName name="_4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2118"}</definedName>
    <definedName name="_4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2117"}</definedName>
    <definedName name="_4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2116"}</definedName>
    <definedName name="_4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2115"}</definedName>
    <definedName name="_4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2114"}</definedName>
    <definedName name="_4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2113"}</definedName>
    <definedName name="_44__FDSAUDITLINK__" hidden="1">{"fdsup://directions/FAT Viewer?action=UPDATE&amp;creator=factset&amp;DYN_ARGS=TRUE&amp;DOC_NAME=FAT:FQL_AUDITING_CLIENT_TEMPLATE.FAT&amp;display_string=Audit&amp;VAR:KEY=TETSDKBGXU&amp;VAR:QUERY=RkZfREVCVChRVFIsMCwsLCxVU0Qp&amp;WINDOW=FIRST_POPUP&amp;HEIGHT=450&amp;WIDTH=450&amp;START_MAXIMIZED=","FALSE&amp;VAR:CALENDAR=US&amp;VAR:SYMBOL=COR&amp;VAR:INDEX=0"}</definedName>
    <definedName name="_4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2112"}</definedName>
    <definedName name="_4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2111"}</definedName>
    <definedName name="_4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2110"}</definedName>
    <definedName name="_4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2109"}</definedName>
    <definedName name="_4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2108"}</definedName>
    <definedName name="_4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2107"}</definedName>
    <definedName name="_4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2106"}</definedName>
    <definedName name="_4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2105"}</definedName>
    <definedName name="_4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2104"}</definedName>
    <definedName name="_4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2103"}</definedName>
    <definedName name="_45__FDSAUDITLINK__" hidden="1">{"fdsup://directions/FAT Viewer?action=UPDATE&amp;creator=factset&amp;DYN_ARGS=TRUE&amp;DOC_NAME=FAT:FQL_AUDITING_CLIENT_TEMPLATE.FAT&amp;display_string=Audit&amp;VAR:KEY=NKHKPUFSVM&amp;VAR:QUERY=RkZfREVCVChBTk4sMCwsLCxVU0Qp&amp;WINDOW=FIRST_POPUP&amp;HEIGHT=450&amp;WIDTH=450&amp;START_MAXIMIZED=","FALSE&amp;VAR:CALENDAR=US&amp;VAR:SYMBOL=B282YM&amp;VAR:INDEX=0"}</definedName>
    <definedName name="_4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2102"}</definedName>
    <definedName name="_4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2101"}</definedName>
    <definedName name="_4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2100"}</definedName>
    <definedName name="_4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2099"}</definedName>
    <definedName name="_4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2098"}</definedName>
    <definedName name="_4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2097"}</definedName>
    <definedName name="_4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2096"}</definedName>
    <definedName name="_4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2095"}</definedName>
    <definedName name="_4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2094"}</definedName>
    <definedName name="_4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2093"}</definedName>
    <definedName name="_46__FDSAUDITLINK__" hidden="1">{"fdsup://directions/FAT Viewer?action=UPDATE&amp;creator=factset&amp;DYN_ARGS=TRUE&amp;DOC_NAME=FAT:FQL_AUDITING_CLIENT_TEMPLATE.FAT&amp;display_string=Audit&amp;VAR:KEY=JQBAZWLSNK&amp;VAR:QUERY=RkZfREVCVChRVFIsMCwsLCxVU0Qp&amp;WINDOW=FIRST_POPUP&amp;HEIGHT=450&amp;WIDTH=450&amp;START_MAXIMIZED=","FALSE&amp;VAR:CALENDAR=US&amp;VAR:SYMBOL=INXN&amp;VAR:INDEX=0"}</definedName>
    <definedName name="_4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2092"}</definedName>
    <definedName name="_4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2091"}</definedName>
    <definedName name="_4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2090"}</definedName>
    <definedName name="_4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2089"}</definedName>
    <definedName name="_4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2088"}</definedName>
    <definedName name="_4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2087"}</definedName>
    <definedName name="_4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2086"}</definedName>
    <definedName name="_4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2085"}</definedName>
    <definedName name="_4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2084"}</definedName>
    <definedName name="_4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2083"}</definedName>
    <definedName name="_47__FDSAUDITLINK__" hidden="1">{"fdsup://directions/FAT Viewer?action=UPDATE&amp;creator=factset&amp;DYN_ARGS=TRUE&amp;DOC_NAME=FAT:FQL_AUDITING_CLIENT_TEMPLATE.FAT&amp;display_string=Audit&amp;VAR:KEY=BWFGNUZENC&amp;VAR:QUERY=RkZfREVCVChRVFIsMCwsLCxVU0Qp&amp;WINDOW=FIRST_POPUP&amp;HEIGHT=450&amp;WIDTH=450&amp;START_MAXIMIZED=","FALSE&amp;VAR:CALENDAR=US&amp;VAR:SYMBOL=COR&amp;VAR:INDEX=0"}</definedName>
    <definedName name="_4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2082"}</definedName>
    <definedName name="_4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2081"}</definedName>
    <definedName name="_4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2080"}</definedName>
    <definedName name="_4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2079"}</definedName>
    <definedName name="_4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2078"}</definedName>
    <definedName name="_4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2077"}</definedName>
    <definedName name="_4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2076"}</definedName>
    <definedName name="_4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2075"}</definedName>
    <definedName name="_4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2074"}</definedName>
    <definedName name="_4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2073"}</definedName>
    <definedName name="_48__FDSAUDITLINK__" hidden="1">{"fdsup://directions/FAT Viewer?action=UPDATE&amp;creator=factset&amp;DYN_ARGS=TRUE&amp;DOC_NAME=FAT:FQL_AUDITING_CLIENT_TEMPLATE.FAT&amp;display_string=Audit&amp;VAR:KEY=WBIVCDWLAX&amp;VAR:QUERY=RkZfREVCVChBTk4sMCwsLCxVU0Qp&amp;WINDOW=FIRST_POPUP&amp;HEIGHT=450&amp;WIDTH=450&amp;START_MAXIMIZED=","FALSE&amp;VAR:CALENDAR=US&amp;VAR:SYMBOL=B282YM&amp;VAR:INDEX=0"}</definedName>
    <definedName name="_4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2072"}</definedName>
    <definedName name="_4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2071"}</definedName>
    <definedName name="_4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2070"}</definedName>
    <definedName name="_4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2069"}</definedName>
    <definedName name="_4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2068"}</definedName>
    <definedName name="_4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2067"}</definedName>
    <definedName name="_4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2066"}</definedName>
    <definedName name="_4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2065"}</definedName>
    <definedName name="_4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2064"}</definedName>
    <definedName name="_4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2063"}</definedName>
    <definedName name="_49__FDSAUDITLINK__" hidden="1">{"fdsup://directions/FAT Viewer?action=UPDATE&amp;creator=factset&amp;DYN_ARGS=TRUE&amp;DOC_NAME=FAT:FQL_AUDITING_CLIENT_TEMPLATE.FAT&amp;display_string=Audit&amp;VAR:KEY=UZKXINMHOB&amp;VAR:QUERY=RkZfREVCVChRVFIsMCwsLCxVU0Qp&amp;WINDOW=FIRST_POPUP&amp;HEIGHT=450&amp;WIDTH=450&amp;START_MAXIMIZED=","FALSE&amp;VAR:CALENDAR=US&amp;VAR:SYMBOL=INXN&amp;VAR:INDEX=0"}</definedName>
    <definedName name="_4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2062"}</definedName>
    <definedName name="_4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2061"}</definedName>
    <definedName name="_4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2060"}</definedName>
    <definedName name="_4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2059"}</definedName>
    <definedName name="_4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2058"}</definedName>
    <definedName name="_4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2057"}</definedName>
    <definedName name="_4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2056"}</definedName>
    <definedName name="_4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2055"}</definedName>
    <definedName name="_4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2054"}</definedName>
    <definedName name="_4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2053"}</definedName>
    <definedName name="_4Q05VarAnalysis">'[1]4Q05 Earnings Variance'!$A$7:$H$82</definedName>
    <definedName name="_4Q06VarAnalysis">'[1]4Q06 Earnings Variance'!$A$7:$H$88</definedName>
    <definedName name="_4Q07VarAnalysis">'[1]4Q07 Earnings Variance'!$A$7:$H$89</definedName>
    <definedName name="_5__FDSAUDITLINK__" hidden="1">{"fdsup://directions/FAT Viewer?action=UPDATE&amp;creator=factset&amp;DYN_ARGS=TRUE&amp;DOC_NAME=FAT:FQL_AUDITING_CLIENT_TEMPLATE.FAT&amp;display_string=Audit&amp;VAR:KEY=GFKPGNUHGB&amp;VAR:QUERY=RkZfREVCVChBTk4sMCwsLCxVU0Qp&amp;WINDOW=FIRST_POPUP&amp;HEIGHT=450&amp;WIDTH=450&amp;START_MAXIMIZED=","FALSE&amp;VAR:CALENDAR=US&amp;VAR:SYMBOL=B282YM&amp;VAR:INDEX=0"}</definedName>
    <definedName name="_50__FDSAUDITLINK__" hidden="1">{"fdsup://directions/FAT Viewer?action=UPDATE&amp;creator=factset&amp;DYN_ARGS=TRUE&amp;DOC_NAME=FAT:FQL_AUDITING_CLIENT_TEMPLATE.FAT&amp;display_string=Audit&amp;VAR:KEY=EXSVOHGDYH&amp;VAR:QUERY=RkZfREVCVChRVFIsMCwsLCxVU0Qp&amp;WINDOW=FIRST_POPUP&amp;HEIGHT=450&amp;WIDTH=450&amp;START_MAXIMIZED=","FALSE&amp;VAR:CALENDAR=US&amp;VAR:SYMBOL=COR&amp;VAR:INDEX=0"}</definedName>
    <definedName name="_5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2052"}</definedName>
    <definedName name="_5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2051"}</definedName>
    <definedName name="_5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2050"}</definedName>
    <definedName name="_5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2049"}</definedName>
    <definedName name="_5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2048"}</definedName>
    <definedName name="_5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2047"}</definedName>
    <definedName name="_5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2046"}</definedName>
    <definedName name="_5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2045"}</definedName>
    <definedName name="_5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2044"}</definedName>
    <definedName name="_5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2043"}</definedName>
    <definedName name="_51__FDSAUDITLINK__" hidden="1">{"fdsup://directions/FAT Viewer?action=UPDATE&amp;creator=factset&amp;DYN_ARGS=TRUE&amp;DOC_NAME=FAT:FQL_AUDITING_CLIENT_TEMPLATE.FAT&amp;display_string=Audit&amp;VAR:KEY=PKPEBABGZG&amp;VAR:QUERY=RkZfREVCVChBTk4sMCwsLCxVU0Qp&amp;WINDOW=FIRST_POPUP&amp;HEIGHT=450&amp;WIDTH=450&amp;START_MAXIMIZED=","FALSE&amp;VAR:CALENDAR=US&amp;VAR:SYMBOL=B282YM&amp;VAR:INDEX=0"}</definedName>
    <definedName name="_5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2042"}</definedName>
    <definedName name="_5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2041"}</definedName>
    <definedName name="_5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2040"}</definedName>
    <definedName name="_5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2039"}</definedName>
    <definedName name="_5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2038"}</definedName>
    <definedName name="_5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2037"}</definedName>
    <definedName name="_5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2036"}</definedName>
    <definedName name="_5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2035"}</definedName>
    <definedName name="_5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2034"}</definedName>
    <definedName name="_5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2033"}</definedName>
    <definedName name="_52__FDSAUDITLINK__" hidden="1">{"fdsup://Directions/FactSet Auditing Viewer?action=AUDIT_VALUE&amp;DB=129&amp;ID1=B66QLT&amp;VALUEID=02001&amp;SDATE=201102&amp;PERIODTYPE=QTR_STD&amp;SCFT=3&amp;window=popup_no_bar&amp;width=385&amp;height=120&amp;START_MAXIMIZED=FALSE&amp;creator=factset&amp;display_string=Audit"}</definedName>
    <definedName name="_5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2032"}</definedName>
    <definedName name="_5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2031"}</definedName>
    <definedName name="_5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2030"}</definedName>
    <definedName name="_5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2029"}</definedName>
    <definedName name="_5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2028"}</definedName>
    <definedName name="_5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2027"}</definedName>
    <definedName name="_5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2026"}</definedName>
    <definedName name="_5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2025"}</definedName>
    <definedName name="_5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2024"}</definedName>
    <definedName name="_5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2023"}</definedName>
    <definedName name="_53__FDSAUDITLINK__" hidden="1">{"fdsup://directions/FAT Viewer?action=UPDATE&amp;creator=factset&amp;DYN_ARGS=TRUE&amp;DOC_NAME=FAT:FQL_AUDITING_CLIENT_TEMPLATE.FAT&amp;display_string=Audit&amp;VAR:KEY=PCRGJOXSDU&amp;VAR:QUERY=RkZfREVCVChRVFIsMCwsLCxVU0Qp&amp;WINDOW=FIRST_POPUP&amp;HEIGHT=450&amp;WIDTH=450&amp;START_MAXIMIZED=","FALSE&amp;VAR:CALENDAR=US&amp;VAR:SYMBOL=INXN&amp;VAR:INDEX=0"}</definedName>
    <definedName name="_5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2022"}</definedName>
    <definedName name="_5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2021"}</definedName>
    <definedName name="_5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2020"}</definedName>
    <definedName name="_5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2019"}</definedName>
    <definedName name="_5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2018"}</definedName>
    <definedName name="_5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2017"}</definedName>
    <definedName name="_5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2016"}</definedName>
    <definedName name="_5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2015"}</definedName>
    <definedName name="_5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2014"}</definedName>
    <definedName name="_5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2013"}</definedName>
    <definedName name="_54__FDSAUDITLINK__" hidden="1">{"fdsup://directions/FAT Viewer?action=UPDATE&amp;creator=factset&amp;DYN_ARGS=TRUE&amp;DOC_NAME=FAT:FQL_AUDITING_CLIENT_TEMPLATE.FAT&amp;display_string=Audit&amp;VAR:KEY=ZAZOHSNGHC&amp;VAR:QUERY=RkZfREVCVChRVFIsMCwsLCxVU0Qp&amp;WINDOW=FIRST_POPUP&amp;HEIGHT=450&amp;WIDTH=450&amp;START_MAXIMIZED=","FALSE&amp;VAR:CALENDAR=US&amp;VAR:SYMBOL=COR&amp;VAR:INDEX=0"}</definedName>
    <definedName name="_5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2012"}</definedName>
    <definedName name="_5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2011"}</definedName>
    <definedName name="_5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2010"}</definedName>
    <definedName name="_5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2009"}</definedName>
    <definedName name="_5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2008"}</definedName>
    <definedName name="_5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2007"}</definedName>
    <definedName name="_5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2006"}</definedName>
    <definedName name="_5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2005"}</definedName>
    <definedName name="_5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2004"}</definedName>
    <definedName name="_5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2003"}</definedName>
    <definedName name="_55__FDSAUDITLINK__" hidden="1">{"fdsup://Directions/FactSet Auditing Viewer?action=AUDIT_VALUE&amp;DB=129&amp;ID1=B66QLT&amp;VALUEID=05194&amp;SDATE=201102&amp;PERIODTYPE=QTR_STD&amp;SCFT=3&amp;window=popup_no_bar&amp;width=385&amp;height=120&amp;START_MAXIMIZED=FALSE&amp;creator=factset&amp;display_string=Audit"}</definedName>
    <definedName name="_5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2002"}</definedName>
    <definedName name="_5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2001"}</definedName>
    <definedName name="_5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2000"}</definedName>
    <definedName name="_5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1999"}</definedName>
    <definedName name="_5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1998"}</definedName>
    <definedName name="_5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1997"}</definedName>
    <definedName name="_5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1996"}</definedName>
    <definedName name="_5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1995"}</definedName>
    <definedName name="_5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1994"}</definedName>
    <definedName name="_5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1993"}</definedName>
    <definedName name="_56__FDSAUDITLINK__" hidden="1">{"fdsup://Directions/FactSet Auditing Viewer?action=AUDIT_VALUE&amp;DB=129&amp;ID1=B66QLT&amp;VALUEID=05194&amp;SDATE=201102&amp;PERIODTYPE=QTR_STD&amp;SCFT=3&amp;window=popup_no_bar&amp;width=385&amp;height=120&amp;START_MAXIMIZED=FALSE&amp;creator=factset&amp;display_string=Audit"}</definedName>
    <definedName name="_5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1992"}</definedName>
    <definedName name="_5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1991"}</definedName>
    <definedName name="_5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1990"}</definedName>
    <definedName name="_5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1989"}</definedName>
    <definedName name="_5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1988"}</definedName>
    <definedName name="_5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1987"}</definedName>
    <definedName name="_5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1986"}</definedName>
    <definedName name="_5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1985"}</definedName>
    <definedName name="_5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1984"}</definedName>
    <definedName name="_5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1983"}</definedName>
    <definedName name="_57__FDSAUDITLINK__" hidden="1">{"fdsup://Directions/FactSet Auditing Viewer?action=AUDIT_VALUE&amp;DB=129&amp;ID1=21870Q10&amp;VALUEID=05194&amp;SDATE=201102&amp;PERIODTYPE=QTR_STD&amp;SCFT=3&amp;window=popup_no_bar&amp;width=385&amp;height=120&amp;START_MAXIMIZED=FALSE&amp;creator=factset&amp;display_string=Audit"}</definedName>
    <definedName name="_5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1982"}</definedName>
    <definedName name="_5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1981"}</definedName>
    <definedName name="_5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1980"}</definedName>
    <definedName name="_5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1979"}</definedName>
    <definedName name="_5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1978"}</definedName>
    <definedName name="_5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1977"}</definedName>
    <definedName name="_5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1976"}</definedName>
    <definedName name="_5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1975"}</definedName>
    <definedName name="_5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1974"}</definedName>
    <definedName name="_5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1973"}</definedName>
    <definedName name="_58__FDSAUDITLINK__" hidden="1">{"fdsup://directions/FAT Viewer?action=UPDATE&amp;creator=factset&amp;DYN_ARGS=TRUE&amp;DOC_NAME=FAT:FQL_AUDITING_CLIENT_TEMPLATE.FAT&amp;display_string=Audit&amp;VAR:KEY=ZAZOHSNGHC&amp;VAR:QUERY=RkZfREVCVChRVFIsMCwsLCxVU0Qp&amp;WINDOW=FIRST_POPUP&amp;HEIGHT=450&amp;WIDTH=450&amp;START_MAXIMIZED=","FALSE&amp;VAR:CALENDAR=US&amp;VAR:SYMBOL=COR&amp;VAR:INDEX=0"}</definedName>
    <definedName name="_5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1972"}</definedName>
    <definedName name="_5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1971"}</definedName>
    <definedName name="_5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1970"}</definedName>
    <definedName name="_5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1969"}</definedName>
    <definedName name="_5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1968"}</definedName>
    <definedName name="_5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1967"}</definedName>
    <definedName name="_5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1966"}</definedName>
    <definedName name="_5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1965"}</definedName>
    <definedName name="_5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1964"}</definedName>
    <definedName name="_5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1963"}</definedName>
    <definedName name="_59__FDSAUDITLINK__" hidden="1">{"fdsup://Directions/FactSet Auditing Viewer?action=AUDIT_VALUE&amp;DB=129&amp;ID1=21870Q10&amp;VALUEID=02001&amp;SDATE=201102&amp;PERIODTYPE=QTR_STD&amp;SCFT=3&amp;window=popup_no_bar&amp;width=385&amp;height=120&amp;START_MAXIMIZED=FALSE&amp;creator=factset&amp;display_string=Audit"}</definedName>
    <definedName name="_5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1962"}</definedName>
    <definedName name="_5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1961"}</definedName>
    <definedName name="_5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1960"}</definedName>
    <definedName name="_5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1959"}</definedName>
    <definedName name="_5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1958"}</definedName>
    <definedName name="_5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1957"}</definedName>
    <definedName name="_5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1956"}</definedName>
    <definedName name="_5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1955"}</definedName>
    <definedName name="_5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1954"}</definedName>
    <definedName name="_5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1953"}</definedName>
    <definedName name="_6__FDSAUDITLINK__" hidden="1">{"fdsup://directions/FAT Viewer?action=UPDATE&amp;creator=factset&amp;DYN_ARGS=TRUE&amp;DOC_NAME=FAT:FQL_AUDITING_CLIENT_TEMPLATE.FAT&amp;display_string=Audit&amp;VAR:KEY=IBMPMRYXGH&amp;VAR:QUERY=RkZfREVCVChRVFIsMCwsLCxVU0Qp&amp;WINDOW=FIRST_POPUP&amp;HEIGHT=450&amp;WIDTH=450&amp;START_MAXIMIZED=","FALSE&amp;VAR:CALENDAR=US&amp;VAR:SYMBOL=INXN&amp;VAR:INDEX=0"}</definedName>
    <definedName name="_60__FDSAUDITLINK__" hidden="1">{"fdsup://directions/FAT Viewer?action=UPDATE&amp;creator=factset&amp;DYN_ARGS=TRUE&amp;DOC_NAME=FAT:FQL_AUDITING_CLIENT_TEMPLATE.FAT&amp;display_string=Audit&amp;VAR:KEY=PCRGJOXSDU&amp;VAR:QUERY=RkZfREVCVChRVFIsMCwsLCxVU0Qp&amp;WINDOW=FIRST_POPUP&amp;HEIGHT=450&amp;WIDTH=450&amp;START_MAXIMIZED=","FALSE&amp;VAR:CALENDAR=US&amp;VAR:SYMBOL=INXN&amp;VAR:INDEX=0"}</definedName>
    <definedName name="_6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1952"}</definedName>
    <definedName name="_6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1951"}</definedName>
    <definedName name="_6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1950"}</definedName>
    <definedName name="_6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1949"}</definedName>
    <definedName name="_6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1948"}</definedName>
    <definedName name="_6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1947"}</definedName>
    <definedName name="_6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1946"}</definedName>
    <definedName name="_6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1945"}</definedName>
    <definedName name="_6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1944"}</definedName>
    <definedName name="_6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1943"}</definedName>
    <definedName name="_61__FDSAUDITLINK__" hidden="1">{"fdsup://Directions/FactSet Auditing Viewer?action=AUDIT_VALUE&amp;DB=129&amp;ID1=B66QLT&amp;VALUEID=02001&amp;SDATE=201102&amp;PERIODTYPE=QTR_STD&amp;SCFT=3&amp;window=popup_no_bar&amp;width=385&amp;height=120&amp;START_MAXIMIZED=FALSE&amp;creator=factset&amp;display_string=Audit"}</definedName>
    <definedName name="_6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1942"}</definedName>
    <definedName name="_6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1941"}</definedName>
    <definedName name="_6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1940"}</definedName>
    <definedName name="_6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1939"}</definedName>
    <definedName name="_6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1938"}</definedName>
    <definedName name="_6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1937"}</definedName>
    <definedName name="_6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1936"}</definedName>
    <definedName name="_6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1935"}</definedName>
    <definedName name="_6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1934"}</definedName>
    <definedName name="_6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1933"}</definedName>
    <definedName name="_62__FDSAUDITLINK__" hidden="1">{"fdsup://directions/FAT Viewer?action=UPDATE&amp;creator=factset&amp;DYN_ARGS=TRUE&amp;DOC_NAME=FAT:FQL_AUDITING_CLIENT_TEMPLATE.FAT&amp;display_string=Audit&amp;VAR:KEY=PKPEBABGZG&amp;VAR:QUERY=RkZfREVCVChBTk4sMCwsLCxVU0Qp&amp;WINDOW=FIRST_POPUP&amp;HEIGHT=450&amp;WIDTH=450&amp;START_MAXIMIZED=","FALSE&amp;VAR:CALENDAR=US&amp;VAR:SYMBOL=B282YM&amp;VAR:INDEX=0"}</definedName>
    <definedName name="_6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1932"}</definedName>
    <definedName name="_6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1931"}</definedName>
    <definedName name="_6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1930"}</definedName>
    <definedName name="_6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1929"}</definedName>
    <definedName name="_6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1928"}</definedName>
    <definedName name="_6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1927"}</definedName>
    <definedName name="_6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1926"}</definedName>
    <definedName name="_6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1925"}</definedName>
    <definedName name="_6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1924"}</definedName>
    <definedName name="_6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1923"}</definedName>
    <definedName name="_63__FDSAUDITLINK__" hidden="1">{"fdsup://directions/FAT Viewer?action=UPDATE&amp;creator=factset&amp;DYN_ARGS=TRUE&amp;DOC_NAME=FAT:FQL_AUDITING_CLIENT_TEMPLATE.FAT&amp;display_string=Audit&amp;VAR:KEY=NMRSDQPYVE&amp;VAR:QUERY=RkZfREVCVChBTk4sMCwsLCxVU0Qp&amp;WINDOW=FIRST_POPUP&amp;HEIGHT=450&amp;WIDTH=450&amp;START_MAXIMIZED=","FALSE&amp;VAR:CALENDAR=US&amp;VAR:SYMBOL=B282YM&amp;VAR:INDEX=0"}</definedName>
    <definedName name="_6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1922"}</definedName>
    <definedName name="_6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1921"}</definedName>
    <definedName name="_6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1920"}</definedName>
    <definedName name="_6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1919"}</definedName>
    <definedName name="_6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1918"}</definedName>
    <definedName name="_6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1917"}</definedName>
    <definedName name="_6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1916"}</definedName>
    <definedName name="_6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1915"}</definedName>
    <definedName name="_6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1914"}</definedName>
    <definedName name="_6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1913"}</definedName>
    <definedName name="_64__FDSAUDITLINK__" hidden="1">{"fdsup://directions/FAT Viewer?action=UPDATE&amp;creator=factset&amp;DYN_ARGS=TRUE&amp;DOC_NAME=FAT:FQL_AUDITING_CLIENT_TEMPLATE.FAT&amp;display_string=Audit&amp;VAR:KEY=DKJMJYXCHS&amp;VAR:QUERY=RkZfREVCVChRVFIsMCwsLCxVU0Qp&amp;WINDOW=FIRST_POPUP&amp;HEIGHT=450&amp;WIDTH=450&amp;START_MAXIMIZED=","FALSE&amp;VAR:CALENDAR=US&amp;VAR:SYMBOL=INXN&amp;VAR:INDEX=0"}</definedName>
    <definedName name="_6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1912"}</definedName>
    <definedName name="_6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1911"}</definedName>
    <definedName name="_6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1910"}</definedName>
    <definedName name="_6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1909"}</definedName>
    <definedName name="_6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1908"}</definedName>
    <definedName name="_6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1907"}</definedName>
    <definedName name="_6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1906"}</definedName>
    <definedName name="_6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1905"}</definedName>
    <definedName name="_6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1904"}</definedName>
    <definedName name="_6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1903"}</definedName>
    <definedName name="_65__FDSAUDITLINK__" hidden="1">{"fdsup://directions/FAT Viewer?action=UPDATE&amp;creator=factset&amp;DYN_ARGS=TRUE&amp;DOC_NAME=FAT:FQL_AUDITING_CLIENT_TEMPLATE.FAT&amp;display_string=Audit&amp;VAR:KEY=FCTIVOBAVY&amp;VAR:QUERY=RkZfREVCVChRVFIsMCwsLCxVU0Qp&amp;WINDOW=FIRST_POPUP&amp;HEIGHT=450&amp;WIDTH=450&amp;START_MAXIMIZED=","FALSE&amp;VAR:CALENDAR=US&amp;VAR:SYMBOL=COR&amp;VAR:INDEX=0"}</definedName>
    <definedName name="_6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1902"}</definedName>
    <definedName name="_6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1901"}</definedName>
    <definedName name="_6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1900"}</definedName>
    <definedName name="_6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1899"}</definedName>
    <definedName name="_6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1898"}</definedName>
    <definedName name="_6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1897"}</definedName>
    <definedName name="_6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1896"}</definedName>
    <definedName name="_6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1895"}</definedName>
    <definedName name="_6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1894"}</definedName>
    <definedName name="_6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1893"}</definedName>
    <definedName name="_66__FDSAUDITLINK__" hidden="1">{"fdsup://directions/FAT Viewer?action=UPDATE&amp;creator=factset&amp;DYN_ARGS=TRUE&amp;DOC_NAME=FAT:FQL_AUDITING_CLIENT_TEMPLATE.FAT&amp;display_string=Audit&amp;VAR:KEY=BIPITALWTE&amp;VAR:QUERY=RkZfREVCVChBTk4sMCwsLCxVU0Qp&amp;WINDOW=FIRST_POPUP&amp;HEIGHT=450&amp;WIDTH=450&amp;START_MAXIMIZED=","FALSE&amp;VAR:CALENDAR=US&amp;VAR:SYMBOL=B282YM&amp;VAR:INDEX=0"}</definedName>
    <definedName name="_6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1892"}</definedName>
    <definedName name="_6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1891"}</definedName>
    <definedName name="_6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1890"}</definedName>
    <definedName name="_6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1889"}</definedName>
    <definedName name="_6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1888"}</definedName>
    <definedName name="_6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1887"}</definedName>
    <definedName name="_6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1886"}</definedName>
    <definedName name="_6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1885"}</definedName>
    <definedName name="_6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1884"}</definedName>
    <definedName name="_6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1883"}</definedName>
    <definedName name="_67__FDSAUDITLINK__" hidden="1">{"fdsup://directions/FAT Viewer?action=UPDATE&amp;creator=factset&amp;DYN_ARGS=TRUE&amp;DOC_NAME=FAT:FQL_AUDITING_CLIENT_TEMPLATE.FAT&amp;display_string=Audit&amp;VAR:KEY=JKZMPWHYZI&amp;VAR:QUERY=RkZfREVCVChRVFIsMCwsLCxVU0Qp&amp;WINDOW=FIRST_POPUP&amp;HEIGHT=450&amp;WIDTH=450&amp;START_MAXIMIZED=","FALSE&amp;VAR:CALENDAR=US&amp;VAR:SYMBOL=INXN&amp;VAR:INDEX=0"}</definedName>
    <definedName name="_6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1882"}</definedName>
    <definedName name="_6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1881"}</definedName>
    <definedName name="_6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1880"}</definedName>
    <definedName name="_6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1879"}</definedName>
    <definedName name="_6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1878"}</definedName>
    <definedName name="_6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1877"}</definedName>
    <definedName name="_6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1876"}</definedName>
    <definedName name="_6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1875"}</definedName>
    <definedName name="_6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1874"}</definedName>
    <definedName name="_6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1873"}</definedName>
    <definedName name="_68__FDSAUDITLINK__" hidden="1">{"fdsup://directions/FAT Viewer?action=UPDATE&amp;creator=factset&amp;DYN_ARGS=TRUE&amp;DOC_NAME=FAT:FQL_AUDITING_CLIENT_TEMPLATE.FAT&amp;display_string=Audit&amp;VAR:KEY=NWLGLCTEHS&amp;VAR:QUERY=RkZfREVCVChRVFIsMCwsLCxVU0Qp&amp;WINDOW=FIRST_POPUP&amp;HEIGHT=450&amp;WIDTH=450&amp;START_MAXIMIZED=","FALSE&amp;VAR:CALENDAR=US&amp;VAR:SYMBOL=COR&amp;VAR:INDEX=0"}</definedName>
    <definedName name="_6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1872"}</definedName>
    <definedName name="_6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1871"}</definedName>
    <definedName name="_6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1870"}</definedName>
    <definedName name="_6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1869"}</definedName>
    <definedName name="_6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1868"}</definedName>
    <definedName name="_6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1867"}</definedName>
    <definedName name="_6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1866"}</definedName>
    <definedName name="_6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1865"}</definedName>
    <definedName name="_6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1864"}</definedName>
    <definedName name="_6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1863"}</definedName>
    <definedName name="_69__FDSAUDITLINK__" hidden="1">{"fdsup://directions/FAT Viewer?action=UPDATE&amp;creator=factset&amp;DYN_ARGS=TRUE&amp;DOC_NAME=FAT:FQL_AUDITING_CLIENT_TEMPLATE.FAT&amp;display_string=Audit&amp;VAR:KEY=HCBKZKHUPE&amp;VAR:QUERY=RkZfREVCVChBTk4sMCwsLCxVU0Qp&amp;WINDOW=FIRST_POPUP&amp;HEIGHT=450&amp;WIDTH=450&amp;START_MAXIMIZED=","FALSE&amp;VAR:CALENDAR=US&amp;VAR:SYMBOL=B282YM&amp;VAR:INDEX=0"}</definedName>
    <definedName name="_6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1862"}</definedName>
    <definedName name="_6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1861"}</definedName>
    <definedName name="_6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1860"}</definedName>
    <definedName name="_6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1859"}</definedName>
    <definedName name="_6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1858"}</definedName>
    <definedName name="_6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1857"}</definedName>
    <definedName name="_6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1856"}</definedName>
    <definedName name="_6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1855"}</definedName>
    <definedName name="_6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1854"}</definedName>
    <definedName name="_6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1853"}</definedName>
    <definedName name="_7__FDSAUDITLINK__" hidden="1">{"fdsup://directions/FAT Viewer?action=UPDATE&amp;creator=factset&amp;DYN_ARGS=TRUE&amp;DOC_NAME=FAT:FQL_AUDITING_CLIENT_TEMPLATE.FAT&amp;display_string=Audit&amp;VAR:KEY=GHKNGNCFGF&amp;VAR:QUERY=RkZfREVCVChRVFIsMCwsLCxVU0Qp&amp;WINDOW=FIRST_POPUP&amp;HEIGHT=450&amp;WIDTH=450&amp;START_MAXIMIZED=","FALSE&amp;VAR:CALENDAR=US&amp;VAR:SYMBOL=COR&amp;VAR:INDEX=0"}</definedName>
    <definedName name="_70__FDSAUDITLINK__" hidden="1">{"fdsup://directions/FAT Viewer?action=UPDATE&amp;creator=factset&amp;DYN_ARGS=TRUE&amp;DOC_NAME=FAT:FQL_AUDITING_CLIENT_TEMPLATE.FAT&amp;display_string=Audit&amp;VAR:KEY=VYDUFQRKXC&amp;VAR:QUERY=RkZfREVCVChRVFIsMCwsLCxVU0Qp&amp;WINDOW=FIRST_POPUP&amp;HEIGHT=450&amp;WIDTH=450&amp;START_MAXIMIZED=","FALSE&amp;VAR:CALENDAR=US&amp;VAR:SYMBOL=INXN&amp;VAR:INDEX=0"}</definedName>
    <definedName name="_7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1852"}</definedName>
    <definedName name="_7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1851"}</definedName>
    <definedName name="_7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1850"}</definedName>
    <definedName name="_7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1849"}</definedName>
    <definedName name="_7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1848"}</definedName>
    <definedName name="_7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1847"}</definedName>
    <definedName name="_7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1846"}</definedName>
    <definedName name="_7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1845"}</definedName>
    <definedName name="_7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1844"}</definedName>
    <definedName name="_7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1843"}</definedName>
    <definedName name="_71__FDSAUDITLINK__" hidden="1">{"fdsup://directions/FAT Viewer?action=UPDATE&amp;creator=factset&amp;DYN_ARGS=TRUE&amp;DOC_NAME=FAT:FQL_AUDITING_CLIENT_TEMPLATE.FAT&amp;display_string=Audit&amp;VAR:KEY=TMTONOJEPY&amp;VAR:QUERY=RkZfREVCVChRVFIsMCwsLCxVU0Qp&amp;WINDOW=FIRST_POPUP&amp;HEIGHT=450&amp;WIDTH=450&amp;START_MAXIMIZED=","FALSE&amp;VAR:CALENDAR=US&amp;VAR:SYMBOL=COR&amp;VAR:INDEX=0"}</definedName>
    <definedName name="_7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1842"}</definedName>
    <definedName name="_7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1841"}</definedName>
    <definedName name="_7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1840"}</definedName>
    <definedName name="_7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1839"}</definedName>
    <definedName name="_7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1838"}</definedName>
    <definedName name="_7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1837"}</definedName>
    <definedName name="_7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1836"}</definedName>
    <definedName name="_7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1835"}</definedName>
    <definedName name="_7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1834"}</definedName>
    <definedName name="_7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1833"}</definedName>
    <definedName name="_72__FDSAUDITLINK__" hidden="1">{"fdsup://directions/FAT Viewer?action=UPDATE&amp;creator=factset&amp;DYN_ARGS=TRUE&amp;DOC_NAME=FAT:FQL_AUDITING_CLIENT_TEMPLATE.FAT&amp;display_string=Audit&amp;VAR:KEY=DIVALWHKRC&amp;VAR:QUERY=RkZfREVCVChBTk4sMCwsLCxVU0Qp&amp;WINDOW=FIRST_POPUP&amp;HEIGHT=450&amp;WIDTH=450&amp;START_MAXIMIZED=","FALSE&amp;VAR:CALENDAR=US&amp;VAR:SYMBOL=B282YM&amp;VAR:INDEX=0"}</definedName>
    <definedName name="_7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1832"}</definedName>
    <definedName name="_7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1831"}</definedName>
    <definedName name="_7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1830"}</definedName>
    <definedName name="_7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1829"}</definedName>
    <definedName name="_7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1828"}</definedName>
    <definedName name="_7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1827"}</definedName>
    <definedName name="_7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1826"}</definedName>
    <definedName name="_7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1825"}</definedName>
    <definedName name="_7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1824"}</definedName>
    <definedName name="_7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1823"}</definedName>
    <definedName name="_73__FDSAUDITLINK__" hidden="1">{"fdsup://directions/FAT Viewer?action=UPDATE&amp;creator=factset&amp;DYN_ARGS=TRUE&amp;DOC_NAME=FAT:FQL_AUDITING_CLIENT_TEMPLATE.FAT&amp;display_string=Audit&amp;VAR:KEY=TYLYLETIVU&amp;VAR:QUERY=RkZfREVCVChRVFIsMCwsLCxVU0Qp&amp;WINDOW=FIRST_POPUP&amp;HEIGHT=450&amp;WIDTH=450&amp;START_MAXIMIZED=","FALSE&amp;VAR:CALENDAR=US&amp;VAR:SYMBOL=INXN&amp;VAR:INDEX=0"}</definedName>
    <definedName name="_7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1822"}</definedName>
    <definedName name="_7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1821"}</definedName>
    <definedName name="_7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1820"}</definedName>
    <definedName name="_7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1819"}</definedName>
    <definedName name="_7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1818"}</definedName>
    <definedName name="_7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1817"}</definedName>
    <definedName name="_7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1816"}</definedName>
    <definedName name="_7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1815"}</definedName>
    <definedName name="_7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1814"}</definedName>
    <definedName name="_7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1813"}</definedName>
    <definedName name="_74__FDSAUDITLINK__" hidden="1">{"fdsup://directions/FAT Viewer?action=UPDATE&amp;creator=factset&amp;DYN_ARGS=TRUE&amp;DOC_NAME=FAT:FQL_AUDITING_CLIENT_TEMPLATE.FAT&amp;display_string=Audit&amp;VAR:KEY=HYRANQDADC&amp;VAR:QUERY=RkZfREVCVChRVFIsMCwsLCxVU0Qp&amp;WINDOW=FIRST_POPUP&amp;HEIGHT=450&amp;WIDTH=450&amp;START_MAXIMIZED=","FALSE&amp;VAR:CALENDAR=US&amp;VAR:SYMBOL=COR&amp;VAR:INDEX=0"}</definedName>
    <definedName name="_7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1812"}</definedName>
    <definedName name="_7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1811"}</definedName>
    <definedName name="_7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1810"}</definedName>
    <definedName name="_7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1809"}</definedName>
    <definedName name="_7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1808"}</definedName>
    <definedName name="_7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1807"}</definedName>
    <definedName name="_7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1806"}</definedName>
    <definedName name="_7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1805"}</definedName>
    <definedName name="_7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1804"}</definedName>
    <definedName name="_7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1803"}</definedName>
    <definedName name="_75__FDSAUDITLINK__" hidden="1">{"fdsup://directions/FAT Viewer?action=UPDATE&amp;creator=factset&amp;DYN_ARGS=TRUE&amp;DOC_NAME=FAT:FQL_AUDITING_CLIENT_TEMPLATE.FAT&amp;display_string=Audit&amp;VAR:KEY=DIHOLURYRK&amp;VAR:QUERY=RkZfREVCVChBTk4sMCwsLCxVU0Qp&amp;WINDOW=FIRST_POPUP&amp;HEIGHT=450&amp;WIDTH=450&amp;START_MAXIMIZED=","FALSE&amp;VAR:CALENDAR=US&amp;VAR:SYMBOL=B282YM&amp;VAR:INDEX=0"}</definedName>
    <definedName name="_7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1802"}</definedName>
    <definedName name="_7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1801"}</definedName>
    <definedName name="_7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1800"}</definedName>
    <definedName name="_7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1799"}</definedName>
    <definedName name="_7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1798"}</definedName>
    <definedName name="_7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1797"}</definedName>
    <definedName name="_7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1796"}</definedName>
    <definedName name="_7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1795"}</definedName>
    <definedName name="_7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1794"}</definedName>
    <definedName name="_7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1793"}</definedName>
    <definedName name="_76__FDSAUDITLINK__" hidden="1">{"fdsup://directions/FAT Viewer?action=UPDATE&amp;creator=factset&amp;DYN_ARGS=TRUE&amp;DOC_NAME=FAT:FQL_AUDITING_CLIENT_TEMPLATE.FAT&amp;display_string=Audit&amp;VAR:KEY=DMXGXYLUHG&amp;VAR:QUERY=RkZfREVCVChRVFIsMCwsLCxVU0Qp&amp;WINDOW=FIRST_POPUP&amp;HEIGHT=450&amp;WIDTH=450&amp;START_MAXIMIZED=","FALSE&amp;VAR:CALENDAR=US&amp;VAR:SYMBOL=INXN&amp;VAR:INDEX=0"}</definedName>
    <definedName name="_7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1792"}</definedName>
    <definedName name="_7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1791"}</definedName>
    <definedName name="_7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1790"}</definedName>
    <definedName name="_7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1789"}</definedName>
    <definedName name="_7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1788"}</definedName>
    <definedName name="_7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1787"}</definedName>
    <definedName name="_7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1786"}</definedName>
    <definedName name="_7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1785"}</definedName>
    <definedName name="_7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1784"}</definedName>
    <definedName name="_7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1783"}</definedName>
    <definedName name="_77__FDSAUDITLINK__" hidden="1">{"fdsup://directions/FAT Viewer?action=UPDATE&amp;creator=factset&amp;DYN_ARGS=TRUE&amp;DOC_NAME=FAT:FQL_AUDITING_CLIENT_TEMPLATE.FAT&amp;display_string=Audit&amp;VAR:KEY=PCHWVMDETW&amp;VAR:QUERY=RkZfREVCVChRVFIsMCwsLCxVU0Qp&amp;WINDOW=FIRST_POPUP&amp;HEIGHT=450&amp;WIDTH=450&amp;START_MAXIMIZED=","FALSE&amp;VAR:CALENDAR=US&amp;VAR:SYMBOL=COR&amp;VAR:INDEX=0"}</definedName>
    <definedName name="_7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1782"}</definedName>
    <definedName name="_7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1781"}</definedName>
    <definedName name="_7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1780"}</definedName>
    <definedName name="_7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1779"}</definedName>
    <definedName name="_7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1778"}</definedName>
    <definedName name="_7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1777"}</definedName>
    <definedName name="_7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1776"}</definedName>
    <definedName name="_7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1775"}</definedName>
    <definedName name="_7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1774"}</definedName>
    <definedName name="_7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1773"}</definedName>
    <definedName name="_78__FDSAUDITLINK__" hidden="1">{"fdsup://directions/FAT Viewer?action=UPDATE&amp;creator=factset&amp;DYN_ARGS=TRUE&amp;DOC_NAME=FAT:FQL_AUDITING_CLIENT_TEMPLATE.FAT&amp;display_string=Audit&amp;VAR:KEY=DAJGZIBAPU&amp;VAR:QUERY=RkZfREVCVChBTk4sMCwsLCxVU0Qp&amp;WINDOW=FIRST_POPUP&amp;HEIGHT=450&amp;WIDTH=450&amp;START_MAXIMIZED=","FALSE&amp;VAR:CALENDAR=US&amp;VAR:SYMBOL=B282YM&amp;VAR:INDEX=0"}</definedName>
    <definedName name="_7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1772"}</definedName>
    <definedName name="_7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1771"}</definedName>
    <definedName name="_7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1770"}</definedName>
    <definedName name="_7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1769"}</definedName>
    <definedName name="_7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1768"}</definedName>
    <definedName name="_7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1767"}</definedName>
    <definedName name="_7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1766"}</definedName>
    <definedName name="_7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1765"}</definedName>
    <definedName name="_7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1764"}</definedName>
    <definedName name="_7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1763"}</definedName>
    <definedName name="_79__FDSAUDITLINK__" hidden="1">{"fdsup://directions/FAT Viewer?action=UPDATE&amp;creator=factset&amp;DYN_ARGS=TRUE&amp;DOC_NAME=FAT:FQL_AUDITING_CLIENT_TEMPLATE.FAT&amp;display_string=Audit&amp;VAR:KEY=RQDUVQFQNG&amp;VAR:QUERY=RkZfREVCVChRVFIsMCwsLCxVU0Qp&amp;WINDOW=FIRST_POPUP&amp;HEIGHT=450&amp;WIDTH=450&amp;START_MAXIMIZED=","FALSE&amp;VAR:CALENDAR=US&amp;VAR:SYMBOL=INXN&amp;VAR:INDEX=0"}</definedName>
    <definedName name="_7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1762"}</definedName>
    <definedName name="_7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1761"}</definedName>
    <definedName name="_7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1760"}</definedName>
    <definedName name="_7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1759"}</definedName>
    <definedName name="_7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1758"}</definedName>
    <definedName name="_7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1757"}</definedName>
    <definedName name="_7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1756"}</definedName>
    <definedName name="_7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1755"}</definedName>
    <definedName name="_7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1754"}</definedName>
    <definedName name="_7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1753"}</definedName>
    <definedName name="_8__FDSAUDITLINK__" hidden="1">{"fdsup://Directions/FactSet Auditing Viewer?action=AUDIT_VALUE&amp;DB=129&amp;ID1=21870Q10&amp;VALUEID=02001&amp;SDATE=201103&amp;PERIODTYPE=QTR_STD&amp;SCFT=3&amp;window=popup_no_bar&amp;width=385&amp;height=120&amp;START_MAXIMIZED=FALSE&amp;creator=factset&amp;display_string=Audit"}</definedName>
    <definedName name="_80__FDSAUDITLINK__" hidden="1">{"fdsup://directions/FAT Viewer?action=UPDATE&amp;creator=factset&amp;DYN_ARGS=TRUE&amp;DOC_NAME=FAT:FQL_AUDITING_CLIENT_TEMPLATE.FAT&amp;display_string=Audit&amp;VAR:KEY=PAPGVKRGFE&amp;VAR:QUERY=RkZfREVCVChRVFIsMCwsLCxVU0Qp&amp;WINDOW=FIRST_POPUP&amp;HEIGHT=450&amp;WIDTH=450&amp;START_MAXIMIZED=","FALSE&amp;VAR:CALENDAR=US&amp;VAR:SYMBOL=COR&amp;VAR:INDEX=0"}</definedName>
    <definedName name="_8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1752"}</definedName>
    <definedName name="_8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1751"}</definedName>
    <definedName name="_8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1750"}</definedName>
    <definedName name="_8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1749"}</definedName>
    <definedName name="_8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1748"}</definedName>
    <definedName name="_8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1747"}</definedName>
    <definedName name="_8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1746"}</definedName>
    <definedName name="_8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1745"}</definedName>
    <definedName name="_8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1744"}</definedName>
    <definedName name="_8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1743"}</definedName>
    <definedName name="_81__FDSAUDITLINK__" hidden="1">{"fdsup://directions/FAT Viewer?action=UPDATE&amp;creator=factset&amp;DYN_ARGS=TRUE&amp;DOC_NAME=FAT:FQL_AUDITING_CLIENT_TEMPLATE.FAT&amp;display_string=Audit&amp;VAR:KEY=UNEVWXGJET&amp;VAR:QUERY=RkZfREVCVChBTk4sMCwsLCxVU0Qp&amp;WINDOW=FIRST_POPUP&amp;HEIGHT=450&amp;WIDTH=450&amp;START_MAXIMIZED=","FALSE&amp;VAR:CALENDAR=US&amp;VAR:SYMBOL=B282YM&amp;VAR:INDEX=0"}</definedName>
    <definedName name="_8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1742"}</definedName>
    <definedName name="_8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1741"}</definedName>
    <definedName name="_8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1740"}</definedName>
    <definedName name="_8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1739"}</definedName>
    <definedName name="_8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1738"}</definedName>
    <definedName name="_8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1737"}</definedName>
    <definedName name="_8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1736"}</definedName>
    <definedName name="_8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1735"}</definedName>
    <definedName name="_8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1734"}</definedName>
    <definedName name="_8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1733"}</definedName>
    <definedName name="_82__FDSAUDITLINK__" hidden="1">{"fdsup://directions/FAT Viewer?action=UPDATE&amp;creator=factset&amp;DYN_ARGS=TRUE&amp;DOC_NAME=FAT:FQL_AUDITING_CLIENT_TEMPLATE.FAT&amp;display_string=Audit&amp;VAR:KEY=IJEZALUXEB&amp;VAR:QUERY=RkZfREVCVChRVFIsMCwsLCxVU0Qp&amp;WINDOW=FIRST_POPUP&amp;HEIGHT=450&amp;WIDTH=450&amp;START_MAXIMIZED=","FALSE&amp;VAR:CALENDAR=US&amp;VAR:SYMBOL=INXN&amp;VAR:INDEX=0"}</definedName>
    <definedName name="_8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1732"}</definedName>
    <definedName name="_8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1731"}</definedName>
    <definedName name="_8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1730"}</definedName>
    <definedName name="_8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1729"}</definedName>
    <definedName name="_8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1728"}</definedName>
    <definedName name="_8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1727"}</definedName>
    <definedName name="_8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1726"}</definedName>
    <definedName name="_8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1725"}</definedName>
    <definedName name="_8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1724"}</definedName>
    <definedName name="_8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1723"}</definedName>
    <definedName name="_83__FDSAUDITLINK__" hidden="1">{"fdsup://directions/FAT Viewer?action=UPDATE&amp;creator=factset&amp;DYN_ARGS=TRUE&amp;DOC_NAME=FAT:FQL_AUDITING_CLIENT_TEMPLATE.FAT&amp;display_string=Audit&amp;VAR:KEY=KLMPMZCLKT&amp;VAR:QUERY=RkZfREVCVChRVFIsMCwsLCxVU0Qp&amp;WINDOW=FIRST_POPUP&amp;HEIGHT=450&amp;WIDTH=450&amp;START_MAXIMIZED=","FALSE&amp;VAR:CALENDAR=US&amp;VAR:SYMBOL=COR&amp;VAR:INDEX=0"}</definedName>
    <definedName name="_8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1722"}</definedName>
    <definedName name="_8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1721"}</definedName>
    <definedName name="_8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1720"}</definedName>
    <definedName name="_8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1719"}</definedName>
    <definedName name="_8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1718"}</definedName>
    <definedName name="_8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1717"}</definedName>
    <definedName name="_8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1716"}</definedName>
    <definedName name="_8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1715"}</definedName>
    <definedName name="_8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1714"}</definedName>
    <definedName name="_8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1713"}</definedName>
    <definedName name="_84__FDSAUDITLINK__" hidden="1">{"fdsup://directions/FAT Viewer?action=UPDATE&amp;creator=factset&amp;DYN_ARGS=TRUE&amp;DOC_NAME=FAT:FQL_AUDITING_CLIENT_TEMPLATE.FAT&amp;display_string=Audit&amp;VAR:KEY=CDOPYPYJSB&amp;VAR:QUERY=RkZfREVCVChBTk4sMCwsLCxVU0Qp&amp;WINDOW=FIRST_POPUP&amp;HEIGHT=450&amp;WIDTH=450&amp;START_MAXIMIZED=","FALSE&amp;VAR:CALENDAR=US&amp;VAR:SYMBOL=B282YM&amp;VAR:INDEX=0"}</definedName>
    <definedName name="_8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1712"}</definedName>
    <definedName name="_8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1711"}</definedName>
    <definedName name="_8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1710"}</definedName>
    <definedName name="_8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1709"}</definedName>
    <definedName name="_8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1708"}</definedName>
    <definedName name="_8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1707"}</definedName>
    <definedName name="_8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1706"}</definedName>
    <definedName name="_8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1705"}</definedName>
    <definedName name="_8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1704"}</definedName>
    <definedName name="_8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1703"}</definedName>
    <definedName name="_85__FDSAUDITLINK__" hidden="1">{"fdsup://directions/FAT Viewer?action=UPDATE&amp;creator=factset&amp;DYN_ARGS=TRUE&amp;DOC_NAME=FAT:FQL_AUDITING_CLIENT_TEMPLATE.FAT&amp;display_string=Audit&amp;VAR:KEY=QTMVCLQNER&amp;VAR:QUERY=RkZfREVCVChRVFIsMCwsLCxVU0Qp&amp;WINDOW=FIRST_POPUP&amp;HEIGHT=450&amp;WIDTH=450&amp;START_MAXIMIZED=","FALSE&amp;VAR:CALENDAR=US&amp;VAR:SYMBOL=INXN&amp;VAR:INDEX=0"}</definedName>
    <definedName name="_8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1702"}</definedName>
    <definedName name="_8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1701"}</definedName>
    <definedName name="_8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1700"}</definedName>
    <definedName name="_8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1699"}</definedName>
    <definedName name="_8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1698"}</definedName>
    <definedName name="_8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1697"}</definedName>
    <definedName name="_8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1696"}</definedName>
    <definedName name="_8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1695"}</definedName>
    <definedName name="_8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1694"}</definedName>
    <definedName name="_8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1693"}</definedName>
    <definedName name="_86__FDSAUDITLINK__" hidden="1">{"fdsup://directions/FAT Viewer?action=UPDATE&amp;creator=factset&amp;DYN_ARGS=TRUE&amp;DOC_NAME=FAT:FQL_AUDITING_CLIENT_TEMPLATE.FAT&amp;display_string=Audit&amp;VAR:KEY=KXKZQZSVGF&amp;VAR:QUERY=RkZfREVCVChRVFIsMCwsLCxVU0Qp&amp;WINDOW=FIRST_POPUP&amp;HEIGHT=450&amp;WIDTH=450&amp;START_MAXIMIZED=","FALSE&amp;VAR:CALENDAR=US&amp;VAR:SYMBOL=COR&amp;VAR:INDEX=0"}</definedName>
    <definedName name="_8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1692"}</definedName>
    <definedName name="_8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1691"}</definedName>
    <definedName name="_8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1690"}</definedName>
    <definedName name="_8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1689"}</definedName>
    <definedName name="_8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1688"}</definedName>
    <definedName name="_8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1687"}</definedName>
    <definedName name="_8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1686"}</definedName>
    <definedName name="_8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1685"}</definedName>
    <definedName name="_8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1684"}</definedName>
    <definedName name="_8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1683"}</definedName>
    <definedName name="_87__FDSAUDITLINK__" hidden="1">{"fdsup://directions/FAT Viewer?action=UPDATE&amp;creator=factset&amp;DYN_ARGS=TRUE&amp;DOC_NAME=FAT:FQL_AUDITING_CLIENT_TEMPLATE.FAT&amp;display_string=Audit&amp;VAR:KEY=JSLSROZCRU&amp;VAR:QUERY=RkZfREVCVChBTk4sMCwsLCxVU0Qp&amp;WINDOW=FIRST_POPUP&amp;HEIGHT=450&amp;WIDTH=450&amp;START_MAXIMIZED=","FALSE&amp;VAR:CALENDAR=US&amp;VAR:SYMBOL=B282YM&amp;VAR:INDEX=0"}</definedName>
    <definedName name="_8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1682"}</definedName>
    <definedName name="_8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1681"}</definedName>
    <definedName name="_8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1680"}</definedName>
    <definedName name="_8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1679"}</definedName>
    <definedName name="_8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1678"}</definedName>
    <definedName name="_8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1677"}</definedName>
    <definedName name="_8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1676"}</definedName>
    <definedName name="_8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1675"}</definedName>
    <definedName name="_8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1674"}</definedName>
    <definedName name="_8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1673"}</definedName>
    <definedName name="_88__FDSAUDITLINK__" hidden="1">{"fdsup://directions/FAT Viewer?action=UPDATE&amp;creator=factset&amp;DYN_ARGS=TRUE&amp;DOC_NAME=FAT:FQL_AUDITING_CLIENT_TEMPLATE.FAT&amp;display_string=Audit&amp;VAR:KEY=FSNSXABKFI&amp;VAR:QUERY=RkZfREVCVChRVFIsMCwsLCxVU0Qp&amp;WINDOW=FIRST_POPUP&amp;HEIGHT=450&amp;WIDTH=450&amp;START_MAXIMIZED=","FALSE&amp;VAR:CALENDAR=US&amp;VAR:SYMBOL=INXN&amp;VAR:INDEX=0"}</definedName>
    <definedName name="_8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1672"}</definedName>
    <definedName name="_8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1671"}</definedName>
    <definedName name="_8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1670"}</definedName>
    <definedName name="_8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1669"}</definedName>
    <definedName name="_8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1668"}</definedName>
    <definedName name="_8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1667"}</definedName>
    <definedName name="_8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1666"}</definedName>
    <definedName name="_8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1665"}</definedName>
    <definedName name="_8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1664"}</definedName>
    <definedName name="_8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1663"}</definedName>
    <definedName name="_89__FDSAUDITLINK__" hidden="1">{"fdsup://directions/FAT Viewer?action=UPDATE&amp;creator=factset&amp;DYN_ARGS=TRUE&amp;DOC_NAME=FAT:FQL_AUDITING_CLIENT_TEMPLATE.FAT&amp;display_string=Audit&amp;VAR:KEY=VAJUFGDYBU&amp;VAR:QUERY=RkZfREVCVChRVFIsMCwsLCxVU0Qp&amp;WINDOW=FIRST_POPUP&amp;HEIGHT=450&amp;WIDTH=450&amp;START_MAXIMIZED=","FALSE&amp;VAR:CALENDAR=US&amp;VAR:SYMBOL=COR&amp;VAR:INDEX=0"}</definedName>
    <definedName name="_8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1662"}</definedName>
    <definedName name="_8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1661"}</definedName>
    <definedName name="_8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1660"}</definedName>
    <definedName name="_8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1659"}</definedName>
    <definedName name="_8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1658"}</definedName>
    <definedName name="_8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1657"}</definedName>
    <definedName name="_8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1656"}</definedName>
    <definedName name="_8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1655"}</definedName>
    <definedName name="_8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1654"}</definedName>
    <definedName name="_8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1653"}</definedName>
    <definedName name="_9__FDSAUDITLINK__" hidden="1">{"fdsup://directions/FAT Viewer?action=UPDATE&amp;creator=factset&amp;DYN_ARGS=TRUE&amp;DOC_NAME=FAT:FQL_AUDITING_CLIENT_TEMPLATE.FAT&amp;display_string=Audit&amp;VAR:KEY=QBUFMTKNWB&amp;VAR:QUERY=RkZfREVCVChRVFIsMCwsLCxVU0Qp&amp;WINDOW=FIRST_POPUP&amp;HEIGHT=450&amp;WIDTH=450&amp;START_MAXIMIZED=","FALSE&amp;VAR:CALENDAR=US&amp;VAR:SYMBOL=COR&amp;VAR:INDEX=0"}</definedName>
    <definedName name="_90__FDSAUDITLINK__" hidden="1">{"fdsup://directions/FAT Viewer?action=UPDATE&amp;creator=factset&amp;DYN_ARGS=TRUE&amp;DOC_NAME=FAT:FQL_AUDITING_CLIENT_TEMPLATE.FAT&amp;display_string=Audit&amp;VAR:KEY=PKPEBABGZG&amp;VAR:QUERY=RkZfREVCVChBTk4sMCwsLCxVU0Qp&amp;WINDOW=FIRST_POPUP&amp;HEIGHT=450&amp;WIDTH=450&amp;START_MAXIMIZED=","FALSE&amp;VAR:CALENDAR=US&amp;VAR:SYMBOL=B282YM&amp;VAR:INDEX=0"}</definedName>
    <definedName name="_90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1652"}</definedName>
    <definedName name="_90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1651"}</definedName>
    <definedName name="_90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1650"}</definedName>
    <definedName name="_90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1649"}</definedName>
    <definedName name="_90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1648"}</definedName>
    <definedName name="_90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1647"}</definedName>
    <definedName name="_90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1646"}</definedName>
    <definedName name="_90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1645"}</definedName>
    <definedName name="_90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1644"}</definedName>
    <definedName name="_90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1643"}</definedName>
    <definedName name="_91__FDSAUDITLINK__" hidden="1">{"fdsup://directions/FAT Viewer?action=UPDATE&amp;creator=factset&amp;DYN_ARGS=TRUE&amp;DOC_NAME=FAT:FQL_AUDITING_CLIENT_TEMPLATE.FAT&amp;display_string=Audit&amp;VAR:KEY=PCRGJOXSDU&amp;VAR:QUERY=RkZfREVCVChRVFIsMCwsLCxVU0Qp&amp;WINDOW=FIRST_POPUP&amp;HEIGHT=450&amp;WIDTH=450&amp;START_MAXIMIZED=","FALSE&amp;VAR:CALENDAR=US&amp;VAR:SYMBOL=INXN&amp;VAR:INDEX=0"}</definedName>
    <definedName name="_91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1642"}</definedName>
    <definedName name="_91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1641"}</definedName>
    <definedName name="_91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1640"}</definedName>
    <definedName name="_91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1639"}</definedName>
    <definedName name="_91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1638"}</definedName>
    <definedName name="_91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1637"}</definedName>
    <definedName name="_91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1636"}</definedName>
    <definedName name="_91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1635"}</definedName>
    <definedName name="_91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1634"}</definedName>
    <definedName name="_91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1633"}</definedName>
    <definedName name="_92__FDSAUDITLINK__" hidden="1">{"fdsup://directions/FAT Viewer?action=UPDATE&amp;creator=factset&amp;DYN_ARGS=TRUE&amp;DOC_NAME=FAT:FQL_AUDITING_CLIENT_TEMPLATE.FAT&amp;display_string=Audit&amp;VAR:KEY=ZAZOHSNGHC&amp;VAR:QUERY=RkZfREVCVChRVFIsMCwsLCxVU0Qp&amp;WINDOW=FIRST_POPUP&amp;HEIGHT=450&amp;WIDTH=450&amp;START_MAXIMIZED=","FALSE&amp;VAR:CALENDAR=US&amp;VAR:SYMBOL=COR&amp;VAR:INDEX=0"}</definedName>
    <definedName name="_92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1632"}</definedName>
    <definedName name="_92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1631"}</definedName>
    <definedName name="_92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1630"}</definedName>
    <definedName name="_92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1629"}</definedName>
    <definedName name="_92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1628"}</definedName>
    <definedName name="_92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1627"}</definedName>
    <definedName name="_92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1626"}</definedName>
    <definedName name="_92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1625"}</definedName>
    <definedName name="_92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1624"}</definedName>
    <definedName name="_92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1623"}</definedName>
    <definedName name="_93__FDSAUDITLINK__" hidden="1">{"fdsup://directions/FAT Viewer?action=UPDATE&amp;creator=factset&amp;DYN_ARGS=TRUE&amp;DOC_NAME=FAT:FQL_AUDITING_CLIENT_TEMPLATE.FAT&amp;display_string=Audit&amp;VAR:KEY=ZUTANCXYBY&amp;VAR:QUERY=RkZfREVCVChBTk4sMCwsLCxVU0Qp&amp;WINDOW=FIRST_POPUP&amp;HEIGHT=450&amp;WIDTH=450&amp;START_MAXIMIZED=","FALSE&amp;VAR:CALENDAR=US&amp;VAR:SYMBOL=B282YM&amp;VAR:INDEX=0"}</definedName>
    <definedName name="_93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1622"}</definedName>
    <definedName name="_93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1621"}</definedName>
    <definedName name="_93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1620"}</definedName>
    <definedName name="_93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1619"}</definedName>
    <definedName name="_93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1618"}</definedName>
    <definedName name="_93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1617"}</definedName>
    <definedName name="_93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1616"}</definedName>
    <definedName name="_93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1615"}</definedName>
    <definedName name="_93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1614"}</definedName>
    <definedName name="_93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1613"}</definedName>
    <definedName name="_94__FDSAUDITLINK__" hidden="1">{"fdsup://directions/FAT Viewer?action=UPDATE&amp;creator=factset&amp;DYN_ARGS=TRUE&amp;DOC_NAME=FAT:FQL_AUDITING_CLIENT_TEMPLATE.FAT&amp;display_string=Audit&amp;VAR:KEY=DMBMJEZOXW&amp;VAR:QUERY=RkZfREVCVChRVFIsMCwsLCxVU0Qp&amp;WINDOW=FIRST_POPUP&amp;HEIGHT=450&amp;WIDTH=450&amp;START_MAXIMIZED=","FALSE&amp;VAR:CALENDAR=US&amp;VAR:SYMBOL=INXN&amp;VAR:INDEX=0"}</definedName>
    <definedName name="_94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1612"}</definedName>
    <definedName name="_94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1611"}</definedName>
    <definedName name="_94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1610"}</definedName>
    <definedName name="_94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1609"}</definedName>
    <definedName name="_94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1608"}</definedName>
    <definedName name="_94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1607"}</definedName>
    <definedName name="_94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1606"}</definedName>
    <definedName name="_94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1605"}</definedName>
    <definedName name="_94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1604"}</definedName>
    <definedName name="_94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1603"}</definedName>
    <definedName name="_95__FDSAUDITLINK__" hidden="1">{"fdsup://directions/FAT Viewer?action=UPDATE&amp;creator=factset&amp;DYN_ARGS=TRUE&amp;DOC_NAME=FAT:FQL_AUDITING_CLIENT_TEMPLATE.FAT&amp;display_string=Audit&amp;VAR:KEY=XULMNOJINI&amp;VAR:QUERY=RkZfREVCVChRVFIsMCwsLCxVU0Qp&amp;WINDOW=FIRST_POPUP&amp;HEIGHT=450&amp;WIDTH=450&amp;START_MAXIMIZED=","FALSE&amp;VAR:CALENDAR=US&amp;VAR:SYMBOL=COR&amp;VAR:INDEX=0"}</definedName>
    <definedName name="_95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1602"}</definedName>
    <definedName name="_95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1601"}</definedName>
    <definedName name="_95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1600"}</definedName>
    <definedName name="_95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1599"}</definedName>
    <definedName name="_95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1598"}</definedName>
    <definedName name="_95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1597"}</definedName>
    <definedName name="_95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1596"}</definedName>
    <definedName name="_95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1595"}</definedName>
    <definedName name="_95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1594"}</definedName>
    <definedName name="_95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1593"}</definedName>
    <definedName name="_96__FDSAUDITLINK__" hidden="1">{"fdsup://directions/FAT Viewer?action=UPDATE&amp;creator=factset&amp;DYN_ARGS=TRUE&amp;DOC_NAME=FAT:FQL_AUDITING_CLIENT_TEMPLATE.FAT&amp;display_string=Audit&amp;VAR:KEY=DQRYRQRAFS&amp;VAR:QUERY=RkZfREVCVChBTk4sMCwsLCxVU0Qp&amp;WINDOW=FIRST_POPUP&amp;HEIGHT=450&amp;WIDTH=450&amp;START_MAXIMIZED=","FALSE&amp;VAR:CALENDAR=US&amp;VAR:SYMBOL=B282YM&amp;VAR:INDEX=0"}</definedName>
    <definedName name="_96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1592"}</definedName>
    <definedName name="_96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1591"}</definedName>
    <definedName name="_96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1590"}</definedName>
    <definedName name="_96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1589"}</definedName>
    <definedName name="_96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1588"}</definedName>
    <definedName name="_96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1587"}</definedName>
    <definedName name="_96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1586"}</definedName>
    <definedName name="_96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1585"}</definedName>
    <definedName name="_96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1584"}</definedName>
    <definedName name="_96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1583"}</definedName>
    <definedName name="_97__FDSAUDITLINK__" hidden="1">{"fdsup://directions/FAT Viewer?action=UPDATE&amp;creator=factset&amp;DYN_ARGS=TRUE&amp;DOC_NAME=FAT:FQL_AUDITING_CLIENT_TEMPLATE.FAT&amp;display_string=Audit&amp;VAR:KEY=TIPKPINWHM&amp;VAR:QUERY=RkZfREVCVChRVFIsMCwsLCxVU0Qp&amp;WINDOW=FIRST_POPUP&amp;HEIGHT=450&amp;WIDTH=450&amp;START_MAXIMIZED=","FALSE&amp;VAR:CALENDAR=US&amp;VAR:SYMBOL=INXN&amp;VAR:INDEX=0"}</definedName>
    <definedName name="_97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1582"}</definedName>
    <definedName name="_97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1581"}</definedName>
    <definedName name="_97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1580"}</definedName>
    <definedName name="_97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1579"}</definedName>
    <definedName name="_97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1578"}</definedName>
    <definedName name="_97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1577"}</definedName>
    <definedName name="_97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1576"}</definedName>
    <definedName name="_97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1575"}</definedName>
    <definedName name="_97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1574"}</definedName>
    <definedName name="_97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1573"}</definedName>
    <definedName name="_98__FDSAUDITLINK__" hidden="1">{"fdsup://directions/FAT Viewer?action=UPDATE&amp;creator=factset&amp;DYN_ARGS=TRUE&amp;DOC_NAME=FAT:FQL_AUDITING_CLIENT_TEMPLATE.FAT&amp;display_string=Audit&amp;VAR:KEY=RMBOPIHGPI&amp;VAR:QUERY=RkZfREVCVChRVFIsMCwsLCxVU0Qp&amp;WINDOW=FIRST_POPUP&amp;HEIGHT=450&amp;WIDTH=450&amp;START_MAXIMIZED=","FALSE&amp;VAR:CALENDAR=US&amp;VAR:SYMBOL=COR&amp;VAR:INDEX=0"}</definedName>
    <definedName name="_98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1572"}</definedName>
    <definedName name="_98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1571"}</definedName>
    <definedName name="_98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1570"}</definedName>
    <definedName name="_98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1569"}</definedName>
    <definedName name="_98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1568"}</definedName>
    <definedName name="_98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1567"}</definedName>
    <definedName name="_98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1566"}</definedName>
    <definedName name="_98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1565"}</definedName>
    <definedName name="_98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1564"}</definedName>
    <definedName name="_98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1563"}</definedName>
    <definedName name="_99__FDSAUDITLINK__" hidden="1">{"fdsup://directions/FAT Viewer?action=UPDATE&amp;creator=factset&amp;DYN_ARGS=TRUE&amp;DOC_NAME=FAT:FQL_AUDITING_CLIENT_TEMPLATE.FAT&amp;display_string=Audit&amp;VAR:KEY=PKPEBABGZG&amp;VAR:QUERY=RkZfREVCVChBTk4sMCwsLCxVU0Qp&amp;WINDOW=FIRST_POPUP&amp;HEIGHT=450&amp;WIDTH=450&amp;START_MAXIMIZED=","FALSE&amp;VAR:CALENDAR=US&amp;VAR:SYMBOL=B282YM&amp;VAR:INDEX=0"}</definedName>
    <definedName name="_990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1562"}</definedName>
    <definedName name="_991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1561"}</definedName>
    <definedName name="_992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1560"}</definedName>
    <definedName name="_993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1559"}</definedName>
    <definedName name="_994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1558"}</definedName>
    <definedName name="_995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1557"}</definedName>
    <definedName name="_996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1556"}</definedName>
    <definedName name="_997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1555"}</definedName>
    <definedName name="_998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1554"}</definedName>
    <definedName name="_999__FDSAUDITLINK__" hidden="1">{"fdsup://directions/FAT Viewer?action=UPDATE&amp;creator=factset&amp;DYN_ARGS=TRUE&amp;DOC_NAME=FAT:FQL_AUDITING_CLIENT_TEMPLATE.FAT&amp;display_string=Audit&amp;VAR:KEY=RKJMPKZUJA&amp;VAR:QUERY=RkZfRU5UUlBSX1ZBTF9EQUlMWShOT1csLTEwQVksLCwsJ0RJTCcp&amp;WINDOW=FIRST_POPUP&amp;HEIGHT=450&amp;WI","DTH=450&amp;START_MAXIMIZED=FALSE&amp;VAR:CALENDAR=US&amp;VAR:SYMBOL=EQIX&amp;VAR:INDEX=1553"}</definedName>
    <definedName name="_bdm.03ABC75CEE264426B2D8984A72993E54.edm" hidden="1">[1]BS!$A:$IV</definedName>
    <definedName name="_bdm.0D51745E252949468C456DBBC7834D0B.edm" hidden="1">[2]WACC!$A:$IV</definedName>
    <definedName name="_bdm.12C3E89515AA4F41AFAD5B0FA26EE6B6.edm" hidden="1" xml:space="preserve">          '[3]Diff - OLD'!$A:$IV</definedName>
    <definedName name="_bdm.131C544AE775494090BCB75F341496C8.edm" hidden="1">'[1]2Q07 Earnings Variance'!$A:$IV</definedName>
    <definedName name="_bdm.15108C0029174480873F4E8EA8C1E81F.edm" hidden="1">[1]Dispositions!$A:$IV</definedName>
    <definedName name="_bdm.17F2DC623B12474AA627593E0A2F09F2.edm" hidden="1">'[4]Development Pipeline'!$A:$IV</definedName>
    <definedName name="_bdm.1CD095BD4E7F4A03B49ABD88FF62A793.edm" hidden="1" xml:space="preserve">          '[3]Diff - OLD'!$A:$IV</definedName>
    <definedName name="_bdm.1DB7DFA7BBA545B08F776E5AAE254ED4.edm" hidden="1">'[5]3Q06 Earnings Variance'!$A:$IV</definedName>
    <definedName name="_bdm.20DBFA8E46D74C9DA1003B6959EED99D.edm" hidden="1">[5]BS!$A:$IV</definedName>
    <definedName name="_bdm.22278B9230174FEE9DB15D7D99D5B99C.edm" hidden="1" xml:space="preserve">          '[3]Diff - OLD'!$A:$IV</definedName>
    <definedName name="_bdm.263CB1AC2A0E4B0CB183D0A9A48D024E.edm" hidden="1">'[1]Acquisitions &amp; Developments'!$A:$IV</definedName>
    <definedName name="_bdm.2C6A98A002204A8C8DC554F9A57201BC.edm" hidden="1">'[1]4Q05 Earnings Variance'!$A:$IV</definedName>
    <definedName name="_bdm.2DE5A591D609454384F46E96C56B3B52.edm" hidden="1">[6]mwareDates!$A:$IV</definedName>
    <definedName name="_bdm.305001B8D56347BAB7CDFDFFAA0B7E28.edm" hidden="1">'[1]2Q06 Earnings Variance'!$A:$IV</definedName>
    <definedName name="_bdm.355B113237D24254B396A8635C3579CA.edm" hidden="1">'[7]2Q06 Variance'!$A:$IV</definedName>
    <definedName name="_bdm.3799C04A47DB4FD0ADB91B8C2D46AADE.edm" hidden="1" xml:space="preserve">          '[3]Diff - OLD'!$A:$IV</definedName>
    <definedName name="_bdm.38BE7551C2DA491A8C4F9B5ED9E7E3B4.edm" hidden="1">'[2]CSCO Report'!$A:$IV</definedName>
    <definedName name="_bdm.3C53AFC3D52F41D59C263C8D34A2E226.edm" hidden="1">[2]Sheet1!$A:$IV</definedName>
    <definedName name="_bdm.3CF97D71BED94AA087F318AFD3AFEC75.edm" hidden="1">[5]IS!$A:$IV</definedName>
    <definedName name="_bdm.4351F5AF95E74B069A80AACAB0278D2E.edm" hidden="1">'[5]4Q07 Earnings Variance'!$A:$IV</definedName>
    <definedName name="_bdm.458A059D1D6A4BD8A29FA5F0AEE4A18B.edm" hidden="1">[8]Assumptions!$A:$IV</definedName>
    <definedName name="_bdm.45F048C2B51040DEB43C59FD9211416F.edm" hidden="1">'[1]1Q07 Earnings Variance'!$A:$IV</definedName>
    <definedName name="_bdm.4CEC3FE6F0144741A5C25B7490079F39.edm" hidden="1">'[5]3Q07 Earnings Variance'!$A:$IV</definedName>
    <definedName name="_bdm.4D14C32C09664703BB9D042F071BBFF5.edm" hidden="1">[4]Variance!$A:$IV</definedName>
    <definedName name="_bdm.4F7C460D5AC14FD187695DB3B0FB54F0.edm" hidden="1">[2]Leverage!$A:$IV</definedName>
    <definedName name="_bdm.555A14577467450E953E95604D30D4E8.edm" hidden="1">'[1]Performance Review'!$A:$IV</definedName>
    <definedName name="_bdm.585ED2767D0E4B2A97CB7FC959C53EE3.edm" hidden="1" xml:space="preserve">          '[3]Diff - OLD'!$A:$IV</definedName>
    <definedName name="_bdm.5B71D2AAEBD44D10AED2693A08384D74.edm" hidden="1">[4]Assumptions!$A:$IV</definedName>
    <definedName name="_bdm.5BF2E35C57CB49F2AD0033F7093D3795.edm" hidden="1">[6]NAV!$A:$IV</definedName>
    <definedName name="_bdm.5E218781ED80474D95D5706499B74539.edm" hidden="1">'[1]4Q07 Earnings Variance'!$A:$IV</definedName>
    <definedName name="_bdm.5E823412EF174565906A2F2A81F7233F.edm" hidden="1">[2]Revs!$A:$IV</definedName>
    <definedName name="_bdm.5EC0F453A8014E1BB469F76BFBDE951E.edm" hidden="1" xml:space="preserve">          '[3]Diff - OLD'!$A:$IV</definedName>
    <definedName name="_bdm.6124CC28479A41B2A63D4F31EA0F5800.edm" hidden="1">'[7]1Q06 Variance'!$A:$IV</definedName>
    <definedName name="_bdm.646A898CE9DE42B8A9C23B00628316E4.edm" hidden="1">[2]Guidance!$A:$IV</definedName>
    <definedName name="_bdm.6611EB5903214A45B627EC81E5E8FAEF.edm" hidden="1">'[2]LVLT M&amp;A'!$A:$IV</definedName>
    <definedName name="_bdm.6A0A745CCECE4CCF9CCBF1A30A76ED11.edm" hidden="1">'[5]2Q07 Earnings Variance'!$A:$IV</definedName>
    <definedName name="_bdm.6D543028941947A88DFE4E1436176DD6.edm" hidden="1" xml:space="preserve">          '[3]Diff - OLD'!$A:$IV</definedName>
    <definedName name="_bdm.6DA2D3433C82404494D94607F39B28B0.edm" hidden="1">'[5]4Q05 Earnings Variance'!$A:$IV</definedName>
    <definedName name="_bdm.709E7BA5F6284304B37C709F1BB1EF9B.edm" hidden="1">[2]GLBC!$A:$IV</definedName>
    <definedName name="_bdm.70C1FB39DDCD4E2A955E069563F89B28.edm" hidden="1">'[5]1Q07 Earnings Variance'!$A:$IV</definedName>
    <definedName name="_bdm.70D17B1AA44C4BC5AB94CBA00BD39FD7.edm" hidden="1">[2]Summary!$A:$IV</definedName>
    <definedName name="_bdm.7274D56C5197421C990B6F665567F7AD.edm" hidden="1">[2]Timing!$A:$IV</definedName>
    <definedName name="_bdm.765F59AA1BE14ED3A3B0424022779BEC.edm" hidden="1">[5]Model_Template!$A:$IV</definedName>
    <definedName name="_bdm.76E86265694040A194558E6D508852CA.edm" hidden="1">'[5]Performance Review'!$A:$IV</definedName>
    <definedName name="_bdm.77BAEADBA91B41728B455E6D353A0F42.edm" hidden="1">'[2]Fiber &amp; Clec'!$A:$IV</definedName>
    <definedName name="_bdm.7A11B8707CFC4AE5944117A07633D371.edm" hidden="1">[7]Variance!$A:$IV</definedName>
    <definedName name="_bdm.7CE8A050870C4DCCA692E08534E6471D.edm" hidden="1">'[1]Devel Pipeline'!$A:$IV</definedName>
    <definedName name="_bdm.7DD95FDCE08E4D3C947DD8C3AF06456F.edm" hidden="1">[1]IS!$A:$IV</definedName>
    <definedName name="_bdm.8966F38028AB4B5A9679FEC39E93D95D.edm" hidden="1">[1]CFS!$A:$IV</definedName>
    <definedName name="_bdm.8B38C17D4B574E698F7E250B6BF8CA3B.edm" hidden="1">'[1]3Q06 Earnings Variance'!$A:$IV</definedName>
    <definedName name="_bdm.8D8B4AF90F464B64B8C23DB614A49C27.edm" hidden="1">[2]transactionCTL_SVVS!$A:$IV</definedName>
    <definedName name="_bdm.92ACD1E67AC445159E5A4465DA161E2D.edm" hidden="1">'[5]PT-Exhibit'!$A:$IV</definedName>
    <definedName name="_bdm.9A5C04A62A704EF09CFE327DDCB1F465.edm" hidden="1">'[2]LVLT M&amp;A - FactSet'!$A:$IV</definedName>
    <definedName name="_bdm.9E4F37F212CC4EE099004AB5D8A61BE6.edm" hidden="1">[6]Variance!$A:$IV</definedName>
    <definedName name="_bdm.9F83CFA7C1134D70B53E2DA0B379D622.edm" hidden="1">'[6]Price Chart'!$A:$IV</definedName>
    <definedName name="_bdm.A21AFED4047346DFBEBFD73AC1EDD269.edm" hidden="1">'[5]Acq. &amp; Developments'!$A:$IV</definedName>
    <definedName name="_bdm.A264B03972F341F0887A2FD036471683.edm" hidden="1">'[8]Variance (1Q08)'!$A:$IV</definedName>
    <definedName name="_bdm.A4ECC6E9C5BE4F378B2472D5AB329707.edm" hidden="1">'[6]Quarterly IS'!$A:$IV</definedName>
    <definedName name="_bdm.A61BF1E438974F6DBFA4E27834EED003.edm" hidden="1">'[5]2Q06 Earnings Variance'!$A:$IV</definedName>
    <definedName name="_bdm.A732A5305A8A47B09BDFD5DDEF4A493B.edm" hidden="1">'[5]4Q06 Earnings Variance'!$A:$IV</definedName>
    <definedName name="_bdm.A76EE780BE744C67B3B04DBB400FA66C.edm" hidden="1">[2]Approvals!$A:$IV</definedName>
    <definedName name="_bdm.AA192C9DB2B64A2A8396102859A95661.edm" hidden="1">'[7]Income Statement'!$A:$IV</definedName>
    <definedName name="_bdm.AA43A3093B9843B0A7C6811400330E8C.edm" hidden="1">[5]CFS!$A:$IV</definedName>
    <definedName name="_bdm.AC13D82CB6B444A1AEF232B6156C0F68.edm" hidden="1">[4]NAV!$A:$IV</definedName>
    <definedName name="_bdm.AEC3D2DECEBF4FEAAB2108C6561EC824.edm" hidden="1">[4]CFS!$A:$IV</definedName>
    <definedName name="_bdm.AFD02649E6F64EADABBFE1729512358D.edm" hidden="1">'[1]1Q06 Earnings Variance'!$A:$IV</definedName>
    <definedName name="_bdm.B06D75418A24450184BFA8C22B610F48.edm" hidden="1" xml:space="preserve">          '[3]Diff - OLD'!$A:$IV</definedName>
    <definedName name="_bdm.B1A36DBA92164DAAB826EBA45C1AF227.edm" hidden="1" xml:space="preserve">          '[3]Diff - OLD'!$A:$IV</definedName>
    <definedName name="_bdm.C12DD8A77BA1466A95C0058202B17415.edm" hidden="1">'[4]Quarterly Performance'!$A:$IV</definedName>
    <definedName name="_bdm.C5A1DEF2305548AB8036AE7263626976.edm" hidden="1">'[6]Comp Sheet'!$A:$IV</definedName>
    <definedName name="_bdm.CB690A1F8B4140DB91700DB1F7F0E09D.edm" hidden="1">'[1]PT-Exhibit'!$A:$IV</definedName>
    <definedName name="_bdm.CE0804BD747B44E3898F8C239BE44281.edm" localSheetId="1" hidden="1">Q!$1:$1048576</definedName>
    <definedName name="_bdm.CF4FCFFCE78344879B4689042B342A61.edm" hidden="1">[6]PricePsf!$A:$IV</definedName>
    <definedName name="_bdm.D11AFB32630C489FA7F0DC5B386C8F37.edm" hidden="1">[9]Sheet1!$A:$IV</definedName>
    <definedName name="_bdm.D1952B0DEB064119AD31A05B1B0545D4.edm" hidden="1">'[5]3Q05 Earnings Variance'!$A:$IV</definedName>
    <definedName name="_bdm.D323A61550EE48B99FDCC5FBE531933E.edm" hidden="1">'[4]Income Statement'!$A:$IV</definedName>
    <definedName name="_bdm.D4A153B5D8564E70A50E4B74872964CC.edm" hidden="1" xml:space="preserve">          '[3]Diff - OLD'!$A:$IV</definedName>
    <definedName name="_bdm.E19BDCA1973D4DDD83D886ECE8B58FDD.edm" hidden="1">'[8]Quarterly IS'!$A:$IV</definedName>
    <definedName name="_bdm.E1D02269F33E4F56B89AACF0B07B4234.edm" hidden="1" xml:space="preserve">          '[3]Diff - OLD'!$A:$IV</definedName>
    <definedName name="_bdm.E2A70B6B2ABD40AD85B4236FB7078BDD.edm" hidden="1">'[1]3Q07 Earnings Variance'!$A:$IV</definedName>
    <definedName name="_bdm.E4CD4B9794924F0E80FB1F195F11497D.edm" hidden="1">[9]Sheet2!$A:$IV</definedName>
    <definedName name="_bdm.E54E65158B774221BC0B9397DB223B25.edm" hidden="1" xml:space="preserve">          '[3]Diff - OLD'!$A:$IV</definedName>
    <definedName name="_bdm.EB7CA66493AF4065AC05C8A462DF914E.edm" hidden="1">'[8]Comp Sheet'!$A:$IV</definedName>
    <definedName name="_bdm.EF24D72AB6664FBB9A3ED5A60E4D9636.edm" hidden="1" xml:space="preserve">          '[3]Diff - OLD'!$A:$IV</definedName>
    <definedName name="_bdm.F1A50BED7BA54FDE8D03993F81BA6C4A.edm" hidden="1">'[5]1Q06 Earnings Variance'!$A:$IV</definedName>
    <definedName name="_bdm.F2C8F36DFE9E4958BF0DC281160F0A3A.edm" hidden="1">[2]Synergies!$A:$IV</definedName>
    <definedName name="_bdm.F3DF94629BFF460A9CC4DEC8BD68D9C2.edm" hidden="1" xml:space="preserve">          '[3]Diff - OLD'!$A:$IV</definedName>
    <definedName name="_bdm.F6FC45B023BD4DD3B4FE6B99A5716C3C.edm" hidden="1">'[1]4Q06 Earnings Variance'!$A:$IV</definedName>
    <definedName name="_bdm.F9B28FCCABBD49B4A8E7A6A7932F7E68.edm" hidden="1">'[1]3Q05 Earnings Variance'!$A:$IV</definedName>
    <definedName name="_bdm.F9E7959D463E46EE9DCB9503149AD07C.edm" hidden="1">[4]BS!$A:$IV</definedName>
    <definedName name="_bdm.FBC03688D5884DD9BBED24BD53894500.edm" hidden="1">'[2]PF Mix'!$A:$IV</definedName>
    <definedName name="_bdm.FC814BDDC13546BFAC98F99FB89A0197.edm" hidden="1" xml:space="preserve">          '[3]Diff - OLD'!$A:$IV</definedName>
    <definedName name="_bdm.FC83F3480A9E4FC2B7247BBAC427B157.edm" hidden="1">[4]Exhibits!$A:$IV</definedName>
    <definedName name="_bdm.FDB17E2C8A974CCBAA569C9CCD9CCDE0.edm" hidden="1">'[7]Performance Review'!$A:$IV</definedName>
    <definedName name="_BS">[4]BS!$A$4:$AU$56</definedName>
    <definedName name="_BSExhibit">[1]BS!$A$5:$BB$48</definedName>
    <definedName name="_CFS">[4]CFS!$A$5:$AU$62</definedName>
    <definedName name="_CFSExhibit">[1]CFS!$B$5:$AL$61</definedName>
    <definedName name="_comp">'[8]Comp Sheet'!$A$1:$AG$27</definedName>
    <definedName name="_xlnm._FilterDatabase" localSheetId="5" hidden="1">QTS!$I$41:$AY$62</definedName>
    <definedName name="_IS">'[8]Quarterly IS'!$A$7:$BC$116</definedName>
    <definedName name="_ISExhibit">[1]IS!$A$8:$BH$92</definedName>
    <definedName name="_ISExhibitLong">[5]IS!$A$5:$BO$100</definedName>
    <definedName name="_Metrics">'[7]Performance Review'!$A$3:$AG$31</definedName>
    <definedName name="_NAV">[4]NAV!$A$27:$F$65</definedName>
    <definedName name="_NAVtable">[4]Exhibits!$A$3:$J$11</definedName>
    <definedName name="_OperatingMetricsExhibit">'[1]Performance Review'!$A$3:$AC$32</definedName>
    <definedName name="AdditionalInstructions">IndexInformation!$B$42</definedName>
    <definedName name="Address" localSheetId="3">ImportantDisclosures!$A$2:$A$2</definedName>
    <definedName name="ANA" localSheetId="10">ModPubIndex!$A$7</definedName>
    <definedName name="Authors" localSheetId="3">ImportantDisclosures!$A$7</definedName>
    <definedName name="Authors" localSheetId="9">IndexInformation!$B$18</definedName>
    <definedName name="BRO" localSheetId="10">ModPubIndex!$A$1</definedName>
    <definedName name="Buttons" localSheetId="4">CircularReferenceAlert!$B$13:$B$15</definedName>
    <definedName name="CopyrightStamp">ImportantDisclosures!$A$27</definedName>
    <definedName name="COU" localSheetId="10">ModPubIndex!$A$5</definedName>
    <definedName name="CQEnd" localSheetId="9">IndexInformation!$B$31</definedName>
    <definedName name="Currency" localSheetId="9">IndexInformation!$B$24</definedName>
    <definedName name="CurrentStockPrice" localSheetId="9">IndexInformation!$B$23</definedName>
    <definedName name="CurrQtrEPS" localSheetId="9">IndexInformation!$B$29</definedName>
    <definedName name="CurrYearEPS" localSheetId="9">IndexInformation!$B$11</definedName>
    <definedName name="CurrYearTotalRevenue" localSheetId="9">IndexInformation!$B$10</definedName>
    <definedName name="CurrYearTotalRevenueActual" localSheetId="9">IndexInformation!$B$32</definedName>
    <definedName name="CUSIP" localSheetId="9">IndexInformation!$B$20</definedName>
    <definedName name="CYEnd" localSheetId="9">IndexInformation!$B$30</definedName>
    <definedName name="dataseries4">OFFSET([10]c1!$G$12,0,0,COUNTA([10]c1!$G$12:$G$31),1)</definedName>
    <definedName name="Date" localSheetId="3">ImportantDisclosures!$A$8</definedName>
    <definedName name="Deleted" localSheetId="9">IndexInformation!$B$27</definedName>
    <definedName name="Description" localSheetId="9">IndexInformation!$B$7</definedName>
    <definedName name="Discipline" localSheetId="9">IndexInformation!$B$3</definedName>
    <definedName name="DISCIPLINE" localSheetId="10">ModPubIndex!$A$12</definedName>
    <definedName name="DisclosuresText">ImportantDisclosures!$A$22</definedName>
    <definedName name="Distribution" localSheetId="9">IndexInformation!$B$26</definedName>
    <definedName name="DistTable" localSheetId="3">ImportantDisclosures!#REF!</definedName>
    <definedName name="DistTablePreamble" localSheetId="3">ImportantDisclosures!#REF!</definedName>
    <definedName name="DOCDAT" localSheetId="10">ModPubIndex!$A$2</definedName>
    <definedName name="DOCTIME" localSheetId="10">ModPubIndex!$A$3</definedName>
    <definedName name="DocType" localSheetId="9">IndexInformation!$B$5</definedName>
    <definedName name="EMAIL_ALERT" localSheetId="10">ModPubIndex!$A$10</definedName>
    <definedName name="EmailAlert" localSheetId="9">IndexInformation!$B$28</definedName>
    <definedName name="ｆ">"iQShowAnnual"</definedName>
    <definedName name="FiveYearGrowthRate" localSheetId="9">IndexInformation!$B$16</definedName>
    <definedName name="FollowingYearEPS" localSheetId="9">IndexInformation!$B$15</definedName>
    <definedName name="FollowingYearTotalRevenue" localSheetId="9">IndexInformation!$B$14</definedName>
    <definedName name="FollowingYearTotalRevenueActual" localSheetId="9">IndexInformation!$B$34</definedName>
    <definedName name="HL" localSheetId="10">ModPubIndex!$A$8</definedName>
    <definedName name="IND" localSheetId="10">ModPubIndex!$A$9</definedName>
    <definedName name="Industry" localSheetId="3">ImportantDisclosures!$A$12</definedName>
    <definedName name="IndustryId">IndexInformation!$B$40</definedName>
    <definedName name="IndustryRating" localSheetId="3">ImportantDisclosures!$A$13</definedName>
    <definedName name="ipoprice">'[11]IPO Calculations'!$D$9</definedName>
    <definedName name="jimmy" hidden="1">{"years",#N/A,FALSE,"UDR_INC";"9899qtrs",#N/A,FALSE,"UDR_INC";"9798qtrs",#N/A,FALSE,"UDR_INC"}</definedName>
    <definedName name="KeepVersions" localSheetId="9">IndexInformation!$B$8</definedName>
    <definedName name="LanguageCode">IndexInformation!$B$38</definedName>
    <definedName name="LastCell" localSheetId="3">ImportantDisclosures!$A$22</definedName>
    <definedName name="Linking_1">QTS!$B$78:$BH$132</definedName>
    <definedName name="Linking_10">Q!$AJ$28:$AO$35</definedName>
    <definedName name="Linking_11">Q!$AJ$28:$AP$35</definedName>
    <definedName name="Linking_12">QTS!$B$78:$BI$132</definedName>
    <definedName name="Linking_13">QTS!$B$258:$BI$299</definedName>
    <definedName name="Linking_14">QTS!$B$200:$BI$242</definedName>
    <definedName name="Linking_15">Q!$AJ$19:$AN$26</definedName>
    <definedName name="Linking_16">QTS!$B$78:$BI$128</definedName>
    <definedName name="Linking_17">Q!$AJ$19:$AN$25</definedName>
    <definedName name="Linking_18">Q!$AJ$19:$AO$26</definedName>
    <definedName name="Linking_19">Q!$C$8:$AE$43</definedName>
    <definedName name="Linking_2">QTS!$B$200:$BH$254</definedName>
    <definedName name="Linking_20">Q!$AJ$10:$AM$16</definedName>
    <definedName name="Linking_21">Q!$AJ$10:$AM$17</definedName>
    <definedName name="Linking_22">Q!$AJ$10:$AK$17</definedName>
    <definedName name="Linking_23">QTS!$B$78:$BJ$128</definedName>
    <definedName name="Linking_24">QTS!$B$258:$BJ$299</definedName>
    <definedName name="Linking_25">QTS!$B$200:$BJ$242</definedName>
    <definedName name="Linking_3">QTS!$B$258:$BH$299</definedName>
    <definedName name="Linking_4">Valuation!$C$14:$F$34</definedName>
    <definedName name="Linking_5">Changes!$B$2:$G$6</definedName>
    <definedName name="Linking_6">Q!$AJ$28:$AN$35</definedName>
    <definedName name="Linking_7">Q!$W$10</definedName>
    <definedName name="Linking_8">Q!$AJ$34</definedName>
    <definedName name="Linking_9">QTS!$B$200:$BH$250</definedName>
    <definedName name="Linking_Range_00000">QTS!$B$200:$BH$242</definedName>
    <definedName name="Linking_Range_12">Q!$C$8:$AA$41</definedName>
    <definedName name="Linking_Range_13">Q!$C$8:$AA$44</definedName>
    <definedName name="Linking_Range_19" localSheetId="1">Q!$C$8:$AG$41</definedName>
    <definedName name="Linking_Range_20" localSheetId="1">Q!$C$8:$AG$46</definedName>
    <definedName name="Linking_Range_21">Q!$C$8:$AE$45</definedName>
    <definedName name="Linking_Range_22">Q!$AJ$58:$AN$66</definedName>
    <definedName name="Linking_Range_23">Q!$AJ$58:$AN$67</definedName>
    <definedName name="Linking_Range_25">Q!$AJ$58:$AL$66</definedName>
    <definedName name="Linking_Range_26">Q!$AJ$58:$AL$67</definedName>
    <definedName name="Linking_Range_27">Q!$C$8:$AE$46</definedName>
    <definedName name="Linking_Range_28">Q!$AJ$58:$AM$66</definedName>
    <definedName name="Linking_Range_37" localSheetId="1">Q!$C$8:$AE$31</definedName>
    <definedName name="Linking_Range_38" localSheetId="1">Q!$C$44:$AD$44</definedName>
    <definedName name="Linking_Range_42">QTS!$B$78:$S$132</definedName>
    <definedName name="Linking_Range_43">QTS!$B$153:$S$182</definedName>
    <definedName name="Linking_Range_44">QTS!$B$200:$S$242</definedName>
    <definedName name="Linking_Range_45">QTS!$B$258:$S$299</definedName>
    <definedName name="Linking_Range_46">QTS!$B$309:$S$343</definedName>
    <definedName name="Linking_Range_47">Q!$C$8:$AB$45</definedName>
    <definedName name="Linking_Range_48">QTS!$B$78:$BF$132</definedName>
    <definedName name="Linking_Range_49">QTS!$B$153:$BF$187</definedName>
    <definedName name="Linking_Range_50">QTS!$B$309:$BF$344</definedName>
    <definedName name="Linking_Range_51">QTS!$B$200:$BF$242</definedName>
    <definedName name="Linking_Range_52">QTS!$B$258:$BF$299</definedName>
    <definedName name="Linking_Range_53">Q!$AJ$86:$AL$88</definedName>
    <definedName name="Linking_Range_54">Q!$AJ$86:$AL$89</definedName>
    <definedName name="Linking_Range_55">Q!$AJ$74:$AN$84</definedName>
    <definedName name="Linking_Range_56">Q!$C$8:$AD$45</definedName>
    <definedName name="Linking_Range_57">Q!$AJ$47:$AN$53</definedName>
    <definedName name="Linking_Range_58">Q!$AJ$47:$AN$54</definedName>
    <definedName name="Linking_Range_59">Q!$C$8:$AG$45</definedName>
    <definedName name="Linking_Range_60">Q!$AJ$47:$AL$54</definedName>
    <definedName name="Linking_Range_61">Q!$C$8:$AE$44</definedName>
    <definedName name="Linking_Range_62">QTS!$B$258:$BG$299</definedName>
    <definedName name="Linking_Range_63">Q!$C$8:$AG$44</definedName>
    <definedName name="Linking_Range_64">Q!$C$8:$AD$44</definedName>
    <definedName name="Linking_Range_65">Q!$C$8:$AF$44</definedName>
    <definedName name="Linking_Range_66">QTS!$B$78:$BG$132</definedName>
    <definedName name="Linking_Range_67">QTS!$B$200:$BG$242</definedName>
    <definedName name="Linking_Range_68">Q!$C$8:$AF$43</definedName>
    <definedName name="Linking_Range_69">Q!$AJ$37:$AO$44</definedName>
    <definedName name="Linking_Range_70">Q!$AJ$37:$AM$44</definedName>
    <definedName name="MacroVersion" localSheetId="9">IndexInformation!$B$1</definedName>
    <definedName name="MaxChange" localSheetId="4">CircularReferenceAlert!$B$9</definedName>
    <definedName name="MaxIterations" localSheetId="4">CircularReferenceAlert!$B$8</definedName>
    <definedName name="ModelPrice" localSheetId="3">ImportantDisclosures!$A$14</definedName>
    <definedName name="Multiplier" localSheetId="9">IndexInformation!$B$35</definedName>
    <definedName name="multSecurities_L">[12]MultipleSecurities!$A$2:$A$17</definedName>
    <definedName name="NextYearEPS" localSheetId="9">IndexInformation!$B$13</definedName>
    <definedName name="NextYearTotalRevenue" localSheetId="9">IndexInformation!$B$12</definedName>
    <definedName name="NextYearTotalRevenueActual" localSheetId="9">IndexInformation!$B$33</definedName>
    <definedName name="Normalized_Income_Statement">"IS_Annual"</definedName>
    <definedName name="ObjectType">IndexInformation!$B$37</definedName>
    <definedName name="ok" hidden="1">{"years",#N/A,FALSE,"UDR_INC";"9899qtrs",#N/A,FALSE,"UDR_INC";"9798qtrs",#N/A,FALSE,"UDR_INC"}</definedName>
    <definedName name="page_a">[1]IS!$A$1:$AD$96</definedName>
    <definedName name="page_e">[1]NAV!$A$1:$N$70</definedName>
    <definedName name="page_z">'[1]5 Year IS'!$A$1:$N$67</definedName>
    <definedName name="PANA" localSheetId="10">ModPubIndex!$A$11</definedName>
    <definedName name="PathName" localSheetId="9">IndexInformation!$B$25</definedName>
    <definedName name="_xlnm.Print_Area" localSheetId="0">Estimates!$B$2:$Y$30,Estimates!$B$33:$Y$62,Estimates!$B$65:$Y$93</definedName>
    <definedName name="_xlnm.Print_Area" localSheetId="1">Q!$AJ$19:$AN$26</definedName>
    <definedName name="_xlnm.Print_Area" localSheetId="5">QTS!$B$78:$BI$132,QTS!$B$153:$BI$187,QTS!$B$201:$BI$242,QTS!$B$258:$BI$299</definedName>
    <definedName name="_xlnm.Print_Area" localSheetId="8">Valuation!$C$3:$F$34</definedName>
    <definedName name="_xlnm.Print_Area">"Formula removed, name can be deleted."</definedName>
    <definedName name="_xlnm.Print_Titles">#REF!</definedName>
    <definedName name="PRODUCT" localSheetId="10">ModPubIndex!$A$6</definedName>
    <definedName name="ProjectName" localSheetId="0">{"Client Name or Project Name"}</definedName>
    <definedName name="ProjectName" localSheetId="1">{"Client Name or Project Name"}</definedName>
    <definedName name="ProjectName">{"Client Name or Project Name"}</definedName>
    <definedName name="PSYM" localSheetId="10">ModPubIndex!$A$4</definedName>
    <definedName name="PublishDate" localSheetId="9">IndexInformation!$B$2</definedName>
    <definedName name="Rating" localSheetId="9">IndexInformation!$B$9</definedName>
    <definedName name="RatingsDefined" localSheetId="3">ImportantDisclosures!$A$21</definedName>
    <definedName name="RatingsDefs" localSheetId="3">ImportantDisclosures!#REF!</definedName>
    <definedName name="RegACDisclosure" localSheetId="3">ImportantDisclosures!#REF!</definedName>
    <definedName name="Rem_Bus_ROIC" localSheetId="0">OFFSET([0]!XRange,11,0)</definedName>
    <definedName name="Rem_Bus_ROIC" localSheetId="1">OFFSET([0]!XRange,11,0)</definedName>
    <definedName name="Rem_Bus_ROIC">OFFSET([0]!XRange,11,0)</definedName>
    <definedName name="ResearchTopic" localSheetId="9">IndexInformation!$B$4</definedName>
    <definedName name="RIC" localSheetId="9">IndexInformation!$B$21</definedName>
    <definedName name="SECSettlement" localSheetId="3">ImportantDisclosures!#REF!</definedName>
    <definedName name="SEDOL" localSheetId="9">IndexInformation!$B$22</definedName>
    <definedName name="SourceDefined" localSheetId="3">ImportantDisclosures!$A$19</definedName>
    <definedName name="StockRating" localSheetId="3">ImportantDisclosures!$A$11</definedName>
    <definedName name="SubjectCode" localSheetId="9">IndexInformation!$B$6</definedName>
    <definedName name="SubmitterUserId">IndexInformation!$B$39</definedName>
    <definedName name="SUPPRESSED" localSheetId="10">ModPubIndex!$A$13</definedName>
    <definedName name="Table_2">'[13]5-Year IS'!$P$1:$AB$42</definedName>
    <definedName name="Table_3">'[13]5-Year IS'!$A$1:$N$45</definedName>
    <definedName name="Table_5A">'[13]A and D'!$C$4:$M$119</definedName>
    <definedName name="Table_5B">'[13]A and D'!$C$180:$M$208</definedName>
    <definedName name="Table_6">'[13]Lease Exp 1'!$BU$1:$BY$60</definedName>
    <definedName name="TargetPrice" localSheetId="3">ImportantDisclosures!$A$15</definedName>
    <definedName name="TemplateRegion">IndexInformation!$B$36</definedName>
    <definedName name="Ticker" localSheetId="3">ImportantDisclosures!$A$10</definedName>
    <definedName name="ticker">OFFSET('[14]Exclusion List'!$A$1,1,0,COUNTA('[14]Exclusion List'!$A$1:$A$65536)-1,1)</definedName>
    <definedName name="TickerRegion">IndexInformation!$B$41</definedName>
    <definedName name="Tickers" localSheetId="9">IndexInformation!$B$19</definedName>
    <definedName name="Total_Bus_ROIC" localSheetId="0">OFFSET([0]!XRange,12,0)</definedName>
    <definedName name="Total_Bus_ROIC" localSheetId="1">OFFSET([0]!XRange,12,0)</definedName>
    <definedName name="Total_Bus_ROIC">OFFSET([0]!XRange,12,0)</definedName>
    <definedName name="u">'[15]Quarterly IS'!$A$1:$G$89</definedName>
    <definedName name="UpdateReason" localSheetId="9">IndexInformation!$B$17</definedName>
    <definedName name="USRegDisclosures" localSheetId="3">ImportantDisclosures!#REF!</definedName>
    <definedName name="Version">"June 29, 2004"</definedName>
    <definedName name="WACC" localSheetId="0">OFFSET([0]!XRange,13,0)</definedName>
    <definedName name="WACC" localSheetId="1">OFFSET([0]!XRange,13,0)</definedName>
    <definedName name="WACC">OFFSET([0]!XRange,13,0)</definedName>
    <definedName name="wrn.model." hidden="1">{"years",#N/A,FALSE,"UDR_INC";"9899qtrs",#N/A,FALSE,"UDR_INC";"9798qtrs",#N/A,FALSE,"UDR_INC"}</definedName>
    <definedName name="wrn.model._1" hidden="1">{"years",#N/A,FALSE,"UDR_INC";"9899qtrs",#N/A,FALSE,"UDR_INC";"9798qtrs",#N/A,FALSE,"UDR_INC"}</definedName>
    <definedName name="x" hidden="1">{"years",#N/A,FALSE,"UDR_INC";"9899qtrs",#N/A,FALSE,"UDR_INC";"9798qtrs",#N/A,FALSE,"UDR_INC"}</definedName>
  </definedNames>
  <calcPr calcId="145621" iterate="1" iterateDelta="1.0000000000000002E-3"/>
</workbook>
</file>

<file path=xl/calcChain.xml><?xml version="1.0" encoding="utf-8"?>
<calcChain xmlns="http://schemas.openxmlformats.org/spreadsheetml/2006/main">
  <c r="BJ122" i="1" l="1"/>
  <c r="AG147" i="1" l="1"/>
  <c r="AH147" i="1"/>
  <c r="AI147" i="1"/>
  <c r="AJ147" i="1"/>
  <c r="AK147" i="1"/>
  <c r="AL147" i="1"/>
  <c r="AM147" i="1"/>
  <c r="AN147" i="1"/>
  <c r="AO147" i="1"/>
  <c r="AP147" i="1"/>
  <c r="AQ147" i="1"/>
  <c r="AR147" i="1"/>
  <c r="AS147" i="1"/>
  <c r="AT147" i="1"/>
  <c r="AU147" i="1"/>
  <c r="AV147" i="1"/>
  <c r="AW147" i="1"/>
  <c r="AX147" i="1"/>
  <c r="AY147" i="1"/>
  <c r="AF147" i="1"/>
  <c r="AH52" i="1"/>
  <c r="AI52" i="1"/>
  <c r="AJ52" i="1" s="1"/>
  <c r="AK52" i="1" s="1"/>
  <c r="AL52" i="1" s="1"/>
  <c r="AM52" i="1" s="1"/>
  <c r="AN52" i="1" s="1"/>
  <c r="AO52" i="1" s="1"/>
  <c r="AP52" i="1" s="1"/>
  <c r="AQ52" i="1" s="1"/>
  <c r="AR52" i="1" s="1"/>
  <c r="AS52" i="1" s="1"/>
  <c r="AT52" i="1" s="1"/>
  <c r="AU52" i="1" s="1"/>
  <c r="AV52" i="1" s="1"/>
  <c r="AW52" i="1" s="1"/>
  <c r="AX52" i="1" s="1"/>
  <c r="AY52" i="1" s="1"/>
  <c r="AG52" i="1"/>
  <c r="BH124" i="1" l="1"/>
  <c r="BG124" i="1"/>
  <c r="AC24" i="1" l="1"/>
  <c r="AD24" i="1" s="1"/>
  <c r="AE24" i="1" s="1"/>
  <c r="I350" i="1" l="1"/>
  <c r="I351" i="1" s="1"/>
  <c r="J350" i="1"/>
  <c r="K350" i="1"/>
  <c r="K351" i="1" s="1"/>
  <c r="L350" i="1"/>
  <c r="M350" i="1"/>
  <c r="M351" i="1" s="1"/>
  <c r="N350" i="1"/>
  <c r="N351" i="1" s="1"/>
  <c r="O350" i="1"/>
  <c r="O351" i="1" s="1"/>
  <c r="P350" i="1"/>
  <c r="Q350" i="1"/>
  <c r="R350" i="1"/>
  <c r="R351" i="1" s="1"/>
  <c r="S350" i="1"/>
  <c r="S351" i="1" s="1"/>
  <c r="T350" i="1"/>
  <c r="U350" i="1"/>
  <c r="V350" i="1"/>
  <c r="V351" i="1" s="1"/>
  <c r="W350" i="1"/>
  <c r="W351" i="1" s="1"/>
  <c r="X350" i="1"/>
  <c r="Y350" i="1"/>
  <c r="Z350" i="1"/>
  <c r="AA350" i="1"/>
  <c r="T351" i="1"/>
  <c r="P351" i="1"/>
  <c r="L351" i="1"/>
  <c r="J351" i="1"/>
  <c r="BG350" i="1" l="1"/>
  <c r="BF350" i="1"/>
  <c r="BD350" i="1"/>
  <c r="BE350" i="1"/>
  <c r="BH350" i="1"/>
  <c r="Q351" i="1"/>
  <c r="U351" i="1"/>
  <c r="AQ44" i="1"/>
  <c r="AR44" i="1"/>
  <c r="AS44" i="1"/>
  <c r="AT44" i="1"/>
  <c r="AU44" i="1"/>
  <c r="AV44" i="1"/>
  <c r="AW44" i="1"/>
  <c r="AX44" i="1"/>
  <c r="AY44" i="1"/>
  <c r="AQ45" i="1"/>
  <c r="AR45" i="1"/>
  <c r="AS45" i="1"/>
  <c r="AT45" i="1"/>
  <c r="AU45" i="1"/>
  <c r="AV45" i="1"/>
  <c r="AW45" i="1"/>
  <c r="AX45" i="1"/>
  <c r="AY45" i="1"/>
  <c r="AQ47" i="1"/>
  <c r="AR47" i="1"/>
  <c r="AS47" i="1"/>
  <c r="AT47" i="1"/>
  <c r="AU47" i="1"/>
  <c r="AV47" i="1"/>
  <c r="AW47" i="1"/>
  <c r="AX47" i="1"/>
  <c r="AY47" i="1"/>
  <c r="AQ57" i="1"/>
  <c r="AR57" i="1"/>
  <c r="AS57" i="1"/>
  <c r="AT57" i="1"/>
  <c r="AU57" i="1"/>
  <c r="AV57" i="1"/>
  <c r="AW57" i="1"/>
  <c r="AX57" i="1"/>
  <c r="AY57" i="1"/>
  <c r="AQ58" i="1"/>
  <c r="AR58" i="1"/>
  <c r="AS58" i="1"/>
  <c r="AT58" i="1"/>
  <c r="AU58" i="1"/>
  <c r="AV58" i="1"/>
  <c r="AW58" i="1"/>
  <c r="AX58" i="1"/>
  <c r="AY58" i="1"/>
  <c r="AQ60" i="1"/>
  <c r="AR60" i="1"/>
  <c r="AS60" i="1"/>
  <c r="AT60" i="1"/>
  <c r="AU60" i="1"/>
  <c r="AV60" i="1"/>
  <c r="AW60" i="1"/>
  <c r="AX60" i="1"/>
  <c r="AY60" i="1"/>
  <c r="AQ79" i="1"/>
  <c r="AR79" i="1"/>
  <c r="AS79" i="1"/>
  <c r="AT79" i="1"/>
  <c r="AU79" i="1"/>
  <c r="AV79" i="1"/>
  <c r="AW79" i="1"/>
  <c r="AX79" i="1"/>
  <c r="AY79" i="1"/>
  <c r="AQ154" i="1"/>
  <c r="AR154" i="1"/>
  <c r="AS154" i="1"/>
  <c r="AT154" i="1"/>
  <c r="AU154" i="1"/>
  <c r="AV154" i="1"/>
  <c r="AW154" i="1"/>
  <c r="AX154" i="1"/>
  <c r="AY154" i="1"/>
  <c r="AQ201" i="1"/>
  <c r="AR201" i="1"/>
  <c r="AS201" i="1"/>
  <c r="AT201" i="1"/>
  <c r="AU201" i="1"/>
  <c r="AV201" i="1"/>
  <c r="AW201" i="1"/>
  <c r="AX201" i="1"/>
  <c r="AY201" i="1"/>
  <c r="AQ222" i="1"/>
  <c r="AR222" i="1"/>
  <c r="AS222" i="1"/>
  <c r="AT222" i="1"/>
  <c r="AU222" i="1"/>
  <c r="AV222" i="1"/>
  <c r="AW222" i="1"/>
  <c r="AX222" i="1"/>
  <c r="AY222" i="1"/>
  <c r="AQ259" i="1"/>
  <c r="AR259" i="1"/>
  <c r="AS259" i="1"/>
  <c r="AT259" i="1"/>
  <c r="AU259" i="1"/>
  <c r="AV259" i="1"/>
  <c r="AW259" i="1"/>
  <c r="AX259" i="1"/>
  <c r="AY259" i="1"/>
  <c r="AQ310" i="1"/>
  <c r="AR310" i="1"/>
  <c r="AS310" i="1"/>
  <c r="AT310" i="1"/>
  <c r="AU310" i="1"/>
  <c r="AV310" i="1"/>
  <c r="AW310" i="1"/>
  <c r="AX310" i="1"/>
  <c r="AY310" i="1"/>
  <c r="AQ344" i="1"/>
  <c r="AR344" i="1"/>
  <c r="AS344" i="1"/>
  <c r="AT344" i="1"/>
  <c r="AU344" i="1"/>
  <c r="AV344" i="1"/>
  <c r="AW344" i="1"/>
  <c r="AX344" i="1"/>
  <c r="AY344" i="1"/>
  <c r="AQ354" i="1"/>
  <c r="AR354" i="1"/>
  <c r="AS354" i="1"/>
  <c r="AT354" i="1"/>
  <c r="AU354" i="1"/>
  <c r="AV354" i="1"/>
  <c r="AW354" i="1"/>
  <c r="AX354" i="1"/>
  <c r="AY354" i="1"/>
  <c r="AQ515" i="1"/>
  <c r="AR515" i="1"/>
  <c r="AS515" i="1"/>
  <c r="AT515" i="1"/>
  <c r="AU515" i="1"/>
  <c r="AV515" i="1"/>
  <c r="AW515" i="1"/>
  <c r="AX515" i="1"/>
  <c r="AY515" i="1"/>
  <c r="BH234" i="1" l="1"/>
  <c r="BG234" i="1"/>
  <c r="BH291" i="1"/>
  <c r="BG291" i="1"/>
  <c r="AB291" i="1"/>
  <c r="AB234" i="1" s="1"/>
  <c r="AA394" i="1" l="1"/>
  <c r="AA383" i="1"/>
  <c r="AA384" i="1" s="1"/>
  <c r="AA339" i="1"/>
  <c r="AA338" i="1"/>
  <c r="AA327" i="1"/>
  <c r="AA314" i="1"/>
  <c r="AA313" i="1"/>
  <c r="AA312" i="1"/>
  <c r="AA295" i="1"/>
  <c r="AA289" i="1"/>
  <c r="AA266" i="1"/>
  <c r="AA206" i="1"/>
  <c r="AA159" i="1"/>
  <c r="AA180" i="1"/>
  <c r="AA119" i="1"/>
  <c r="AA95" i="1"/>
  <c r="AA94" i="1"/>
  <c r="AA93" i="1"/>
  <c r="AA92" i="1"/>
  <c r="AA91" i="1"/>
  <c r="AA90" i="1"/>
  <c r="AA85" i="1"/>
  <c r="AA84" i="1"/>
  <c r="AA83" i="1"/>
  <c r="AA82" i="1"/>
  <c r="AA73" i="1"/>
  <c r="AA72" i="1"/>
  <c r="AA71" i="1"/>
  <c r="AA70" i="1"/>
  <c r="AA56" i="1"/>
  <c r="AA50" i="1"/>
  <c r="AA48" i="1"/>
  <c r="AA61" i="1" s="1"/>
  <c r="AA41" i="1"/>
  <c r="AA39" i="1"/>
  <c r="AA26" i="1"/>
  <c r="AA22" i="1"/>
  <c r="AA21" i="1"/>
  <c r="AA18" i="1"/>
  <c r="BN296" i="1"/>
  <c r="BM296" i="1"/>
  <c r="BL296" i="1"/>
  <c r="BN287" i="1"/>
  <c r="BM287" i="1"/>
  <c r="BL287" i="1"/>
  <c r="BN237" i="1"/>
  <c r="BM237" i="1"/>
  <c r="BL237" i="1"/>
  <c r="BN231" i="1"/>
  <c r="BM231" i="1"/>
  <c r="BL231" i="1"/>
  <c r="BN230" i="1"/>
  <c r="BM230" i="1"/>
  <c r="BL230" i="1"/>
  <c r="BN227" i="1"/>
  <c r="BM227" i="1"/>
  <c r="BL227" i="1"/>
  <c r="BN226" i="1"/>
  <c r="BM226" i="1"/>
  <c r="BL226" i="1"/>
  <c r="BN221" i="1"/>
  <c r="BM221" i="1"/>
  <c r="BL221" i="1"/>
  <c r="BN214" i="1"/>
  <c r="BM214" i="1"/>
  <c r="BL214" i="1"/>
  <c r="BN212" i="1"/>
  <c r="BM212" i="1"/>
  <c r="BL212" i="1"/>
  <c r="BN209" i="1"/>
  <c r="BM209" i="1"/>
  <c r="BL209" i="1"/>
  <c r="BN208" i="1"/>
  <c r="BM208" i="1"/>
  <c r="BL208" i="1"/>
  <c r="BN205" i="1"/>
  <c r="BM205" i="1"/>
  <c r="BL205" i="1"/>
  <c r="BN168" i="1"/>
  <c r="BM168" i="1"/>
  <c r="BL168" i="1"/>
  <c r="BN167" i="1"/>
  <c r="BM167" i="1"/>
  <c r="BL167" i="1"/>
  <c r="BN166" i="1"/>
  <c r="BM166" i="1"/>
  <c r="BL166" i="1"/>
  <c r="BN165" i="1"/>
  <c r="BM165" i="1"/>
  <c r="BL165" i="1"/>
  <c r="BN164" i="1"/>
  <c r="BM164" i="1"/>
  <c r="BL164" i="1"/>
  <c r="BN163" i="1"/>
  <c r="BM163" i="1"/>
  <c r="BL163" i="1"/>
  <c r="BN162" i="1"/>
  <c r="BM162" i="1"/>
  <c r="BL162" i="1"/>
  <c r="BN119" i="1"/>
  <c r="BM119" i="1"/>
  <c r="BL119" i="1"/>
  <c r="BN112" i="1"/>
  <c r="BM112" i="1"/>
  <c r="BL112" i="1"/>
  <c r="BN111" i="1"/>
  <c r="BM111" i="1"/>
  <c r="BL111" i="1"/>
  <c r="BN99" i="1"/>
  <c r="BM99" i="1"/>
  <c r="BL99" i="1"/>
  <c r="BN98" i="1"/>
  <c r="BM98" i="1"/>
  <c r="BL98" i="1"/>
  <c r="BL79" i="1"/>
  <c r="BM79" i="1"/>
  <c r="BN79" i="1"/>
  <c r="BL154" i="1"/>
  <c r="BM154" i="1"/>
  <c r="BN154" i="1"/>
  <c r="BL201" i="1"/>
  <c r="BM201" i="1"/>
  <c r="BN201" i="1"/>
  <c r="BL259" i="1"/>
  <c r="BM259" i="1"/>
  <c r="BN259" i="1"/>
  <c r="BL310" i="1"/>
  <c r="BM310" i="1"/>
  <c r="BN310" i="1"/>
  <c r="BL354" i="1"/>
  <c r="BM354" i="1"/>
  <c r="BN354" i="1"/>
  <c r="BL515" i="1"/>
  <c r="BM515" i="1"/>
  <c r="BN515" i="1"/>
  <c r="AN44" i="1"/>
  <c r="AO44" i="1"/>
  <c r="AP44" i="1"/>
  <c r="AN45" i="1"/>
  <c r="AO45" i="1"/>
  <c r="AP45" i="1"/>
  <c r="AN47" i="1"/>
  <c r="AO47" i="1"/>
  <c r="AP47" i="1"/>
  <c r="AN57" i="1"/>
  <c r="AO57" i="1"/>
  <c r="AP57" i="1"/>
  <c r="AN58" i="1"/>
  <c r="AO58" i="1"/>
  <c r="AP58" i="1"/>
  <c r="AN60" i="1"/>
  <c r="AO60" i="1"/>
  <c r="AP60" i="1"/>
  <c r="AN79" i="1"/>
  <c r="AO79" i="1"/>
  <c r="AP79" i="1"/>
  <c r="AN154" i="1"/>
  <c r="AO154" i="1"/>
  <c r="AP154" i="1"/>
  <c r="AN201" i="1"/>
  <c r="AO201" i="1"/>
  <c r="AP201" i="1"/>
  <c r="AN222" i="1"/>
  <c r="AO222" i="1"/>
  <c r="AP222" i="1"/>
  <c r="BM222" i="1"/>
  <c r="BN222" i="1"/>
  <c r="AN259" i="1"/>
  <c r="AO259" i="1"/>
  <c r="AP259" i="1"/>
  <c r="AN310" i="1"/>
  <c r="AO310" i="1"/>
  <c r="AP310" i="1"/>
  <c r="AN344" i="1"/>
  <c r="AO344" i="1"/>
  <c r="AP344" i="1"/>
  <c r="AN354" i="1"/>
  <c r="AO354" i="1"/>
  <c r="AP354" i="1"/>
  <c r="AN515" i="1"/>
  <c r="AO515" i="1"/>
  <c r="AP515" i="1"/>
  <c r="AA65" i="1" l="1"/>
  <c r="AB30" i="1"/>
  <c r="BL222" i="1"/>
  <c r="AA86" i="1"/>
  <c r="AA196" i="1" s="1"/>
  <c r="AA96" i="1"/>
  <c r="AA100" i="1" s="1"/>
  <c r="AA315" i="1"/>
  <c r="AA57" i="1"/>
  <c r="AA190" i="1"/>
  <c r="AA194" i="1"/>
  <c r="AA337" i="1"/>
  <c r="AA342" i="1" s="1"/>
  <c r="AA343" i="1" s="1"/>
  <c r="AA191" i="1"/>
  <c r="AA195" i="1"/>
  <c r="AA299" i="1"/>
  <c r="AA27" i="1"/>
  <c r="AA142" i="1" l="1"/>
  <c r="AA138" i="1"/>
  <c r="AA140" i="1" s="1"/>
  <c r="AE140" i="1" s="1"/>
  <c r="AA193" i="1"/>
  <c r="AA144" i="1"/>
  <c r="AA143" i="1"/>
  <c r="AA135" i="1"/>
  <c r="AA328" i="1"/>
  <c r="AA137" i="1"/>
  <c r="AA106" i="1"/>
  <c r="AA145" i="1" s="1"/>
  <c r="AE147" i="1" s="1"/>
  <c r="AA136" i="1"/>
  <c r="AB136" i="1" s="1"/>
  <c r="AA102" i="1"/>
  <c r="AA192" i="1" s="1"/>
  <c r="AA305" i="1"/>
  <c r="AA304" i="1"/>
  <c r="AA108" i="1" l="1"/>
  <c r="AA113" i="1" s="1"/>
  <c r="AA114" i="1" s="1"/>
  <c r="AA103" i="1"/>
  <c r="AA121" i="1" l="1"/>
  <c r="AA126" i="1" s="1"/>
  <c r="AA203" i="1" s="1"/>
  <c r="AA157" i="1" l="1"/>
  <c r="AA161" i="1" s="1"/>
  <c r="AA169" i="1" s="1"/>
  <c r="AA181" i="1" s="1"/>
  <c r="AB21" i="8"/>
  <c r="AB14" i="8"/>
  <c r="U17" i="8" l="1"/>
  <c r="V17" i="8"/>
  <c r="W17" i="8"/>
  <c r="X17" i="8"/>
  <c r="Y17" i="8"/>
  <c r="Z17" i="8"/>
  <c r="U18" i="8"/>
  <c r="X18" i="8"/>
  <c r="Y18" i="8"/>
  <c r="Z18" i="8"/>
  <c r="AA18" i="8"/>
  <c r="U20" i="8"/>
  <c r="V20" i="8"/>
  <c r="W20" i="8"/>
  <c r="X20" i="8"/>
  <c r="Y20" i="8"/>
  <c r="Z20" i="8"/>
  <c r="U21" i="8"/>
  <c r="V21" i="8"/>
  <c r="W21" i="8"/>
  <c r="X21" i="8"/>
  <c r="Y21" i="8"/>
  <c r="Z21" i="8"/>
  <c r="AA21" i="8"/>
  <c r="U38" i="8"/>
  <c r="V38" i="8"/>
  <c r="W38" i="8"/>
  <c r="X38" i="8"/>
  <c r="Y38" i="8"/>
  <c r="Z38" i="8"/>
  <c r="AA38" i="8"/>
  <c r="U39" i="8"/>
  <c r="V39" i="8"/>
  <c r="W39" i="8"/>
  <c r="X39" i="8"/>
  <c r="Y39" i="8"/>
  <c r="Z39" i="8"/>
  <c r="U41" i="8"/>
  <c r="V41" i="8"/>
  <c r="W41" i="8"/>
  <c r="X41" i="8"/>
  <c r="Y41" i="8"/>
  <c r="Z41" i="8"/>
  <c r="U42" i="8"/>
  <c r="V42" i="8"/>
  <c r="W42" i="8"/>
  <c r="X42" i="8"/>
  <c r="Y42" i="8"/>
  <c r="Z42" i="8"/>
  <c r="Y35" i="5" l="1"/>
  <c r="X35" i="5"/>
  <c r="W35" i="5"/>
  <c r="V35" i="5"/>
  <c r="U35" i="5"/>
  <c r="T35" i="5"/>
  <c r="S35" i="5"/>
  <c r="R35" i="5"/>
  <c r="Q35" i="5"/>
  <c r="Y67" i="5"/>
  <c r="X67" i="5"/>
  <c r="W67" i="5"/>
  <c r="V67" i="5"/>
  <c r="U67" i="5"/>
  <c r="T67" i="5"/>
  <c r="S67" i="5"/>
  <c r="R67" i="5"/>
  <c r="Q67" i="5"/>
  <c r="AN51" i="1" l="1"/>
  <c r="AN53" i="1"/>
  <c r="AN50" i="1"/>
  <c r="Z394" i="1"/>
  <c r="Z383" i="1"/>
  <c r="Z384" i="1" s="1"/>
  <c r="Z339" i="1"/>
  <c r="Z338" i="1"/>
  <c r="Z40" i="8" s="1"/>
  <c r="Z327" i="1"/>
  <c r="Z314" i="1"/>
  <c r="Z313" i="1"/>
  <c r="Z312" i="1"/>
  <c r="Z295" i="1"/>
  <c r="Z289" i="1"/>
  <c r="Z266" i="1"/>
  <c r="Z247" i="1"/>
  <c r="AA247" i="1" s="1"/>
  <c r="Z248" i="1"/>
  <c r="AA248" i="1" s="1"/>
  <c r="Z206" i="1"/>
  <c r="Z159" i="1"/>
  <c r="Z180" i="1"/>
  <c r="Z96" i="1"/>
  <c r="Z100" i="1" s="1"/>
  <c r="Z14" i="8" s="1"/>
  <c r="Z85" i="1"/>
  <c r="Z36" i="8" s="1"/>
  <c r="Z84" i="1"/>
  <c r="Z35" i="8" s="1"/>
  <c r="Z83" i="1"/>
  <c r="Z34" i="8" s="1"/>
  <c r="Z82" i="1"/>
  <c r="Z194" i="1" s="1"/>
  <c r="Z73" i="1"/>
  <c r="Z72" i="1"/>
  <c r="Z71" i="1"/>
  <c r="Z70" i="1"/>
  <c r="Z56" i="1"/>
  <c r="Z50" i="1"/>
  <c r="Z48" i="1"/>
  <c r="Z57" i="1" s="1"/>
  <c r="Z41" i="1"/>
  <c r="Z39" i="1"/>
  <c r="Z26" i="1"/>
  <c r="Z22" i="1"/>
  <c r="Z21" i="1"/>
  <c r="Z18" i="1"/>
  <c r="Z315" i="1" l="1"/>
  <c r="Z195" i="1"/>
  <c r="AO53" i="1"/>
  <c r="AO50" i="1"/>
  <c r="AO51" i="1"/>
  <c r="Z65" i="1"/>
  <c r="AA31" i="1"/>
  <c r="AA30" i="1"/>
  <c r="Z190" i="1"/>
  <c r="AA43" i="1"/>
  <c r="AA74" i="1"/>
  <c r="AA19" i="1"/>
  <c r="Z337" i="1"/>
  <c r="Z342" i="1" s="1"/>
  <c r="Z343" i="1" s="1"/>
  <c r="AA344" i="1" s="1"/>
  <c r="Z86" i="1"/>
  <c r="AA87" i="1" s="1"/>
  <c r="Z33" i="8"/>
  <c r="Z299" i="1"/>
  <c r="Z191" i="1"/>
  <c r="Z61" i="1"/>
  <c r="Z27" i="1"/>
  <c r="Z142" i="1" l="1"/>
  <c r="Z137" i="1"/>
  <c r="Z106" i="1"/>
  <c r="Z145" i="1" s="1"/>
  <c r="AD147" i="1" s="1"/>
  <c r="AQ51" i="1"/>
  <c r="AQ53" i="1"/>
  <c r="AQ50" i="1"/>
  <c r="Z102" i="1"/>
  <c r="Z192" i="1" s="1"/>
  <c r="Z144" i="1"/>
  <c r="AA32" i="1"/>
  <c r="Z138" i="1"/>
  <c r="Z140" i="1" s="1"/>
  <c r="AD140" i="1" s="1"/>
  <c r="Z136" i="1"/>
  <c r="Z143" i="1"/>
  <c r="Z135" i="1"/>
  <c r="AP51" i="1"/>
  <c r="AP53" i="1"/>
  <c r="AP50" i="1"/>
  <c r="Z11" i="8"/>
  <c r="Z305" i="1"/>
  <c r="Z304" i="1"/>
  <c r="Z193" i="1"/>
  <c r="Z196" i="1"/>
  <c r="Z328" i="1"/>
  <c r="T17" i="8"/>
  <c r="T18" i="8"/>
  <c r="T20" i="8"/>
  <c r="T21" i="8"/>
  <c r="T30" i="8"/>
  <c r="T38" i="8"/>
  <c r="T39" i="8"/>
  <c r="T41" i="8"/>
  <c r="T42" i="8"/>
  <c r="Y317" i="1"/>
  <c r="Y222" i="1" s="1"/>
  <c r="Y481" i="1"/>
  <c r="Y394" i="1"/>
  <c r="Y383" i="1"/>
  <c r="Y384" i="1" s="1"/>
  <c r="Y339" i="1"/>
  <c r="Y338" i="1"/>
  <c r="Y40" i="8" s="1"/>
  <c r="Y327" i="1"/>
  <c r="Y314" i="1"/>
  <c r="Y313" i="1"/>
  <c r="Y312" i="1"/>
  <c r="Y295" i="1"/>
  <c r="Y289" i="1"/>
  <c r="Y266" i="1"/>
  <c r="Y218" i="1"/>
  <c r="Y246" i="1"/>
  <c r="Y244" i="1"/>
  <c r="Y236" i="1"/>
  <c r="Y376" i="1" s="1"/>
  <c r="Y377" i="1" s="1"/>
  <c r="X376" i="1"/>
  <c r="X377" i="1" s="1"/>
  <c r="Y235" i="1"/>
  <c r="Y233" i="1"/>
  <c r="Y232" i="1"/>
  <c r="Y231" i="1"/>
  <c r="Y228" i="1"/>
  <c r="Y226" i="1"/>
  <c r="Y223" i="1"/>
  <c r="Y217" i="1"/>
  <c r="Y216" i="1"/>
  <c r="Y215" i="1"/>
  <c r="Y213" i="1"/>
  <c r="Y211" i="1"/>
  <c r="Y204" i="1"/>
  <c r="Y206" i="1"/>
  <c r="Y159" i="1"/>
  <c r="Y180" i="1"/>
  <c r="Y96" i="1"/>
  <c r="Y100" i="1" s="1"/>
  <c r="Y85" i="1"/>
  <c r="Y36" i="8" s="1"/>
  <c r="Y84" i="1"/>
  <c r="Y35" i="8" s="1"/>
  <c r="Y83" i="1"/>
  <c r="Y34" i="8" s="1"/>
  <c r="Y82" i="1"/>
  <c r="Y33" i="8" s="1"/>
  <c r="Y73" i="1"/>
  <c r="Y72" i="1"/>
  <c r="Y71" i="1"/>
  <c r="Y70" i="1"/>
  <c r="Y56" i="1"/>
  <c r="Y50" i="1"/>
  <c r="Y48" i="1"/>
  <c r="Y61" i="1" s="1"/>
  <c r="Y41" i="1"/>
  <c r="Y39" i="1"/>
  <c r="Y26" i="1"/>
  <c r="Y22" i="1"/>
  <c r="Y21" i="1"/>
  <c r="Y18" i="1"/>
  <c r="AV79" i="8"/>
  <c r="AT88" i="8"/>
  <c r="AT87" i="8"/>
  <c r="AV78" i="8"/>
  <c r="AS78" i="8"/>
  <c r="AS79" i="8" s="1"/>
  <c r="AS80" i="8" s="1"/>
  <c r="AS81" i="8" s="1"/>
  <c r="AS82" i="8" s="1"/>
  <c r="AS83" i="8" s="1"/>
  <c r="AS84" i="8" s="1"/>
  <c r="AS85" i="8" s="1"/>
  <c r="AS86" i="8" s="1"/>
  <c r="S17" i="8"/>
  <c r="S20" i="8"/>
  <c r="S21" i="8"/>
  <c r="S38" i="8"/>
  <c r="S39" i="8"/>
  <c r="S41" i="8"/>
  <c r="S42" i="8"/>
  <c r="X41" i="1"/>
  <c r="W41" i="1"/>
  <c r="V41" i="1"/>
  <c r="U41" i="1"/>
  <c r="T41" i="1"/>
  <c r="S41" i="1"/>
  <c r="R41" i="1"/>
  <c r="Q41" i="1"/>
  <c r="P41" i="1"/>
  <c r="O41" i="1"/>
  <c r="AD52" i="1"/>
  <c r="AE52" i="1" s="1"/>
  <c r="X394" i="1"/>
  <c r="X383" i="1"/>
  <c r="X384" i="1" s="1"/>
  <c r="W317" i="1"/>
  <c r="W222" i="1" s="1"/>
  <c r="X339" i="1"/>
  <c r="X338" i="1"/>
  <c r="X40" i="8" s="1"/>
  <c r="X327" i="1"/>
  <c r="X314" i="1"/>
  <c r="X313" i="1"/>
  <c r="X312" i="1"/>
  <c r="X289" i="1"/>
  <c r="X299" i="1" s="1"/>
  <c r="X266" i="1"/>
  <c r="X237" i="1"/>
  <c r="Y237" i="1" s="1"/>
  <c r="X209" i="1"/>
  <c r="X205" i="1"/>
  <c r="Y205" i="1" s="1"/>
  <c r="X159" i="1"/>
  <c r="X222" i="1"/>
  <c r="X30" i="8" s="1"/>
  <c r="X206" i="1"/>
  <c r="X201" i="1"/>
  <c r="X180" i="1"/>
  <c r="X154" i="1"/>
  <c r="X96" i="1"/>
  <c r="X100" i="1" s="1"/>
  <c r="X85" i="1"/>
  <c r="X36" i="8" s="1"/>
  <c r="X84" i="1"/>
  <c r="X35" i="8" s="1"/>
  <c r="X83" i="1"/>
  <c r="X34" i="8" s="1"/>
  <c r="X82" i="1"/>
  <c r="X33" i="8" s="1"/>
  <c r="X79" i="1"/>
  <c r="X73" i="1"/>
  <c r="X72" i="1"/>
  <c r="X71" i="1"/>
  <c r="X70" i="1"/>
  <c r="X56" i="1"/>
  <c r="X50" i="1"/>
  <c r="X48" i="1"/>
  <c r="X61" i="1" s="1"/>
  <c r="X39" i="1"/>
  <c r="X26" i="1"/>
  <c r="X22" i="1"/>
  <c r="X21" i="1"/>
  <c r="X65" i="1" s="1"/>
  <c r="X18" i="1"/>
  <c r="H164" i="10"/>
  <c r="I164" i="10"/>
  <c r="J164" i="10"/>
  <c r="K164" i="10"/>
  <c r="L164" i="10"/>
  <c r="M164" i="10"/>
  <c r="N164" i="10"/>
  <c r="O164" i="10"/>
  <c r="P164" i="10"/>
  <c r="Q164" i="10"/>
  <c r="R164" i="10"/>
  <c r="S164" i="10"/>
  <c r="T164" i="10"/>
  <c r="U164" i="10"/>
  <c r="V164" i="10"/>
  <c r="W164" i="10"/>
  <c r="X3" i="10"/>
  <c r="Y3" i="10"/>
  <c r="Z3" i="10"/>
  <c r="AA3" i="10"/>
  <c r="AB9" i="8"/>
  <c r="R17" i="8"/>
  <c r="R18" i="8"/>
  <c r="R20" i="8"/>
  <c r="R21" i="8"/>
  <c r="R38" i="8"/>
  <c r="R39" i="8"/>
  <c r="R41" i="8"/>
  <c r="R42" i="8"/>
  <c r="AB222" i="1"/>
  <c r="AC222" i="1"/>
  <c r="AD222" i="1"/>
  <c r="AE222" i="1"/>
  <c r="AF222" i="1"/>
  <c r="AG222" i="1"/>
  <c r="AH222" i="1"/>
  <c r="AI222" i="1"/>
  <c r="AJ222" i="1"/>
  <c r="AK222" i="1"/>
  <c r="AL222" i="1"/>
  <c r="AM222" i="1"/>
  <c r="W247" i="1"/>
  <c r="W228" i="1"/>
  <c r="BG228" i="1" s="1"/>
  <c r="W159" i="1"/>
  <c r="W119" i="1"/>
  <c r="W18" i="8" s="1"/>
  <c r="W95" i="1"/>
  <c r="W94" i="1"/>
  <c r="W93" i="1"/>
  <c r="W92" i="1"/>
  <c r="W91" i="1"/>
  <c r="W90" i="1"/>
  <c r="W18" i="1"/>
  <c r="X43" i="1" s="1"/>
  <c r="W21" i="1"/>
  <c r="W22" i="1"/>
  <c r="W26" i="1"/>
  <c r="W39" i="1"/>
  <c r="W48" i="1"/>
  <c r="W57" i="1" s="1"/>
  <c r="W50" i="1"/>
  <c r="W56" i="1"/>
  <c r="W70" i="1"/>
  <c r="W71" i="1"/>
  <c r="W72" i="1"/>
  <c r="W73" i="1"/>
  <c r="W79" i="1"/>
  <c r="W82" i="1"/>
  <c r="W33" i="8" s="1"/>
  <c r="W83" i="1"/>
  <c r="W34" i="8" s="1"/>
  <c r="W84" i="1"/>
  <c r="W35" i="8" s="1"/>
  <c r="W85" i="1"/>
  <c r="W36" i="8" s="1"/>
  <c r="W131" i="1"/>
  <c r="W130" i="1" s="1"/>
  <c r="W132" i="1"/>
  <c r="W154" i="1"/>
  <c r="W180" i="1"/>
  <c r="W201" i="1"/>
  <c r="W206" i="1"/>
  <c r="W259" i="1"/>
  <c r="W266" i="1"/>
  <c r="W289" i="1"/>
  <c r="W299" i="1" s="1"/>
  <c r="W310" i="1"/>
  <c r="W312" i="1"/>
  <c r="W313" i="1"/>
  <c r="W314" i="1"/>
  <c r="W327" i="1"/>
  <c r="W338" i="1"/>
  <c r="W40" i="8" s="1"/>
  <c r="W339" i="1"/>
  <c r="W354" i="1"/>
  <c r="W383" i="1"/>
  <c r="W185" i="1" s="1"/>
  <c r="W394" i="1"/>
  <c r="W515" i="1"/>
  <c r="P17" i="8"/>
  <c r="Q17" i="8"/>
  <c r="P18" i="8"/>
  <c r="P20" i="8"/>
  <c r="Q20" i="8"/>
  <c r="P21" i="8"/>
  <c r="Q21" i="8"/>
  <c r="P30" i="8"/>
  <c r="P38" i="8"/>
  <c r="Q38" i="8"/>
  <c r="P39" i="8"/>
  <c r="Q39" i="8"/>
  <c r="P41" i="8"/>
  <c r="Q41" i="8"/>
  <c r="P42" i="8"/>
  <c r="Q42" i="8"/>
  <c r="V454" i="1"/>
  <c r="V386" i="1"/>
  <c r="W386" i="1" s="1"/>
  <c r="V231" i="1"/>
  <c r="W231" i="1" s="1"/>
  <c r="V222" i="1"/>
  <c r="V159" i="1"/>
  <c r="V119" i="1"/>
  <c r="V18" i="8" s="1"/>
  <c r="V394" i="1"/>
  <c r="V383" i="1"/>
  <c r="V354" i="1"/>
  <c r="V339" i="1"/>
  <c r="V338" i="1"/>
  <c r="V40" i="8" s="1"/>
  <c r="V327" i="1"/>
  <c r="V314" i="1"/>
  <c r="V313" i="1"/>
  <c r="V312" i="1"/>
  <c r="V310" i="1"/>
  <c r="V289" i="1"/>
  <c r="V299" i="1" s="1"/>
  <c r="V266" i="1"/>
  <c r="V259" i="1"/>
  <c r="V206" i="1"/>
  <c r="V201" i="1"/>
  <c r="V180" i="1"/>
  <c r="V154" i="1"/>
  <c r="V132" i="1"/>
  <c r="V131" i="1"/>
  <c r="V130" i="1" s="1"/>
  <c r="V96" i="1"/>
  <c r="V100" i="1" s="1"/>
  <c r="V14" i="8" s="1"/>
  <c r="V85" i="1"/>
  <c r="V36" i="8" s="1"/>
  <c r="V84" i="1"/>
  <c r="V35" i="8" s="1"/>
  <c r="V83" i="1"/>
  <c r="V34" i="8" s="1"/>
  <c r="V82" i="1"/>
  <c r="V33" i="8" s="1"/>
  <c r="V79" i="1"/>
  <c r="V73" i="1"/>
  <c r="V72" i="1"/>
  <c r="V71" i="1"/>
  <c r="V70" i="1"/>
  <c r="V56" i="1"/>
  <c r="V50" i="1"/>
  <c r="V48" i="1"/>
  <c r="V39" i="1"/>
  <c r="V26" i="1"/>
  <c r="V22" i="1"/>
  <c r="V21" i="1"/>
  <c r="V18" i="1"/>
  <c r="W43" i="1" s="1"/>
  <c r="U515" i="1"/>
  <c r="U394" i="1"/>
  <c r="U383" i="1"/>
  <c r="U377" i="1"/>
  <c r="U339" i="1"/>
  <c r="U338" i="1"/>
  <c r="U40" i="8" s="1"/>
  <c r="U327" i="1"/>
  <c r="U314" i="1"/>
  <c r="U313" i="1"/>
  <c r="U312" i="1"/>
  <c r="U289" i="1"/>
  <c r="U299" i="1" s="1"/>
  <c r="U266" i="1"/>
  <c r="U248" i="1"/>
  <c r="U246" i="1"/>
  <c r="U244" i="1"/>
  <c r="U232" i="1"/>
  <c r="U236" i="1"/>
  <c r="U235" i="1"/>
  <c r="V235" i="1" s="1"/>
  <c r="W235" i="1" s="1"/>
  <c r="U227" i="1"/>
  <c r="U226" i="1"/>
  <c r="U223" i="1"/>
  <c r="U222" i="1"/>
  <c r="U218" i="1"/>
  <c r="V218" i="1" s="1"/>
  <c r="W218" i="1" s="1"/>
  <c r="BG218" i="1" s="1"/>
  <c r="U217" i="1"/>
  <c r="U216" i="1"/>
  <c r="U215" i="1"/>
  <c r="U213" i="1"/>
  <c r="U211" i="1"/>
  <c r="U204" i="1"/>
  <c r="U206" i="1"/>
  <c r="U159" i="1"/>
  <c r="U180" i="1"/>
  <c r="U96" i="1"/>
  <c r="U100" i="1" s="1"/>
  <c r="U85" i="1"/>
  <c r="U36" i="8" s="1"/>
  <c r="U84" i="1"/>
  <c r="U35" i="8" s="1"/>
  <c r="U83" i="1"/>
  <c r="U34" i="8" s="1"/>
  <c r="U82" i="1"/>
  <c r="U33" i="8" s="1"/>
  <c r="U73" i="1"/>
  <c r="U72" i="1"/>
  <c r="U71" i="1"/>
  <c r="U70" i="1"/>
  <c r="U56" i="1"/>
  <c r="U50" i="1"/>
  <c r="U48" i="1"/>
  <c r="U39" i="1"/>
  <c r="U26" i="1"/>
  <c r="U22" i="1"/>
  <c r="U21" i="1"/>
  <c r="U337" i="1" s="1"/>
  <c r="U342" i="1" s="1"/>
  <c r="U343" i="1" s="1"/>
  <c r="U18" i="1"/>
  <c r="O17" i="8"/>
  <c r="O20" i="8"/>
  <c r="O21" i="8"/>
  <c r="O38" i="8"/>
  <c r="O39" i="8"/>
  <c r="O40" i="8"/>
  <c r="O41" i="8"/>
  <c r="O42" i="8"/>
  <c r="BG163" i="1"/>
  <c r="BH163" i="1"/>
  <c r="BI163" i="1"/>
  <c r="BJ163" i="1"/>
  <c r="BK163" i="1"/>
  <c r="BG164" i="1"/>
  <c r="BH164" i="1"/>
  <c r="BI164" i="1"/>
  <c r="BJ164" i="1"/>
  <c r="BK164" i="1"/>
  <c r="BG165" i="1"/>
  <c r="BH165" i="1"/>
  <c r="BI165" i="1"/>
  <c r="BJ165" i="1"/>
  <c r="BK165" i="1"/>
  <c r="BG166" i="1"/>
  <c r="BH166" i="1"/>
  <c r="BI166" i="1"/>
  <c r="BJ166" i="1"/>
  <c r="BK166" i="1"/>
  <c r="BG167" i="1"/>
  <c r="BH167" i="1"/>
  <c r="BI167" i="1"/>
  <c r="BJ167" i="1"/>
  <c r="BK167" i="1"/>
  <c r="BG168" i="1"/>
  <c r="BH168" i="1"/>
  <c r="BI168" i="1"/>
  <c r="BJ168" i="1"/>
  <c r="BK168" i="1"/>
  <c r="U387" i="1"/>
  <c r="T237" i="1"/>
  <c r="T238" i="1" s="1"/>
  <c r="T209" i="1"/>
  <c r="T205" i="1"/>
  <c r="U205" i="1" s="1"/>
  <c r="V205" i="1" s="1"/>
  <c r="W205" i="1" s="1"/>
  <c r="T159" i="1"/>
  <c r="T515" i="1"/>
  <c r="T394" i="1"/>
  <c r="T383" i="1"/>
  <c r="T185" i="1" s="1"/>
  <c r="T147" i="10" s="1"/>
  <c r="T354" i="1"/>
  <c r="T339" i="1"/>
  <c r="T338" i="1"/>
  <c r="T40" i="8" s="1"/>
  <c r="T327" i="1"/>
  <c r="T314" i="1"/>
  <c r="T313" i="1"/>
  <c r="T312" i="1"/>
  <c r="T310" i="1"/>
  <c r="T289" i="1"/>
  <c r="T299" i="1" s="1"/>
  <c r="T266" i="1"/>
  <c r="T259" i="1"/>
  <c r="T224" i="1"/>
  <c r="T321" i="1"/>
  <c r="T206" i="1"/>
  <c r="T201" i="1"/>
  <c r="T180" i="1"/>
  <c r="T154" i="1"/>
  <c r="T132" i="1"/>
  <c r="T131" i="1"/>
  <c r="T130" i="1" s="1"/>
  <c r="T85" i="1"/>
  <c r="T36" i="8" s="1"/>
  <c r="T84" i="1"/>
  <c r="T35" i="8" s="1"/>
  <c r="T83" i="1"/>
  <c r="T34" i="8" s="1"/>
  <c r="T82" i="1"/>
  <c r="T33" i="8" s="1"/>
  <c r="T79" i="1"/>
  <c r="T73" i="1"/>
  <c r="T72" i="1"/>
  <c r="T71" i="1"/>
  <c r="T70" i="1"/>
  <c r="T56" i="1"/>
  <c r="T50" i="1"/>
  <c r="T48" i="1"/>
  <c r="T61" i="1" s="1"/>
  <c r="T39" i="1"/>
  <c r="T26" i="1"/>
  <c r="T22" i="1"/>
  <c r="T21" i="1"/>
  <c r="U31" i="1" s="1"/>
  <c r="T18" i="1"/>
  <c r="U43" i="1" s="1"/>
  <c r="L42" i="8"/>
  <c r="M42" i="8"/>
  <c r="N42" i="8"/>
  <c r="T3" i="10"/>
  <c r="U3" i="10"/>
  <c r="V3" i="10"/>
  <c r="W3" i="10"/>
  <c r="N17" i="8"/>
  <c r="N20" i="8"/>
  <c r="N21" i="8"/>
  <c r="N38" i="8"/>
  <c r="N39" i="8"/>
  <c r="N41" i="8"/>
  <c r="N50" i="1"/>
  <c r="O50" i="1"/>
  <c r="P50" i="1"/>
  <c r="Q50" i="1"/>
  <c r="R50" i="1"/>
  <c r="S50" i="1"/>
  <c r="M50" i="1"/>
  <c r="S56" i="1"/>
  <c r="O48" i="1"/>
  <c r="O61" i="1" s="1"/>
  <c r="N48" i="1"/>
  <c r="N61" i="1" s="1"/>
  <c r="M48" i="1"/>
  <c r="M61" i="1" s="1"/>
  <c r="L48" i="1"/>
  <c r="L61" i="1" s="1"/>
  <c r="K48" i="1"/>
  <c r="K61" i="1" s="1"/>
  <c r="J48" i="1"/>
  <c r="J61" i="1" s="1"/>
  <c r="P48" i="1"/>
  <c r="R48" i="1"/>
  <c r="R57" i="1" s="1"/>
  <c r="S48" i="1"/>
  <c r="S57" i="1" s="1"/>
  <c r="Q48" i="1"/>
  <c r="Q61" i="1" s="1"/>
  <c r="S249" i="1"/>
  <c r="S248" i="1"/>
  <c r="S247" i="1"/>
  <c r="S246" i="1"/>
  <c r="S244" i="1"/>
  <c r="AB57" i="1"/>
  <c r="AB58" i="1"/>
  <c r="AB60" i="1"/>
  <c r="S159" i="1"/>
  <c r="S131" i="1"/>
  <c r="S130" i="1" s="1"/>
  <c r="S122" i="1"/>
  <c r="BF122" i="1" s="1"/>
  <c r="S119" i="1"/>
  <c r="S18" i="8" s="1"/>
  <c r="S95" i="1"/>
  <c r="S94" i="1"/>
  <c r="S93" i="1"/>
  <c r="BF93" i="1" s="1"/>
  <c r="S92" i="1"/>
  <c r="BF92" i="1" s="1"/>
  <c r="S91" i="1"/>
  <c r="BF91" i="1" s="1"/>
  <c r="S90" i="1"/>
  <c r="S515" i="1"/>
  <c r="S394" i="1"/>
  <c r="S383" i="1"/>
  <c r="S384" i="1" s="1"/>
  <c r="S354" i="1"/>
  <c r="S339" i="1"/>
  <c r="AB339" i="1"/>
  <c r="AC339" i="1" s="1"/>
  <c r="AD339" i="1" s="1"/>
  <c r="AE339" i="1" s="1"/>
  <c r="AF339" i="1" s="1"/>
  <c r="AG339" i="1" s="1"/>
  <c r="AH339" i="1" s="1"/>
  <c r="AI339" i="1" s="1"/>
  <c r="AJ339" i="1" s="1"/>
  <c r="AK339" i="1" s="1"/>
  <c r="AL339" i="1" s="1"/>
  <c r="AM339" i="1" s="1"/>
  <c r="AN339" i="1" s="1"/>
  <c r="AO339" i="1" s="1"/>
  <c r="AP339" i="1" s="1"/>
  <c r="AQ339" i="1" s="1"/>
  <c r="AR339" i="1" s="1"/>
  <c r="AS339" i="1" s="1"/>
  <c r="AT339" i="1" s="1"/>
  <c r="AU339" i="1" s="1"/>
  <c r="AV339" i="1" s="1"/>
  <c r="AW339" i="1" s="1"/>
  <c r="AX339" i="1" s="1"/>
  <c r="AY339" i="1" s="1"/>
  <c r="S338" i="1"/>
  <c r="S40" i="8" s="1"/>
  <c r="S327" i="1"/>
  <c r="S314" i="1"/>
  <c r="S313" i="1"/>
  <c r="BF313" i="1" s="1"/>
  <c r="S312" i="1"/>
  <c r="S310" i="1"/>
  <c r="S289" i="1"/>
  <c r="S299" i="1" s="1"/>
  <c r="S266" i="1"/>
  <c r="S259" i="1"/>
  <c r="S206" i="1"/>
  <c r="S201" i="1"/>
  <c r="S180" i="1"/>
  <c r="S154" i="1"/>
  <c r="S132" i="1"/>
  <c r="S85" i="1"/>
  <c r="S36" i="8" s="1"/>
  <c r="S84" i="1"/>
  <c r="S35" i="8" s="1"/>
  <c r="S83" i="1"/>
  <c r="S34" i="8" s="1"/>
  <c r="S82" i="1"/>
  <c r="S79" i="1"/>
  <c r="S73" i="1"/>
  <c r="S72" i="1"/>
  <c r="S71" i="1"/>
  <c r="S70" i="1"/>
  <c r="S39" i="1"/>
  <c r="S57" i="9" s="1"/>
  <c r="S26" i="1"/>
  <c r="S22" i="1"/>
  <c r="S21" i="1"/>
  <c r="S18" i="1"/>
  <c r="T43" i="1" s="1"/>
  <c r="AO39" i="8"/>
  <c r="M17" i="8"/>
  <c r="M20" i="8"/>
  <c r="M21" i="8"/>
  <c r="M38" i="8"/>
  <c r="M39" i="8"/>
  <c r="M40" i="8"/>
  <c r="M41" i="8"/>
  <c r="D3" i="10"/>
  <c r="E3" i="10"/>
  <c r="F3" i="10"/>
  <c r="G3" i="10"/>
  <c r="H3" i="10"/>
  <c r="I3" i="10"/>
  <c r="J3" i="10"/>
  <c r="K3" i="10"/>
  <c r="L3" i="10"/>
  <c r="M3" i="10"/>
  <c r="N3" i="10"/>
  <c r="O3" i="10"/>
  <c r="P3" i="10"/>
  <c r="Q3" i="10"/>
  <c r="R3" i="10"/>
  <c r="S3" i="10"/>
  <c r="AC3" i="10"/>
  <c r="AD3" i="10"/>
  <c r="AE3" i="10"/>
  <c r="AF3" i="10"/>
  <c r="AG3" i="10"/>
  <c r="AH3" i="10"/>
  <c r="D2" i="9"/>
  <c r="E2" i="9"/>
  <c r="F2" i="9"/>
  <c r="G2" i="9"/>
  <c r="H2" i="9"/>
  <c r="I2" i="9"/>
  <c r="J2" i="9"/>
  <c r="K2" i="9"/>
  <c r="L2" i="9"/>
  <c r="M2" i="9"/>
  <c r="N2" i="9"/>
  <c r="O2" i="9"/>
  <c r="P2" i="9"/>
  <c r="Q2" i="9"/>
  <c r="R2" i="9"/>
  <c r="S2" i="9"/>
  <c r="U2" i="9"/>
  <c r="V2" i="9"/>
  <c r="W2" i="9"/>
  <c r="X2" i="9"/>
  <c r="Y2" i="9"/>
  <c r="Z2" i="9"/>
  <c r="AA2" i="9"/>
  <c r="U26" i="9"/>
  <c r="K35" i="9"/>
  <c r="L35" i="9"/>
  <c r="M35" i="9"/>
  <c r="N35" i="9"/>
  <c r="O35" i="9"/>
  <c r="P35" i="9"/>
  <c r="Q35" i="9"/>
  <c r="R35" i="9"/>
  <c r="K45" i="9"/>
  <c r="L45" i="9"/>
  <c r="M45" i="9"/>
  <c r="N45" i="9"/>
  <c r="O45" i="9"/>
  <c r="P45" i="9"/>
  <c r="R45" i="9"/>
  <c r="K46" i="9"/>
  <c r="L46" i="9"/>
  <c r="M46" i="9"/>
  <c r="N46" i="9"/>
  <c r="O46" i="9"/>
  <c r="P46" i="9"/>
  <c r="R46" i="9"/>
  <c r="I47" i="9"/>
  <c r="J47" i="9"/>
  <c r="K47" i="9"/>
  <c r="L47" i="9"/>
  <c r="M47" i="9"/>
  <c r="N47" i="9"/>
  <c r="O47" i="9"/>
  <c r="P47" i="9"/>
  <c r="Q47" i="9"/>
  <c r="R47" i="9"/>
  <c r="I50" i="9"/>
  <c r="I110" i="10" s="1"/>
  <c r="J50" i="9"/>
  <c r="J110" i="10" s="1"/>
  <c r="K50" i="9"/>
  <c r="K110" i="10" s="1"/>
  <c r="L50" i="9"/>
  <c r="L110" i="10" s="1"/>
  <c r="M50" i="9"/>
  <c r="M110" i="10" s="1"/>
  <c r="O50" i="9"/>
  <c r="O110" i="10" s="1"/>
  <c r="I52" i="9"/>
  <c r="I109" i="10" s="1"/>
  <c r="J52" i="9"/>
  <c r="J109" i="10" s="1"/>
  <c r="K52" i="9"/>
  <c r="K109" i="10" s="1"/>
  <c r="L52" i="9"/>
  <c r="L109" i="10" s="1"/>
  <c r="M52" i="9"/>
  <c r="M109" i="10" s="1"/>
  <c r="N52" i="9"/>
  <c r="N109" i="10" s="1"/>
  <c r="O52" i="9"/>
  <c r="O109" i="10" s="1"/>
  <c r="P52" i="9"/>
  <c r="P109" i="10" s="1"/>
  <c r="Q52" i="9"/>
  <c r="Q109" i="10" s="1"/>
  <c r="R52" i="9"/>
  <c r="R109" i="10" s="1"/>
  <c r="N53" i="9"/>
  <c r="P53" i="9"/>
  <c r="Q53" i="9"/>
  <c r="R53" i="9"/>
  <c r="E1" i="1"/>
  <c r="F1" i="1" s="1"/>
  <c r="G1" i="1" s="1"/>
  <c r="H1" i="1" s="1"/>
  <c r="I1" i="1" s="1"/>
  <c r="J1" i="1" s="1"/>
  <c r="BB1" i="1"/>
  <c r="BC1" i="1" s="1"/>
  <c r="BD1" i="1" s="1"/>
  <c r="BE1" i="1" s="1"/>
  <c r="BF1" i="1" s="1"/>
  <c r="BG1" i="1" s="1"/>
  <c r="BH1" i="1" s="1"/>
  <c r="BI1" i="1" s="1"/>
  <c r="BJ1" i="1" s="1"/>
  <c r="BK1" i="1" s="1"/>
  <c r="BL1" i="1" s="1"/>
  <c r="BM1" i="1" s="1"/>
  <c r="BN1" i="1" s="1"/>
  <c r="D14" i="1"/>
  <c r="D82" i="1" s="1"/>
  <c r="H14" i="1"/>
  <c r="I70" i="1" s="1"/>
  <c r="BE14" i="1"/>
  <c r="D15" i="1"/>
  <c r="E71" i="1" s="1"/>
  <c r="H15" i="1"/>
  <c r="BD15" i="1" s="1"/>
  <c r="BE15" i="1"/>
  <c r="D16" i="1"/>
  <c r="H16" i="1"/>
  <c r="I72" i="1" s="1"/>
  <c r="BE16" i="1"/>
  <c r="D17" i="1"/>
  <c r="H17" i="1"/>
  <c r="BD17" i="1" s="1"/>
  <c r="BE17" i="1"/>
  <c r="E18" i="1"/>
  <c r="E126" i="10" s="1"/>
  <c r="F18" i="1"/>
  <c r="F126" i="10" s="1"/>
  <c r="I18" i="1"/>
  <c r="I127" i="10" s="1"/>
  <c r="J18" i="1"/>
  <c r="J76" i="10" s="1"/>
  <c r="K18" i="1"/>
  <c r="K76" i="10" s="1"/>
  <c r="L18" i="1"/>
  <c r="L126" i="10" s="1"/>
  <c r="M18" i="1"/>
  <c r="M127" i="10" s="1"/>
  <c r="N18" i="1"/>
  <c r="O19" i="1" s="1"/>
  <c r="O18" i="1"/>
  <c r="P43" i="1" s="1"/>
  <c r="P18" i="1"/>
  <c r="P128" i="10" s="1"/>
  <c r="Q18" i="1"/>
  <c r="R43" i="1" s="1"/>
  <c r="R18" i="1"/>
  <c r="R76" i="10" s="1"/>
  <c r="BA18" i="1"/>
  <c r="BB18" i="1"/>
  <c r="E21" i="1"/>
  <c r="F21" i="1"/>
  <c r="F27" i="1" s="1"/>
  <c r="F75" i="10" s="1"/>
  <c r="I21" i="1"/>
  <c r="I65" i="1" s="1"/>
  <c r="J21" i="1"/>
  <c r="J65" i="1" s="1"/>
  <c r="K21" i="1"/>
  <c r="K27" i="1" s="1"/>
  <c r="K75" i="10" s="1"/>
  <c r="L21" i="1"/>
  <c r="L27" i="1" s="1"/>
  <c r="L75" i="10" s="1"/>
  <c r="M21" i="1"/>
  <c r="M27" i="1" s="1"/>
  <c r="M75" i="10" s="1"/>
  <c r="N21" i="1"/>
  <c r="N27" i="1" s="1"/>
  <c r="N75" i="10" s="1"/>
  <c r="O21" i="1"/>
  <c r="P21" i="1"/>
  <c r="Q30" i="1" s="1"/>
  <c r="Q21" i="1"/>
  <c r="R21" i="1"/>
  <c r="S30" i="1" s="1"/>
  <c r="E22" i="1"/>
  <c r="F22" i="1"/>
  <c r="I22" i="1"/>
  <c r="J22" i="1"/>
  <c r="K22" i="1"/>
  <c r="L22" i="1"/>
  <c r="M22" i="1"/>
  <c r="N22" i="1"/>
  <c r="O22" i="1"/>
  <c r="P22" i="1"/>
  <c r="Q22" i="1"/>
  <c r="R22" i="1"/>
  <c r="E26" i="1"/>
  <c r="F26" i="1"/>
  <c r="I26" i="1"/>
  <c r="J26" i="1"/>
  <c r="K26" i="1"/>
  <c r="L26" i="1"/>
  <c r="M26" i="1"/>
  <c r="N26" i="1"/>
  <c r="O26" i="1"/>
  <c r="P26" i="1"/>
  <c r="Q26" i="1"/>
  <c r="R26" i="1"/>
  <c r="H39" i="1"/>
  <c r="H57" i="9" s="1"/>
  <c r="I39" i="1"/>
  <c r="J39" i="1"/>
  <c r="J57" i="9" s="1"/>
  <c r="K39" i="1"/>
  <c r="K57" i="9" s="1"/>
  <c r="L39" i="1"/>
  <c r="M39" i="1"/>
  <c r="N39" i="1"/>
  <c r="O39" i="1"/>
  <c r="O57" i="9" s="1"/>
  <c r="P39" i="1"/>
  <c r="P57" i="9" s="1"/>
  <c r="Q39" i="1"/>
  <c r="Q57" i="9" s="1"/>
  <c r="R39" i="1"/>
  <c r="R57" i="9" s="1"/>
  <c r="F67" i="1"/>
  <c r="F38" i="8" s="1"/>
  <c r="G67" i="1"/>
  <c r="G38" i="8" s="1"/>
  <c r="F70" i="1"/>
  <c r="J70" i="1"/>
  <c r="K70" i="1"/>
  <c r="L70" i="1"/>
  <c r="M70" i="1"/>
  <c r="N70" i="1"/>
  <c r="O70" i="1"/>
  <c r="P70" i="1"/>
  <c r="Q70" i="1"/>
  <c r="R70" i="1"/>
  <c r="F71" i="1"/>
  <c r="J71" i="1"/>
  <c r="K71" i="1"/>
  <c r="L71" i="1"/>
  <c r="M71" i="1"/>
  <c r="N71" i="1"/>
  <c r="O71" i="1"/>
  <c r="P71" i="1"/>
  <c r="Q71" i="1"/>
  <c r="R71" i="1"/>
  <c r="F72" i="1"/>
  <c r="J72" i="1"/>
  <c r="K72" i="1"/>
  <c r="L72" i="1"/>
  <c r="M72" i="1"/>
  <c r="N72" i="1"/>
  <c r="O72" i="1"/>
  <c r="P72" i="1"/>
  <c r="Q72" i="1"/>
  <c r="R72" i="1"/>
  <c r="F73" i="1"/>
  <c r="J73" i="1"/>
  <c r="K73" i="1"/>
  <c r="L73" i="1"/>
  <c r="M73" i="1"/>
  <c r="N73" i="1"/>
  <c r="O73" i="1"/>
  <c r="P73" i="1"/>
  <c r="Q73" i="1"/>
  <c r="R73" i="1"/>
  <c r="D79" i="1"/>
  <c r="E79" i="1"/>
  <c r="F79" i="1"/>
  <c r="G79" i="1"/>
  <c r="H79" i="1"/>
  <c r="I79" i="1"/>
  <c r="J79" i="1"/>
  <c r="K79" i="1"/>
  <c r="L79" i="1"/>
  <c r="M79" i="1"/>
  <c r="N79" i="1"/>
  <c r="O79" i="1"/>
  <c r="P79" i="1"/>
  <c r="Q79" i="1"/>
  <c r="R79" i="1"/>
  <c r="U79" i="1"/>
  <c r="Y79" i="1"/>
  <c r="Z79" i="1"/>
  <c r="AA79" i="1"/>
  <c r="AB79" i="1"/>
  <c r="AC79" i="1"/>
  <c r="AD79" i="1"/>
  <c r="AE79" i="1"/>
  <c r="AF79" i="1"/>
  <c r="AG79" i="1"/>
  <c r="AH79" i="1"/>
  <c r="AI79" i="1"/>
  <c r="AJ79" i="1"/>
  <c r="AK79" i="1"/>
  <c r="AL79" i="1"/>
  <c r="AM79" i="1"/>
  <c r="BA79" i="1"/>
  <c r="BB79" i="1"/>
  <c r="BC79" i="1"/>
  <c r="BD79" i="1"/>
  <c r="BE79" i="1"/>
  <c r="BF79" i="1"/>
  <c r="BG79" i="1"/>
  <c r="BH79" i="1"/>
  <c r="BI79" i="1"/>
  <c r="BJ79" i="1"/>
  <c r="BK79" i="1"/>
  <c r="E82" i="1"/>
  <c r="E33" i="8" s="1"/>
  <c r="F82" i="1"/>
  <c r="I82" i="1"/>
  <c r="I194" i="1" s="1"/>
  <c r="J82" i="1"/>
  <c r="K82" i="1"/>
  <c r="K190" i="1" s="1"/>
  <c r="L82" i="1"/>
  <c r="M82" i="1"/>
  <c r="M33" i="8" s="1"/>
  <c r="N82" i="1"/>
  <c r="N195" i="1" s="1"/>
  <c r="O82" i="1"/>
  <c r="O195" i="1" s="1"/>
  <c r="P82" i="1"/>
  <c r="P33" i="8" s="1"/>
  <c r="Q82" i="1"/>
  <c r="Q195" i="1" s="1"/>
  <c r="R82" i="1"/>
  <c r="R33" i="8" s="1"/>
  <c r="BA82" i="1"/>
  <c r="U4" i="9" s="1"/>
  <c r="BB82" i="1"/>
  <c r="E83" i="1"/>
  <c r="E34" i="8" s="1"/>
  <c r="F83" i="1"/>
  <c r="F34" i="8" s="1"/>
  <c r="I83" i="1"/>
  <c r="I34" i="8" s="1"/>
  <c r="J83" i="1"/>
  <c r="J34" i="8" s="1"/>
  <c r="K83" i="1"/>
  <c r="K34" i="8" s="1"/>
  <c r="L83" i="1"/>
  <c r="M83" i="1"/>
  <c r="N83" i="1"/>
  <c r="O83" i="1"/>
  <c r="O34" i="8" s="1"/>
  <c r="P83" i="1"/>
  <c r="Q83" i="1"/>
  <c r="Q34" i="8" s="1"/>
  <c r="R83" i="1"/>
  <c r="R34" i="8" s="1"/>
  <c r="BA83" i="1"/>
  <c r="BB83" i="1"/>
  <c r="E84" i="1"/>
  <c r="E35" i="8" s="1"/>
  <c r="F84" i="1"/>
  <c r="H84" i="1"/>
  <c r="H35" i="8" s="1"/>
  <c r="I84" i="1"/>
  <c r="J84" i="1"/>
  <c r="J35" i="8" s="1"/>
  <c r="K84" i="1"/>
  <c r="L84" i="1"/>
  <c r="L35" i="8" s="1"/>
  <c r="M84" i="1"/>
  <c r="M35" i="8" s="1"/>
  <c r="N84" i="1"/>
  <c r="N35" i="8" s="1"/>
  <c r="O84" i="1"/>
  <c r="P84" i="1"/>
  <c r="Q84" i="1"/>
  <c r="Q35" i="8" s="1"/>
  <c r="R84" i="1"/>
  <c r="R35" i="8" s="1"/>
  <c r="BA84" i="1"/>
  <c r="BB84" i="1"/>
  <c r="E85" i="1"/>
  <c r="E36" i="8" s="1"/>
  <c r="F85" i="1"/>
  <c r="F36" i="8" s="1"/>
  <c r="H85" i="1"/>
  <c r="I85" i="1"/>
  <c r="I36" i="8" s="1"/>
  <c r="J85" i="1"/>
  <c r="J36" i="8" s="1"/>
  <c r="K85" i="1"/>
  <c r="K36" i="8" s="1"/>
  <c r="L85" i="1"/>
  <c r="M85" i="1"/>
  <c r="M36" i="8" s="1"/>
  <c r="N85" i="1"/>
  <c r="N36" i="8" s="1"/>
  <c r="O85" i="1"/>
  <c r="O36" i="8" s="1"/>
  <c r="P85" i="1"/>
  <c r="P36" i="8" s="1"/>
  <c r="Q85" i="1"/>
  <c r="Q36" i="8" s="1"/>
  <c r="R85" i="1"/>
  <c r="R36" i="8" s="1"/>
  <c r="BA85" i="1"/>
  <c r="BB85" i="1"/>
  <c r="D90" i="1"/>
  <c r="G90" i="1" s="1"/>
  <c r="H90" i="1"/>
  <c r="O90" i="1"/>
  <c r="D91" i="1"/>
  <c r="H91" i="1"/>
  <c r="K91" i="1" s="1"/>
  <c r="O91" i="1"/>
  <c r="D92" i="1"/>
  <c r="G92" i="1" s="1"/>
  <c r="BC92" i="1" s="1"/>
  <c r="H92" i="1"/>
  <c r="K92" i="1" s="1"/>
  <c r="BD92" i="1" s="1"/>
  <c r="O92" i="1"/>
  <c r="BE92" i="1" s="1"/>
  <c r="D93" i="1"/>
  <c r="H93" i="1"/>
  <c r="K93" i="1" s="1"/>
  <c r="BD93" i="1" s="1"/>
  <c r="O93" i="1"/>
  <c r="BE93" i="1" s="1"/>
  <c r="D94" i="1"/>
  <c r="G94" i="1" s="1"/>
  <c r="H94" i="1"/>
  <c r="O94" i="1"/>
  <c r="BE94" i="1" s="1"/>
  <c r="D95" i="1"/>
  <c r="H95" i="1"/>
  <c r="K95" i="1" s="1"/>
  <c r="O95" i="1"/>
  <c r="BE95" i="1" s="1"/>
  <c r="E96" i="1"/>
  <c r="E100" i="1" s="1"/>
  <c r="F96" i="1"/>
  <c r="F100" i="1" s="1"/>
  <c r="F64" i="1" s="1"/>
  <c r="I96" i="1"/>
  <c r="I100" i="1" s="1"/>
  <c r="I64" i="1" s="1"/>
  <c r="J96" i="1"/>
  <c r="J100" i="1" s="1"/>
  <c r="L96" i="1"/>
  <c r="L100" i="1" s="1"/>
  <c r="L64" i="1" s="1"/>
  <c r="M96" i="1"/>
  <c r="N96" i="1"/>
  <c r="N100" i="1" s="1"/>
  <c r="N64" i="1" s="1"/>
  <c r="P96" i="1"/>
  <c r="P100" i="1" s="1"/>
  <c r="Q96" i="1"/>
  <c r="Q100" i="1" s="1"/>
  <c r="Q14" i="8" s="1"/>
  <c r="R96" i="1"/>
  <c r="R100" i="1" s="1"/>
  <c r="BA96" i="1"/>
  <c r="BA100" i="1" s="1"/>
  <c r="BB96" i="1"/>
  <c r="BB100" i="1" s="1"/>
  <c r="D97" i="1"/>
  <c r="G97" i="1" s="1"/>
  <c r="BC97" i="1" s="1"/>
  <c r="H97" i="1"/>
  <c r="BE97" i="1"/>
  <c r="BD98" i="1"/>
  <c r="BE98" i="1"/>
  <c r="BF98" i="1"/>
  <c r="BG98" i="1"/>
  <c r="BH98" i="1"/>
  <c r="BI98" i="1"/>
  <c r="BJ98" i="1"/>
  <c r="BK98" i="1"/>
  <c r="D99" i="1"/>
  <c r="D112" i="1" s="1"/>
  <c r="BD99" i="1"/>
  <c r="BE99" i="1"/>
  <c r="BF99" i="1"/>
  <c r="BG99" i="1"/>
  <c r="BH99" i="1"/>
  <c r="BI99" i="1"/>
  <c r="BJ99" i="1"/>
  <c r="BK99" i="1"/>
  <c r="D105" i="1"/>
  <c r="G105" i="1" s="1"/>
  <c r="G17" i="8" s="1"/>
  <c r="H105" i="1"/>
  <c r="BD105" i="1" s="1"/>
  <c r="BE105" i="1"/>
  <c r="D110" i="1"/>
  <c r="BD110" i="1"/>
  <c r="BE110" i="1"/>
  <c r="E111" i="1"/>
  <c r="E21" i="8" s="1"/>
  <c r="I111" i="1"/>
  <c r="BE111" i="1"/>
  <c r="BF111" i="1"/>
  <c r="BG111" i="1"/>
  <c r="BH111" i="1"/>
  <c r="BI111" i="1"/>
  <c r="BJ111" i="1"/>
  <c r="BK111" i="1"/>
  <c r="BD112" i="1"/>
  <c r="BE112" i="1"/>
  <c r="BF112" i="1"/>
  <c r="BG112" i="1"/>
  <c r="BH112" i="1"/>
  <c r="BI112" i="1"/>
  <c r="BJ112" i="1"/>
  <c r="BK112" i="1"/>
  <c r="D116" i="1"/>
  <c r="G116" i="1" s="1"/>
  <c r="BC116" i="1" s="1"/>
  <c r="H116" i="1"/>
  <c r="BD116" i="1" s="1"/>
  <c r="BE116" i="1"/>
  <c r="D117" i="1"/>
  <c r="G117" i="1" s="1"/>
  <c r="H117" i="1"/>
  <c r="H394" i="1" s="1"/>
  <c r="BE117" i="1"/>
  <c r="D118" i="1"/>
  <c r="H118" i="1"/>
  <c r="BD118" i="1" s="1"/>
  <c r="BE118" i="1"/>
  <c r="D119" i="1"/>
  <c r="D18" i="8" s="1"/>
  <c r="F119" i="1"/>
  <c r="H119" i="1"/>
  <c r="H111" i="1" s="1"/>
  <c r="H21" i="8" s="1"/>
  <c r="K119" i="1"/>
  <c r="M119" i="1"/>
  <c r="M18" i="8" s="1"/>
  <c r="N119" i="1"/>
  <c r="N18" i="8" s="1"/>
  <c r="O119" i="1"/>
  <c r="O18" i="8" s="1"/>
  <c r="Q119" i="1"/>
  <c r="Q18" i="8" s="1"/>
  <c r="BH119" i="1"/>
  <c r="BI119" i="1"/>
  <c r="BJ119" i="1"/>
  <c r="BK119" i="1"/>
  <c r="BD122" i="1"/>
  <c r="BE122" i="1"/>
  <c r="BG122" i="1"/>
  <c r="L131" i="1"/>
  <c r="L130" i="1" s="1"/>
  <c r="M131" i="1"/>
  <c r="M130" i="1" s="1"/>
  <c r="N131" i="1"/>
  <c r="N130" i="1" s="1"/>
  <c r="O131" i="1"/>
  <c r="O130" i="1" s="1"/>
  <c r="R131" i="1"/>
  <c r="R130" i="1" s="1"/>
  <c r="R132" i="1"/>
  <c r="D154" i="1"/>
  <c r="E154" i="1"/>
  <c r="F154" i="1"/>
  <c r="G154" i="1"/>
  <c r="H154" i="1"/>
  <c r="I154" i="1"/>
  <c r="J154" i="1"/>
  <c r="K154" i="1"/>
  <c r="L154" i="1"/>
  <c r="M154" i="1"/>
  <c r="N154" i="1"/>
  <c r="O154" i="1"/>
  <c r="P154" i="1"/>
  <c r="Q154" i="1"/>
  <c r="R154" i="1"/>
  <c r="U154" i="1"/>
  <c r="Y154" i="1"/>
  <c r="Z154" i="1"/>
  <c r="AA154" i="1"/>
  <c r="AB154" i="1"/>
  <c r="AC154" i="1"/>
  <c r="AD154" i="1"/>
  <c r="AE154" i="1"/>
  <c r="AF154" i="1"/>
  <c r="AG154" i="1"/>
  <c r="AH154" i="1"/>
  <c r="AI154" i="1"/>
  <c r="AJ154" i="1"/>
  <c r="AK154" i="1"/>
  <c r="AL154" i="1"/>
  <c r="AM154" i="1"/>
  <c r="BA154" i="1"/>
  <c r="BB154" i="1"/>
  <c r="BC154" i="1"/>
  <c r="BD154" i="1"/>
  <c r="BE154" i="1"/>
  <c r="BF154" i="1"/>
  <c r="BG154" i="1"/>
  <c r="BH154" i="1"/>
  <c r="BI154" i="1"/>
  <c r="BJ154" i="1"/>
  <c r="BK154" i="1"/>
  <c r="D158" i="1"/>
  <c r="BA158" i="1"/>
  <c r="BA159" i="1" s="1"/>
  <c r="BD158" i="1"/>
  <c r="BE158" i="1"/>
  <c r="E159" i="1"/>
  <c r="F159" i="1"/>
  <c r="F191" i="1" s="1"/>
  <c r="J159" i="1"/>
  <c r="K159" i="1"/>
  <c r="L159" i="1"/>
  <c r="M159" i="1"/>
  <c r="N159" i="1"/>
  <c r="O159" i="1"/>
  <c r="P159" i="1"/>
  <c r="Q159" i="1"/>
  <c r="R159" i="1"/>
  <c r="BB159" i="1"/>
  <c r="G162" i="1"/>
  <c r="BD162" i="1"/>
  <c r="BE162" i="1"/>
  <c r="BF162" i="1"/>
  <c r="BG162" i="1"/>
  <c r="BH162" i="1"/>
  <c r="BI162" i="1"/>
  <c r="BJ162" i="1"/>
  <c r="BK162" i="1"/>
  <c r="G163" i="1"/>
  <c r="BD163" i="1"/>
  <c r="BE163" i="1"/>
  <c r="BF163" i="1"/>
  <c r="BD164" i="1"/>
  <c r="BE164" i="1"/>
  <c r="BF164" i="1"/>
  <c r="G165" i="1"/>
  <c r="BD165" i="1"/>
  <c r="BE165" i="1"/>
  <c r="BF165" i="1"/>
  <c r="BD166" i="1"/>
  <c r="BE166" i="1"/>
  <c r="BF166" i="1"/>
  <c r="BD167" i="1"/>
  <c r="BE167" i="1"/>
  <c r="BF167" i="1"/>
  <c r="BD168" i="1"/>
  <c r="BE168" i="1"/>
  <c r="BF168" i="1"/>
  <c r="BD173" i="1"/>
  <c r="BE173" i="1"/>
  <c r="BD174" i="1"/>
  <c r="BE174" i="1"/>
  <c r="BD175" i="1"/>
  <c r="BE175" i="1"/>
  <c r="BF175" i="1"/>
  <c r="BD176" i="1"/>
  <c r="BE176" i="1"/>
  <c r="BD177" i="1"/>
  <c r="BE177" i="1"/>
  <c r="BD178" i="1"/>
  <c r="BE178" i="1"/>
  <c r="BD179" i="1"/>
  <c r="BE179" i="1"/>
  <c r="BF179" i="1"/>
  <c r="BG179" i="1"/>
  <c r="L180" i="1"/>
  <c r="M180" i="1"/>
  <c r="N180" i="1"/>
  <c r="O180" i="1"/>
  <c r="P180" i="1"/>
  <c r="Q180" i="1"/>
  <c r="R180" i="1"/>
  <c r="BD180" i="1"/>
  <c r="D201" i="1"/>
  <c r="E201" i="1"/>
  <c r="F201" i="1"/>
  <c r="G201" i="1"/>
  <c r="H201" i="1"/>
  <c r="I201" i="1"/>
  <c r="J201" i="1"/>
  <c r="K201" i="1"/>
  <c r="L201" i="1"/>
  <c r="M201" i="1"/>
  <c r="N201" i="1"/>
  <c r="O201" i="1"/>
  <c r="P201" i="1"/>
  <c r="Q201" i="1"/>
  <c r="R201" i="1"/>
  <c r="U201" i="1"/>
  <c r="Y201" i="1"/>
  <c r="Z201" i="1"/>
  <c r="AA201" i="1"/>
  <c r="AB201" i="1"/>
  <c r="AC201" i="1"/>
  <c r="AD201" i="1"/>
  <c r="AE201" i="1"/>
  <c r="AF201" i="1"/>
  <c r="AG201" i="1"/>
  <c r="AH201" i="1"/>
  <c r="AI201" i="1"/>
  <c r="AJ201" i="1"/>
  <c r="AK201" i="1"/>
  <c r="AL201" i="1"/>
  <c r="AM201" i="1"/>
  <c r="BA201" i="1"/>
  <c r="BB201" i="1"/>
  <c r="BC201" i="1"/>
  <c r="BD201" i="1"/>
  <c r="BE201" i="1"/>
  <c r="BF201" i="1"/>
  <c r="BG201" i="1"/>
  <c r="BH201" i="1"/>
  <c r="BI201" i="1"/>
  <c r="BJ201" i="1"/>
  <c r="BK201" i="1"/>
  <c r="D204" i="1"/>
  <c r="E204" i="1"/>
  <c r="H204" i="1"/>
  <c r="I204" i="1"/>
  <c r="M204" i="1"/>
  <c r="N204" i="1" s="1"/>
  <c r="Q204" i="1"/>
  <c r="R204" i="1" s="1"/>
  <c r="S204" i="1" s="1"/>
  <c r="BF204" i="1" s="1"/>
  <c r="D205" i="1"/>
  <c r="E205" i="1"/>
  <c r="H205" i="1"/>
  <c r="I205" i="1"/>
  <c r="M205" i="1"/>
  <c r="P205" i="1"/>
  <c r="Q205" i="1" s="1"/>
  <c r="BI205" i="1"/>
  <c r="BJ205" i="1"/>
  <c r="BK205" i="1"/>
  <c r="D206" i="1"/>
  <c r="E206" i="1"/>
  <c r="H206" i="1"/>
  <c r="I206" i="1"/>
  <c r="J206" i="1"/>
  <c r="K206" i="1"/>
  <c r="L206" i="1"/>
  <c r="M206" i="1"/>
  <c r="N206" i="1"/>
  <c r="O206" i="1"/>
  <c r="P206" i="1"/>
  <c r="Q206" i="1"/>
  <c r="R206" i="1"/>
  <c r="D207" i="1"/>
  <c r="E207" i="1"/>
  <c r="BD207" i="1"/>
  <c r="BE207" i="1"/>
  <c r="D208" i="1"/>
  <c r="F208" i="1" s="1"/>
  <c r="G208" i="1" s="1"/>
  <c r="BC208" i="1" s="1"/>
  <c r="H208" i="1"/>
  <c r="I208" i="1"/>
  <c r="N208" i="1"/>
  <c r="O208" i="1" s="1"/>
  <c r="BE208" i="1" s="1"/>
  <c r="Q208" i="1"/>
  <c r="R208" i="1" s="1"/>
  <c r="BG208" i="1"/>
  <c r="BH208" i="1"/>
  <c r="BI208" i="1"/>
  <c r="BJ208" i="1"/>
  <c r="BK208" i="1"/>
  <c r="F209" i="1"/>
  <c r="G209" i="1" s="1"/>
  <c r="BC209" i="1" s="1"/>
  <c r="K209" i="1"/>
  <c r="BD209" i="1" s="1"/>
  <c r="M209" i="1"/>
  <c r="N209" i="1" s="1"/>
  <c r="Q209" i="1"/>
  <c r="R209" i="1" s="1"/>
  <c r="BA209" i="1"/>
  <c r="BB209" i="1"/>
  <c r="BI209" i="1"/>
  <c r="BJ209" i="1"/>
  <c r="BK209" i="1"/>
  <c r="D211" i="1"/>
  <c r="E211" i="1"/>
  <c r="H211" i="1"/>
  <c r="I211" i="1"/>
  <c r="M211" i="1"/>
  <c r="N211" i="1" s="1"/>
  <c r="Q211" i="1"/>
  <c r="R211" i="1" s="1"/>
  <c r="D212" i="1"/>
  <c r="E212" i="1"/>
  <c r="BD212" i="1"/>
  <c r="BE212" i="1"/>
  <c r="BF212" i="1"/>
  <c r="BG212" i="1"/>
  <c r="BH212" i="1"/>
  <c r="BI212" i="1"/>
  <c r="BJ212" i="1"/>
  <c r="BK212" i="1"/>
  <c r="D213" i="1"/>
  <c r="E213" i="1"/>
  <c r="H213" i="1"/>
  <c r="I213" i="1"/>
  <c r="M213" i="1"/>
  <c r="Q213" i="1"/>
  <c r="R213" i="1" s="1"/>
  <c r="D214" i="1"/>
  <c r="E214" i="1"/>
  <c r="H214" i="1"/>
  <c r="I214" i="1"/>
  <c r="BE214" i="1"/>
  <c r="BF214" i="1"/>
  <c r="BG214" i="1"/>
  <c r="BH214" i="1"/>
  <c r="BI214" i="1"/>
  <c r="BJ214" i="1"/>
  <c r="BK214" i="1"/>
  <c r="D215" i="1"/>
  <c r="E215" i="1"/>
  <c r="H215" i="1"/>
  <c r="I215" i="1"/>
  <c r="M215" i="1"/>
  <c r="N215" i="1" s="1"/>
  <c r="O215" i="1" s="1"/>
  <c r="BE215" i="1" s="1"/>
  <c r="Q215" i="1"/>
  <c r="R215" i="1" s="1"/>
  <c r="S215" i="1" s="1"/>
  <c r="BF215" i="1" s="1"/>
  <c r="D216" i="1"/>
  <c r="E216" i="1"/>
  <c r="H216" i="1"/>
  <c r="I216" i="1"/>
  <c r="M216" i="1"/>
  <c r="N216" i="1" s="1"/>
  <c r="O216" i="1" s="1"/>
  <c r="Q216" i="1"/>
  <c r="R216" i="1" s="1"/>
  <c r="D217" i="1"/>
  <c r="E217" i="1"/>
  <c r="H217" i="1"/>
  <c r="I217" i="1"/>
  <c r="J217" i="1" s="1"/>
  <c r="M217" i="1"/>
  <c r="Q217" i="1"/>
  <c r="R217" i="1" s="1"/>
  <c r="S217" i="1" s="1"/>
  <c r="BF217" i="1" s="1"/>
  <c r="D218" i="1"/>
  <c r="E218" i="1"/>
  <c r="H218" i="1"/>
  <c r="I218" i="1"/>
  <c r="M218" i="1"/>
  <c r="Q218" i="1"/>
  <c r="R218" i="1" s="1"/>
  <c r="G221" i="1"/>
  <c r="BC221" i="1" s="1"/>
  <c r="BD221" i="1"/>
  <c r="BE221" i="1"/>
  <c r="BF221" i="1"/>
  <c r="BG221" i="1"/>
  <c r="BH221" i="1"/>
  <c r="BI221" i="1"/>
  <c r="BJ221" i="1"/>
  <c r="BK221" i="1"/>
  <c r="G222" i="1"/>
  <c r="BC222" i="1" s="1"/>
  <c r="J222" i="1"/>
  <c r="M222" i="1"/>
  <c r="Q222" i="1"/>
  <c r="S222" i="1" s="1"/>
  <c r="D223" i="1"/>
  <c r="D30" i="8" s="1"/>
  <c r="E223" i="1"/>
  <c r="E224" i="1" s="1"/>
  <c r="H223" i="1"/>
  <c r="H224" i="1" s="1"/>
  <c r="M223" i="1"/>
  <c r="N223" i="1" s="1"/>
  <c r="Q223" i="1"/>
  <c r="R223" i="1" s="1"/>
  <c r="R30" i="8" s="1"/>
  <c r="L224" i="1"/>
  <c r="P224" i="1"/>
  <c r="BA224" i="1"/>
  <c r="BB224" i="1"/>
  <c r="F226" i="1"/>
  <c r="H226" i="1"/>
  <c r="I226" i="1"/>
  <c r="M226" i="1"/>
  <c r="N226" i="1" s="1"/>
  <c r="Q226" i="1"/>
  <c r="R226" i="1" s="1"/>
  <c r="BI226" i="1"/>
  <c r="BJ226" i="1"/>
  <c r="BK226" i="1"/>
  <c r="H227" i="1"/>
  <c r="I227" i="1"/>
  <c r="BC227" i="1"/>
  <c r="BE227" i="1"/>
  <c r="BF227" i="1"/>
  <c r="BH227" i="1"/>
  <c r="BI227" i="1"/>
  <c r="BJ227" i="1"/>
  <c r="BK227" i="1"/>
  <c r="D228" i="1"/>
  <c r="E228" i="1"/>
  <c r="H228" i="1"/>
  <c r="I228" i="1"/>
  <c r="N228" i="1"/>
  <c r="Q228" i="1"/>
  <c r="R228" i="1" s="1"/>
  <c r="BA228" i="1"/>
  <c r="BA238" i="1" s="1"/>
  <c r="BC229" i="1"/>
  <c r="BD229" i="1"/>
  <c r="BE229" i="1"/>
  <c r="D230" i="1"/>
  <c r="F230" i="1" s="1"/>
  <c r="E230" i="1"/>
  <c r="BD230" i="1"/>
  <c r="BE230" i="1"/>
  <c r="BF230" i="1"/>
  <c r="BG230" i="1"/>
  <c r="BH230" i="1"/>
  <c r="BI230" i="1"/>
  <c r="BJ230" i="1"/>
  <c r="BK230" i="1"/>
  <c r="D231" i="1"/>
  <c r="E231" i="1"/>
  <c r="H231" i="1"/>
  <c r="J231" i="1" s="1"/>
  <c r="I231" i="1"/>
  <c r="M231" i="1"/>
  <c r="N231" i="1" s="1"/>
  <c r="O231" i="1" s="1"/>
  <c r="BE231" i="1" s="1"/>
  <c r="Q231" i="1"/>
  <c r="R231" i="1" s="1"/>
  <c r="S231" i="1" s="1"/>
  <c r="BI231" i="1"/>
  <c r="BJ231" i="1"/>
  <c r="BK231" i="1"/>
  <c r="D232" i="1"/>
  <c r="E232" i="1"/>
  <c r="H232" i="1"/>
  <c r="I232" i="1"/>
  <c r="M232" i="1"/>
  <c r="Q232" i="1"/>
  <c r="R232" i="1" s="1"/>
  <c r="S232" i="1" s="1"/>
  <c r="BF232" i="1" s="1"/>
  <c r="D233" i="1"/>
  <c r="E233" i="1"/>
  <c r="H233" i="1"/>
  <c r="I233" i="1"/>
  <c r="M233" i="1"/>
  <c r="N233" i="1" s="1"/>
  <c r="O233" i="1" s="1"/>
  <c r="BE233" i="1" s="1"/>
  <c r="Q233" i="1"/>
  <c r="M235" i="1"/>
  <c r="N235" i="1" s="1"/>
  <c r="O235" i="1" s="1"/>
  <c r="Q235" i="1"/>
  <c r="R235" i="1" s="1"/>
  <c r="S235" i="1" s="1"/>
  <c r="BC235" i="1"/>
  <c r="BD235" i="1"/>
  <c r="F236" i="1"/>
  <c r="K236" i="1"/>
  <c r="BD236" i="1" s="1"/>
  <c r="Q236" i="1"/>
  <c r="R236" i="1" s="1"/>
  <c r="BE236" i="1"/>
  <c r="J237" i="1"/>
  <c r="M237" i="1"/>
  <c r="N237" i="1" s="1"/>
  <c r="O237" i="1" s="1"/>
  <c r="Q237" i="1"/>
  <c r="R237" i="1" s="1"/>
  <c r="S237" i="1" s="1"/>
  <c r="BF237" i="1" s="1"/>
  <c r="BC237" i="1"/>
  <c r="BI237" i="1"/>
  <c r="BJ237" i="1"/>
  <c r="BK237" i="1"/>
  <c r="L238" i="1"/>
  <c r="P238" i="1"/>
  <c r="BB238" i="1"/>
  <c r="I242" i="1"/>
  <c r="J241" i="1" s="1"/>
  <c r="J242" i="1"/>
  <c r="K241" i="1" s="1"/>
  <c r="D244" i="1"/>
  <c r="E244" i="1"/>
  <c r="H244" i="1"/>
  <c r="I244" i="1"/>
  <c r="M244" i="1"/>
  <c r="N244" i="1" s="1"/>
  <c r="O244" i="1" s="1"/>
  <c r="D246" i="1"/>
  <c r="E246" i="1"/>
  <c r="H246" i="1"/>
  <c r="I246" i="1"/>
  <c r="M246" i="1"/>
  <c r="N246" i="1" s="1"/>
  <c r="O246" i="1" s="1"/>
  <c r="K247" i="1"/>
  <c r="K248" i="1"/>
  <c r="H250" i="1"/>
  <c r="I250" i="1"/>
  <c r="J250" i="1" s="1"/>
  <c r="K250" i="1" s="1"/>
  <c r="D259" i="1"/>
  <c r="E259" i="1"/>
  <c r="F259" i="1"/>
  <c r="G259" i="1"/>
  <c r="H259" i="1"/>
  <c r="I259" i="1"/>
  <c r="J259" i="1"/>
  <c r="K259" i="1"/>
  <c r="L259" i="1"/>
  <c r="M259" i="1"/>
  <c r="N259" i="1"/>
  <c r="O259" i="1"/>
  <c r="P259" i="1"/>
  <c r="Q259" i="1"/>
  <c r="R259" i="1"/>
  <c r="U259" i="1"/>
  <c r="X259" i="1"/>
  <c r="Y259" i="1"/>
  <c r="Z259" i="1"/>
  <c r="AA259" i="1"/>
  <c r="AB259" i="1"/>
  <c r="AC259" i="1"/>
  <c r="AD259" i="1"/>
  <c r="AE259" i="1"/>
  <c r="AF259" i="1"/>
  <c r="AG259" i="1"/>
  <c r="AH259" i="1"/>
  <c r="AI259" i="1"/>
  <c r="AJ259" i="1"/>
  <c r="AK259" i="1"/>
  <c r="AL259" i="1"/>
  <c r="AM259" i="1"/>
  <c r="BA259" i="1"/>
  <c r="BB259" i="1"/>
  <c r="BC259" i="1"/>
  <c r="BD259" i="1"/>
  <c r="BE259" i="1"/>
  <c r="BF259" i="1"/>
  <c r="BG259" i="1"/>
  <c r="BH259" i="1"/>
  <c r="BI259" i="1"/>
  <c r="BJ259" i="1"/>
  <c r="BK259" i="1"/>
  <c r="BC261" i="1"/>
  <c r="BD261" i="1"/>
  <c r="BE261" i="1"/>
  <c r="BC262" i="1"/>
  <c r="BD262" i="1"/>
  <c r="BE262" i="1"/>
  <c r="BC263" i="1"/>
  <c r="BD263" i="1"/>
  <c r="BE263" i="1"/>
  <c r="BC265" i="1"/>
  <c r="BD265" i="1"/>
  <c r="BE265" i="1"/>
  <c r="BF265" i="1"/>
  <c r="G266" i="1"/>
  <c r="BC266" i="1" s="1"/>
  <c r="I266" i="1"/>
  <c r="I276" i="1" s="1"/>
  <c r="J266" i="1"/>
  <c r="J276" i="1" s="1"/>
  <c r="K266" i="1"/>
  <c r="K276" i="1" s="1"/>
  <c r="L266" i="1"/>
  <c r="L276" i="1" s="1"/>
  <c r="M266" i="1"/>
  <c r="N266" i="1"/>
  <c r="O266" i="1"/>
  <c r="BE266" i="1" s="1"/>
  <c r="P266" i="1"/>
  <c r="Q266" i="1"/>
  <c r="R266" i="1"/>
  <c r="BB266" i="1"/>
  <c r="BC268" i="1"/>
  <c r="BC399" i="1" s="1"/>
  <c r="BD268" i="1"/>
  <c r="BD399" i="1" s="1"/>
  <c r="X39" i="9" s="1"/>
  <c r="BC269" i="1"/>
  <c r="BD269" i="1"/>
  <c r="BE269" i="1"/>
  <c r="BC270" i="1"/>
  <c r="BD270" i="1"/>
  <c r="BE270" i="1"/>
  <c r="BF270" i="1"/>
  <c r="BC271" i="1"/>
  <c r="BD271" i="1"/>
  <c r="BE271" i="1"/>
  <c r="BF271" i="1"/>
  <c r="BC272" i="1"/>
  <c r="BD272" i="1"/>
  <c r="BE272" i="1"/>
  <c r="G274" i="1"/>
  <c r="BC274" i="1" s="1"/>
  <c r="BB274" i="1"/>
  <c r="BD274" i="1"/>
  <c r="BE274" i="1"/>
  <c r="BC278" i="1"/>
  <c r="BD278" i="1"/>
  <c r="BE278" i="1"/>
  <c r="BC279" i="1"/>
  <c r="BD279" i="1"/>
  <c r="BE279" i="1"/>
  <c r="BC280" i="1"/>
  <c r="BD280" i="1"/>
  <c r="BE280" i="1"/>
  <c r="BC281" i="1"/>
  <c r="BD281" i="1"/>
  <c r="BE281" i="1"/>
  <c r="BC282" i="1"/>
  <c r="BD282" i="1"/>
  <c r="BE282" i="1"/>
  <c r="BC283" i="1"/>
  <c r="BD283" i="1"/>
  <c r="BE283" i="1"/>
  <c r="BC284" i="1"/>
  <c r="BD284" i="1"/>
  <c r="BE284" i="1"/>
  <c r="BF284" i="1"/>
  <c r="Q285" i="1"/>
  <c r="Q289" i="1" s="1"/>
  <c r="Q299" i="1" s="1"/>
  <c r="R285" i="1"/>
  <c r="R289" i="1" s="1"/>
  <c r="R299" i="1" s="1"/>
  <c r="BC285" i="1"/>
  <c r="BD285" i="1"/>
  <c r="BE285" i="1"/>
  <c r="BF207" i="1"/>
  <c r="BC286" i="1"/>
  <c r="BD286" i="1"/>
  <c r="BE286" i="1"/>
  <c r="BF286" i="1"/>
  <c r="BC287" i="1"/>
  <c r="BD287" i="1"/>
  <c r="BE287" i="1"/>
  <c r="BF287" i="1"/>
  <c r="BG287" i="1"/>
  <c r="BH287" i="1"/>
  <c r="BI287" i="1"/>
  <c r="BJ287" i="1"/>
  <c r="BK287" i="1"/>
  <c r="G289" i="1"/>
  <c r="G299" i="1" s="1"/>
  <c r="I289" i="1"/>
  <c r="I299" i="1" s="1"/>
  <c r="J289" i="1"/>
  <c r="J299" i="1" s="1"/>
  <c r="K289" i="1"/>
  <c r="K299" i="1" s="1"/>
  <c r="L289" i="1"/>
  <c r="L299" i="1" s="1"/>
  <c r="M289" i="1"/>
  <c r="M299" i="1" s="1"/>
  <c r="N289" i="1"/>
  <c r="N299" i="1" s="1"/>
  <c r="O289" i="1"/>
  <c r="O299" i="1" s="1"/>
  <c r="P289" i="1"/>
  <c r="P299" i="1" s="1"/>
  <c r="BB289" i="1"/>
  <c r="BB299" i="1" s="1"/>
  <c r="BF292" i="1"/>
  <c r="BD292" i="1"/>
  <c r="BE292" i="1"/>
  <c r="BC293" i="1"/>
  <c r="BD293" i="1"/>
  <c r="BE293" i="1"/>
  <c r="BF293" i="1"/>
  <c r="BD294" i="1"/>
  <c r="BE294" i="1"/>
  <c r="BD295" i="1"/>
  <c r="BE295" i="1"/>
  <c r="BH296" i="1"/>
  <c r="BI296" i="1"/>
  <c r="BJ296" i="1"/>
  <c r="BK296" i="1"/>
  <c r="BD297" i="1"/>
  <c r="BE297" i="1"/>
  <c r="BF297" i="1"/>
  <c r="D310" i="1"/>
  <c r="E310" i="1"/>
  <c r="F310" i="1"/>
  <c r="G310" i="1"/>
  <c r="H310" i="1"/>
  <c r="I310" i="1"/>
  <c r="J310" i="1"/>
  <c r="K310" i="1"/>
  <c r="L310" i="1"/>
  <c r="M310" i="1"/>
  <c r="N310" i="1"/>
  <c r="O310" i="1"/>
  <c r="P310" i="1"/>
  <c r="Q310" i="1"/>
  <c r="R310" i="1"/>
  <c r="U310" i="1"/>
  <c r="X310" i="1"/>
  <c r="Y310" i="1"/>
  <c r="Z310" i="1"/>
  <c r="AA310" i="1"/>
  <c r="AB310" i="1"/>
  <c r="AC310" i="1"/>
  <c r="AD310" i="1"/>
  <c r="AE310" i="1"/>
  <c r="AF310" i="1"/>
  <c r="AG310" i="1"/>
  <c r="AH310" i="1"/>
  <c r="AI310" i="1"/>
  <c r="AJ310" i="1"/>
  <c r="AK310" i="1"/>
  <c r="AL310" i="1"/>
  <c r="AM310" i="1"/>
  <c r="BA310" i="1"/>
  <c r="BB310" i="1"/>
  <c r="BC310" i="1"/>
  <c r="BD310" i="1"/>
  <c r="BE310" i="1"/>
  <c r="BF310" i="1"/>
  <c r="BG310" i="1"/>
  <c r="BH310" i="1"/>
  <c r="BI310" i="1"/>
  <c r="BJ310" i="1"/>
  <c r="BK310" i="1"/>
  <c r="I312" i="1"/>
  <c r="J312" i="1"/>
  <c r="K312" i="1"/>
  <c r="BD312" i="1" s="1"/>
  <c r="L312" i="1"/>
  <c r="M312" i="1"/>
  <c r="N312" i="1"/>
  <c r="O312" i="1"/>
  <c r="BE312" i="1" s="1"/>
  <c r="P312" i="1"/>
  <c r="Q312" i="1"/>
  <c r="R312" i="1"/>
  <c r="I313" i="1"/>
  <c r="J313" i="1"/>
  <c r="K313" i="1"/>
  <c r="BD313" i="1" s="1"/>
  <c r="L313" i="1"/>
  <c r="M313" i="1"/>
  <c r="N313" i="1"/>
  <c r="O313" i="1"/>
  <c r="BE313" i="1" s="1"/>
  <c r="P313" i="1"/>
  <c r="Q313" i="1"/>
  <c r="R313" i="1"/>
  <c r="I314" i="1"/>
  <c r="J314" i="1"/>
  <c r="K314" i="1"/>
  <c r="BD314" i="1" s="1"/>
  <c r="L314" i="1"/>
  <c r="M314" i="1"/>
  <c r="N314" i="1"/>
  <c r="O314" i="1"/>
  <c r="BE314" i="1" s="1"/>
  <c r="P314" i="1"/>
  <c r="Q314" i="1"/>
  <c r="R314" i="1"/>
  <c r="M317" i="1"/>
  <c r="L321" i="1"/>
  <c r="L31" i="9" s="1"/>
  <c r="L57" i="10" s="1"/>
  <c r="P321" i="1"/>
  <c r="I327" i="1"/>
  <c r="J327" i="1"/>
  <c r="K327" i="1"/>
  <c r="L327" i="1"/>
  <c r="M327" i="1"/>
  <c r="N327" i="1"/>
  <c r="O327" i="1"/>
  <c r="P327" i="1"/>
  <c r="Q327" i="1"/>
  <c r="R327" i="1"/>
  <c r="BD335" i="1"/>
  <c r="BE335" i="1"/>
  <c r="E337" i="1"/>
  <c r="E49" i="9" s="1"/>
  <c r="I337" i="1"/>
  <c r="I49" i="9" s="1"/>
  <c r="K337" i="1"/>
  <c r="K49" i="9" s="1"/>
  <c r="N338" i="1"/>
  <c r="N50" i="9" s="1"/>
  <c r="N110" i="10" s="1"/>
  <c r="P338" i="1"/>
  <c r="P40" i="8" s="1"/>
  <c r="Q338" i="1"/>
  <c r="Q40" i="8" s="1"/>
  <c r="R338" i="1"/>
  <c r="R40" i="8" s="1"/>
  <c r="BD338" i="1"/>
  <c r="BE338" i="1"/>
  <c r="I339" i="1"/>
  <c r="I51" i="9" s="1"/>
  <c r="J339" i="1"/>
  <c r="J51" i="9" s="1"/>
  <c r="K339" i="1"/>
  <c r="K51" i="9" s="1"/>
  <c r="L339" i="1"/>
  <c r="L51" i="9" s="1"/>
  <c r="M339" i="1"/>
  <c r="M51" i="9" s="1"/>
  <c r="N339" i="1"/>
  <c r="N51" i="9" s="1"/>
  <c r="O339" i="1"/>
  <c r="O51" i="9" s="1"/>
  <c r="P339" i="1"/>
  <c r="P51" i="9" s="1"/>
  <c r="Q339" i="1"/>
  <c r="Q51" i="9" s="1"/>
  <c r="R339" i="1"/>
  <c r="R51" i="9" s="1"/>
  <c r="BD340" i="1"/>
  <c r="BE340" i="1"/>
  <c r="I341" i="1"/>
  <c r="I53" i="9" s="1"/>
  <c r="J341" i="1"/>
  <c r="J53" i="9" s="1"/>
  <c r="K341" i="1"/>
  <c r="K53" i="9" s="1"/>
  <c r="L341" i="1"/>
  <c r="L53" i="9" s="1"/>
  <c r="M341" i="1"/>
  <c r="M53" i="9" s="1"/>
  <c r="O341" i="1"/>
  <c r="O53" i="9" s="1"/>
  <c r="AB344" i="1"/>
  <c r="AC344" i="1"/>
  <c r="AD344" i="1"/>
  <c r="AE344" i="1"/>
  <c r="AF344" i="1"/>
  <c r="AG344" i="1"/>
  <c r="AH344" i="1"/>
  <c r="AI344" i="1"/>
  <c r="AJ344" i="1"/>
  <c r="AK344" i="1"/>
  <c r="AL344" i="1"/>
  <c r="AM344" i="1"/>
  <c r="D354" i="1"/>
  <c r="E354" i="1"/>
  <c r="F354" i="1"/>
  <c r="G354" i="1"/>
  <c r="H354" i="1"/>
  <c r="I354" i="1"/>
  <c r="J354" i="1"/>
  <c r="K354" i="1"/>
  <c r="L354" i="1"/>
  <c r="M354" i="1"/>
  <c r="N354" i="1"/>
  <c r="O354" i="1"/>
  <c r="P354" i="1"/>
  <c r="Q354" i="1"/>
  <c r="R354" i="1"/>
  <c r="U354" i="1"/>
  <c r="X354" i="1"/>
  <c r="Y354" i="1"/>
  <c r="Z354" i="1"/>
  <c r="AA354" i="1"/>
  <c r="AB354" i="1"/>
  <c r="AC354" i="1"/>
  <c r="AD354" i="1"/>
  <c r="AE354" i="1"/>
  <c r="AF354" i="1"/>
  <c r="AG354" i="1"/>
  <c r="AH354" i="1"/>
  <c r="AI354" i="1"/>
  <c r="AJ354" i="1"/>
  <c r="AK354" i="1"/>
  <c r="AL354" i="1"/>
  <c r="AM354" i="1"/>
  <c r="BA354" i="1"/>
  <c r="BB354" i="1"/>
  <c r="BC354" i="1"/>
  <c r="BD354" i="1"/>
  <c r="BE354" i="1"/>
  <c r="BF354" i="1"/>
  <c r="BG354" i="1"/>
  <c r="BH354" i="1"/>
  <c r="BI354" i="1"/>
  <c r="BJ354" i="1"/>
  <c r="BK354" i="1"/>
  <c r="K368" i="1"/>
  <c r="K377" i="1"/>
  <c r="K357" i="1" s="1"/>
  <c r="L377" i="1"/>
  <c r="M377" i="1"/>
  <c r="N377" i="1"/>
  <c r="O377" i="1"/>
  <c r="P377" i="1"/>
  <c r="Q377" i="1"/>
  <c r="Q380" i="1"/>
  <c r="BF380" i="1" s="1"/>
  <c r="BE380" i="1"/>
  <c r="L381" i="1"/>
  <c r="L383" i="1" s="1"/>
  <c r="M381" i="1"/>
  <c r="M132" i="1" s="1"/>
  <c r="N381" i="1"/>
  <c r="N383" i="1" s="1"/>
  <c r="N384" i="1" s="1"/>
  <c r="O381" i="1"/>
  <c r="O383" i="1" s="1"/>
  <c r="Q381" i="1"/>
  <c r="BF381" i="1" s="1"/>
  <c r="P382" i="1"/>
  <c r="Q382" i="1" s="1"/>
  <c r="BF382" i="1" s="1"/>
  <c r="BD382" i="1"/>
  <c r="BE382" i="1"/>
  <c r="BE384" i="1" s="1"/>
  <c r="R383" i="1"/>
  <c r="R185" i="1" s="1"/>
  <c r="R147" i="10" s="1"/>
  <c r="K390" i="1"/>
  <c r="K380" i="1" s="1"/>
  <c r="I393" i="1"/>
  <c r="I38" i="9" s="1"/>
  <c r="I394" i="1"/>
  <c r="P394" i="1"/>
  <c r="Q394" i="1"/>
  <c r="R394" i="1"/>
  <c r="BE395" i="1"/>
  <c r="I397" i="1"/>
  <c r="J397" i="1"/>
  <c r="K397" i="1"/>
  <c r="L397" i="1"/>
  <c r="G399" i="1"/>
  <c r="G39" i="9" s="1"/>
  <c r="I399" i="1"/>
  <c r="I39" i="9" s="1"/>
  <c r="J399" i="1"/>
  <c r="J39" i="9" s="1"/>
  <c r="K399" i="1"/>
  <c r="K39" i="9" s="1"/>
  <c r="L399" i="1"/>
  <c r="L39" i="9" s="1"/>
  <c r="BB399" i="1"/>
  <c r="J404" i="1"/>
  <c r="K404" i="1" s="1"/>
  <c r="L404" i="1" s="1"/>
  <c r="M404" i="1" s="1"/>
  <c r="N404" i="1" s="1"/>
  <c r="O404" i="1" s="1"/>
  <c r="P404" i="1" s="1"/>
  <c r="Q404" i="1" s="1"/>
  <c r="R404" i="1" s="1"/>
  <c r="S404" i="1" s="1"/>
  <c r="T404" i="1" s="1"/>
  <c r="U404" i="1" s="1"/>
  <c r="J419" i="1"/>
  <c r="J437" i="1"/>
  <c r="J439" i="1"/>
  <c r="K439" i="1"/>
  <c r="K362" i="1" s="1"/>
  <c r="N446" i="1"/>
  <c r="N447" i="1"/>
  <c r="J462" i="1"/>
  <c r="J464" i="1"/>
  <c r="J459" i="1" s="1"/>
  <c r="J470" i="1"/>
  <c r="J487" i="1"/>
  <c r="J489" i="1"/>
  <c r="J484" i="1" s="1"/>
  <c r="J495" i="1"/>
  <c r="D515" i="1"/>
  <c r="E515" i="1"/>
  <c r="F515" i="1"/>
  <c r="G515" i="1"/>
  <c r="H515" i="1"/>
  <c r="I515" i="1"/>
  <c r="J515" i="1"/>
  <c r="K515" i="1"/>
  <c r="L515" i="1"/>
  <c r="M515" i="1"/>
  <c r="N515" i="1"/>
  <c r="O515" i="1"/>
  <c r="P515" i="1"/>
  <c r="Q515" i="1"/>
  <c r="R515" i="1"/>
  <c r="V515" i="1"/>
  <c r="X515" i="1"/>
  <c r="Y515" i="1"/>
  <c r="Z515" i="1"/>
  <c r="AA515" i="1"/>
  <c r="AB515" i="1"/>
  <c r="AC515" i="1"/>
  <c r="AD515" i="1"/>
  <c r="AE515" i="1"/>
  <c r="AF515" i="1"/>
  <c r="AG515" i="1"/>
  <c r="AH515" i="1"/>
  <c r="AI515" i="1"/>
  <c r="AJ515" i="1"/>
  <c r="AK515" i="1"/>
  <c r="AL515" i="1"/>
  <c r="AM515" i="1"/>
  <c r="BA515" i="1"/>
  <c r="BB515" i="1"/>
  <c r="BC515" i="1"/>
  <c r="BD515" i="1"/>
  <c r="BE515" i="1"/>
  <c r="BF515" i="1"/>
  <c r="BG515" i="1"/>
  <c r="BH515" i="1"/>
  <c r="BI515" i="1"/>
  <c r="BJ515" i="1"/>
  <c r="BK515" i="1"/>
  <c r="AB11" i="8"/>
  <c r="AB18" i="8" s="1"/>
  <c r="E17" i="8"/>
  <c r="F17" i="8"/>
  <c r="I17" i="8"/>
  <c r="J17" i="8"/>
  <c r="K17" i="8"/>
  <c r="L17" i="8"/>
  <c r="E18" i="8"/>
  <c r="I18" i="8"/>
  <c r="J18" i="8"/>
  <c r="L18" i="8"/>
  <c r="E20" i="8"/>
  <c r="F20" i="8"/>
  <c r="H20" i="8"/>
  <c r="I20" i="8"/>
  <c r="J20" i="8"/>
  <c r="K20" i="8"/>
  <c r="L20" i="8"/>
  <c r="I21" i="8"/>
  <c r="J21" i="8"/>
  <c r="K21" i="8"/>
  <c r="L21" i="8"/>
  <c r="AD23" i="8"/>
  <c r="L30" i="8"/>
  <c r="F33" i="8"/>
  <c r="L33" i="8"/>
  <c r="L34" i="8"/>
  <c r="F35" i="8"/>
  <c r="L36" i="8"/>
  <c r="H38" i="8"/>
  <c r="I38" i="8"/>
  <c r="J38" i="8"/>
  <c r="K38" i="8"/>
  <c r="L38" i="8"/>
  <c r="I39" i="8"/>
  <c r="J39" i="8"/>
  <c r="K39" i="8"/>
  <c r="L39" i="8"/>
  <c r="AO66" i="8"/>
  <c r="I40" i="8"/>
  <c r="J40" i="8"/>
  <c r="K40" i="8"/>
  <c r="L40" i="8"/>
  <c r="AO67" i="8"/>
  <c r="H41" i="8"/>
  <c r="I41" i="8"/>
  <c r="J41" i="8"/>
  <c r="K41" i="8"/>
  <c r="L41" i="8"/>
  <c r="G43" i="8"/>
  <c r="I43" i="8"/>
  <c r="J43" i="8"/>
  <c r="K43" i="8"/>
  <c r="L43" i="8"/>
  <c r="S43" i="5"/>
  <c r="T43" i="5"/>
  <c r="BH382" i="1"/>
  <c r="BF285" i="1"/>
  <c r="BF272" i="1"/>
  <c r="R190" i="1"/>
  <c r="F195" i="1"/>
  <c r="F190" i="1"/>
  <c r="F194" i="1"/>
  <c r="R191" i="1"/>
  <c r="R195" i="1"/>
  <c r="BF274" i="1"/>
  <c r="R194" i="1"/>
  <c r="M100" i="1"/>
  <c r="M14" i="8" s="1"/>
  <c r="I71" i="1"/>
  <c r="S35" i="9"/>
  <c r="BF273" i="1"/>
  <c r="BD97" i="1"/>
  <c r="BE91" i="1"/>
  <c r="G91" i="1"/>
  <c r="BC91" i="1" s="1"/>
  <c r="O128" i="10"/>
  <c r="K126" i="10"/>
  <c r="Q76" i="10"/>
  <c r="Q126" i="10"/>
  <c r="Q127" i="10"/>
  <c r="Q128" i="10"/>
  <c r="Q129" i="10"/>
  <c r="M76" i="10"/>
  <c r="M128" i="10"/>
  <c r="M129" i="10"/>
  <c r="E127" i="10"/>
  <c r="S51" i="9"/>
  <c r="BF261" i="1"/>
  <c r="BF229" i="1"/>
  <c r="BF280" i="1"/>
  <c r="BF281" i="1"/>
  <c r="BF278" i="1"/>
  <c r="S185" i="1"/>
  <c r="S34" i="9" s="1"/>
  <c r="S65" i="1"/>
  <c r="BF312" i="1"/>
  <c r="BF14" i="1"/>
  <c r="BF70" i="1" s="1"/>
  <c r="BF16" i="1"/>
  <c r="BF72" i="1" s="1"/>
  <c r="BF17" i="1"/>
  <c r="BF178" i="1"/>
  <c r="BF158" i="1"/>
  <c r="BF177" i="1"/>
  <c r="S53" i="9"/>
  <c r="S128" i="10"/>
  <c r="S40" i="9"/>
  <c r="S45" i="9"/>
  <c r="S46" i="9"/>
  <c r="S47" i="9"/>
  <c r="S52" i="9"/>
  <c r="S109" i="10" s="1"/>
  <c r="BF15" i="1"/>
  <c r="BF90" i="1"/>
  <c r="BF95" i="1"/>
  <c r="BF97" i="1"/>
  <c r="BF105" i="1"/>
  <c r="BF110" i="1"/>
  <c r="BF116" i="1"/>
  <c r="BF117" i="1"/>
  <c r="BF118" i="1"/>
  <c r="BF173" i="1"/>
  <c r="BF174" i="1"/>
  <c r="BF176" i="1"/>
  <c r="BF262" i="1"/>
  <c r="BF263" i="1"/>
  <c r="BF266" i="1"/>
  <c r="BF269" i="1"/>
  <c r="BF279" i="1"/>
  <c r="BF282" i="1"/>
  <c r="BF283" i="1"/>
  <c r="BF294" i="1"/>
  <c r="BF295" i="1"/>
  <c r="BF335" i="1"/>
  <c r="BF338" i="1"/>
  <c r="BF340" i="1"/>
  <c r="BF383" i="1"/>
  <c r="Z40" i="9" s="1"/>
  <c r="M65" i="1"/>
  <c r="I73" i="1"/>
  <c r="I27" i="1"/>
  <c r="I75" i="10" s="1"/>
  <c r="Q27" i="1"/>
  <c r="Q75" i="10" s="1"/>
  <c r="P30" i="1"/>
  <c r="J204" i="1"/>
  <c r="J190" i="1"/>
  <c r="J33" i="8"/>
  <c r="F128" i="10"/>
  <c r="AC57" i="1"/>
  <c r="AC58" i="1"/>
  <c r="AC60" i="1"/>
  <c r="AD57" i="1"/>
  <c r="AD58" i="1"/>
  <c r="AD60" i="1"/>
  <c r="AE57" i="1"/>
  <c r="AE58" i="1"/>
  <c r="AE60" i="1"/>
  <c r="AF57" i="1"/>
  <c r="AF58" i="1"/>
  <c r="AF60" i="1"/>
  <c r="AG57" i="1"/>
  <c r="AG58" i="1"/>
  <c r="AG60" i="1"/>
  <c r="AH57" i="1"/>
  <c r="AH58" i="1"/>
  <c r="AH60" i="1"/>
  <c r="AI57" i="1"/>
  <c r="AI58" i="1"/>
  <c r="AI60" i="1"/>
  <c r="AJ57" i="1"/>
  <c r="AJ58" i="1"/>
  <c r="AJ60" i="1"/>
  <c r="AK57" i="1"/>
  <c r="AK58" i="1"/>
  <c r="AK60" i="1"/>
  <c r="AL57" i="1"/>
  <c r="AL58" i="1"/>
  <c r="AL60" i="1"/>
  <c r="AM57" i="1"/>
  <c r="AM58" i="1"/>
  <c r="AM60" i="1"/>
  <c r="R61" i="1"/>
  <c r="P191" i="1"/>
  <c r="P190" i="1"/>
  <c r="P195" i="1"/>
  <c r="P194" i="1"/>
  <c r="BG272" i="1"/>
  <c r="K65" i="1"/>
  <c r="I223" i="1"/>
  <c r="I224" i="1" s="1"/>
  <c r="R233" i="1"/>
  <c r="S233" i="1" s="1"/>
  <c r="BF233" i="1" s="1"/>
  <c r="T74" i="1"/>
  <c r="T19" i="1"/>
  <c r="BG175" i="1"/>
  <c r="T96" i="1"/>
  <c r="T100" i="1" s="1"/>
  <c r="T319" i="1"/>
  <c r="T384" i="1"/>
  <c r="X164" i="10"/>
  <c r="T5" i="10"/>
  <c r="T76" i="10"/>
  <c r="T109" i="10"/>
  <c r="T126" i="10"/>
  <c r="T127" i="10"/>
  <c r="T128" i="10"/>
  <c r="T129" i="10"/>
  <c r="U131" i="1"/>
  <c r="U130" i="1" s="1"/>
  <c r="U27" i="1"/>
  <c r="U75" i="10" s="1"/>
  <c r="U76" i="10"/>
  <c r="U128" i="10"/>
  <c r="U129" i="10"/>
  <c r="U388" i="1"/>
  <c r="U132" i="1"/>
  <c r="BG382" i="1"/>
  <c r="D85" i="1"/>
  <c r="D36" i="8" s="1"/>
  <c r="N40" i="8"/>
  <c r="H17" i="8"/>
  <c r="Q57" i="1"/>
  <c r="I191" i="1"/>
  <c r="BD14" i="1"/>
  <c r="BE70" i="1" s="1"/>
  <c r="U74" i="1"/>
  <c r="U110" i="10"/>
  <c r="BG284" i="1"/>
  <c r="U109" i="10"/>
  <c r="BG207" i="1"/>
  <c r="BG297" i="1"/>
  <c r="U190" i="1"/>
  <c r="D26" i="1"/>
  <c r="U65" i="1"/>
  <c r="U191" i="1"/>
  <c r="BH292" i="1"/>
  <c r="BG292" i="1"/>
  <c r="BG273" i="1"/>
  <c r="F218" i="1"/>
  <c r="G218" i="1" s="1"/>
  <c r="S337" i="1"/>
  <c r="S342" i="1" s="1"/>
  <c r="S54" i="9" s="1"/>
  <c r="E129" i="10"/>
  <c r="E76" i="10"/>
  <c r="R31" i="1"/>
  <c r="E70" i="1"/>
  <c r="D21" i="1"/>
  <c r="D27" i="1" s="1"/>
  <c r="D75" i="10" s="1"/>
  <c r="L191" i="1"/>
  <c r="BG270" i="1"/>
  <c r="T30" i="1"/>
  <c r="Q65" i="1"/>
  <c r="S27" i="1"/>
  <c r="S75" i="10" s="1"/>
  <c r="E128" i="10"/>
  <c r="I129" i="10"/>
  <c r="I76" i="10"/>
  <c r="D22" i="1"/>
  <c r="M337" i="1"/>
  <c r="M49" i="9" s="1"/>
  <c r="K222" i="1"/>
  <c r="BD222" i="1" s="1"/>
  <c r="G93" i="1"/>
  <c r="BC93" i="1" s="1"/>
  <c r="BE90" i="1"/>
  <c r="N34" i="8"/>
  <c r="I57" i="9"/>
  <c r="T31" i="1"/>
  <c r="J19" i="1"/>
  <c r="G14" i="1"/>
  <c r="BC14" i="1" s="1"/>
  <c r="BC82" i="1" s="1"/>
  <c r="W4" i="9" s="1"/>
  <c r="U194" i="1"/>
  <c r="BG286" i="1"/>
  <c r="BG285" i="1"/>
  <c r="BG271" i="1"/>
  <c r="BG233" i="1"/>
  <c r="BG278" i="1"/>
  <c r="BH265" i="1"/>
  <c r="BG265" i="1"/>
  <c r="BH293" i="1"/>
  <c r="BG293" i="1"/>
  <c r="V337" i="1"/>
  <c r="V342" i="1" s="1"/>
  <c r="V343" i="1" s="1"/>
  <c r="V27" i="1"/>
  <c r="V75" i="10" s="1"/>
  <c r="V65" i="1"/>
  <c r="BG274" i="1"/>
  <c r="BG281" i="1"/>
  <c r="BG229" i="1"/>
  <c r="BG280" i="1"/>
  <c r="BG312" i="1"/>
  <c r="BG261" i="1"/>
  <c r="V76" i="10"/>
  <c r="V109" i="10"/>
  <c r="V127" i="10"/>
  <c r="AB38" i="1"/>
  <c r="AB35" i="1"/>
  <c r="AB39" i="1" s="1"/>
  <c r="AB36" i="1"/>
  <c r="AD37" i="1"/>
  <c r="AE37" i="1" s="1"/>
  <c r="BG17" i="1"/>
  <c r="BG14" i="1"/>
  <c r="BG16" i="1"/>
  <c r="BG158" i="1"/>
  <c r="BG178" i="1"/>
  <c r="BG177" i="1"/>
  <c r="X428" i="1"/>
  <c r="W5" i="10"/>
  <c r="W76" i="10"/>
  <c r="W109" i="10"/>
  <c r="W110" i="10"/>
  <c r="W126" i="10"/>
  <c r="W127" i="10"/>
  <c r="W128" i="10"/>
  <c r="W129" i="10"/>
  <c r="BG15" i="1"/>
  <c r="BG92" i="1"/>
  <c r="BG93" i="1"/>
  <c r="BG94" i="1"/>
  <c r="BG97" i="1"/>
  <c r="BG105" i="1"/>
  <c r="BG110" i="1"/>
  <c r="BG116" i="1"/>
  <c r="BG117" i="1"/>
  <c r="BG118" i="1"/>
  <c r="BG173" i="1"/>
  <c r="BG174" i="1"/>
  <c r="BG176" i="1"/>
  <c r="BG262" i="1"/>
  <c r="BG263" i="1"/>
  <c r="BG266" i="1"/>
  <c r="BG269" i="1"/>
  <c r="BG279" i="1"/>
  <c r="BG282" i="1"/>
  <c r="BG283" i="1"/>
  <c r="BG294" i="1"/>
  <c r="BG295" i="1"/>
  <c r="BG313" i="1"/>
  <c r="BG314" i="1"/>
  <c r="BG335" i="1"/>
  <c r="BG338" i="1"/>
  <c r="BG340" i="1"/>
  <c r="BG380" i="1"/>
  <c r="BG381" i="1"/>
  <c r="BG383" i="1"/>
  <c r="AA40" i="9" s="1"/>
  <c r="BG394" i="1"/>
  <c r="V4" i="9"/>
  <c r="K237" i="1"/>
  <c r="BD237" i="1" s="1"/>
  <c r="G95" i="1"/>
  <c r="BC95" i="1" s="1"/>
  <c r="V30" i="1"/>
  <c r="V211" i="1"/>
  <c r="W211" i="1" s="1"/>
  <c r="BG211" i="1" s="1"/>
  <c r="V217" i="1"/>
  <c r="W217" i="1" s="1"/>
  <c r="BG217" i="1" s="1"/>
  <c r="V223" i="1"/>
  <c r="W30" i="1"/>
  <c r="W31" i="1"/>
  <c r="V213" i="1"/>
  <c r="W213" i="1" s="1"/>
  <c r="BG213" i="1" s="1"/>
  <c r="V226" i="1"/>
  <c r="W226" i="1" s="1"/>
  <c r="BG226" i="1" s="1"/>
  <c r="V215" i="1"/>
  <c r="W215" i="1" s="1"/>
  <c r="BG215" i="1" s="1"/>
  <c r="V227" i="1"/>
  <c r="W227" i="1" s="1"/>
  <c r="V232" i="1"/>
  <c r="W232" i="1" s="1"/>
  <c r="U237" i="1"/>
  <c r="U238" i="1" s="1"/>
  <c r="L337" i="1"/>
  <c r="L49" i="9" s="1"/>
  <c r="J244" i="1"/>
  <c r="K244" i="1" s="1"/>
  <c r="N232" i="1"/>
  <c r="O232" i="1" s="1"/>
  <c r="F18" i="8"/>
  <c r="P34" i="8"/>
  <c r="Q190" i="1"/>
  <c r="I315" i="1"/>
  <c r="J191" i="1"/>
  <c r="K18" i="8"/>
  <c r="U57" i="1"/>
  <c r="U61" i="1"/>
  <c r="U315" i="1"/>
  <c r="V236" i="1"/>
  <c r="BG236" i="1" s="1"/>
  <c r="V388" i="1"/>
  <c r="AD143" i="1"/>
  <c r="AH143" i="1" s="1"/>
  <c r="AL143" i="1" s="1"/>
  <c r="AP143" i="1" s="1"/>
  <c r="AT143" i="1" s="1"/>
  <c r="AX143" i="1" s="1"/>
  <c r="AB51" i="1"/>
  <c r="AB53" i="1"/>
  <c r="AB50" i="1"/>
  <c r="AC50" i="1"/>
  <c r="AC51" i="1"/>
  <c r="AD53" i="1"/>
  <c r="AC53" i="1"/>
  <c r="AD51" i="1"/>
  <c r="AD50" i="1"/>
  <c r="X337" i="1"/>
  <c r="X342" i="1" s="1"/>
  <c r="X343" i="1" s="1"/>
  <c r="X74" i="1"/>
  <c r="W190" i="1"/>
  <c r="X19" i="1"/>
  <c r="AD137" i="1"/>
  <c r="AE137" i="1" s="1"/>
  <c r="AG137" i="1" s="1"/>
  <c r="AH137" i="1" s="1"/>
  <c r="AI137" i="1" s="1"/>
  <c r="AJ137" i="1" s="1"/>
  <c r="AK137" i="1" s="1"/>
  <c r="AL137" i="1" s="1"/>
  <c r="AM137" i="1" s="1"/>
  <c r="AN137" i="1" s="1"/>
  <c r="AO137" i="1" s="1"/>
  <c r="AP137" i="1" s="1"/>
  <c r="AQ137" i="1" s="1"/>
  <c r="AR137" i="1" s="1"/>
  <c r="AS137" i="1" s="1"/>
  <c r="AT137" i="1" s="1"/>
  <c r="AU137" i="1" s="1"/>
  <c r="AV137" i="1" s="1"/>
  <c r="AW137" i="1" s="1"/>
  <c r="AX137" i="1" s="1"/>
  <c r="AY137" i="1" s="1"/>
  <c r="AB45" i="1"/>
  <c r="AB47" i="1"/>
  <c r="AB44" i="1"/>
  <c r="AC47" i="1"/>
  <c r="AC44" i="1"/>
  <c r="AC45" i="1"/>
  <c r="AD47" i="1"/>
  <c r="AD45" i="1"/>
  <c r="AD44" i="1"/>
  <c r="Y479" i="1"/>
  <c r="AE45" i="1"/>
  <c r="AE47" i="1"/>
  <c r="AE44" i="1"/>
  <c r="AC503" i="1"/>
  <c r="X5" i="10"/>
  <c r="X76" i="10"/>
  <c r="X126" i="10"/>
  <c r="X127" i="10"/>
  <c r="X128" i="10"/>
  <c r="X129" i="10"/>
  <c r="X131" i="1"/>
  <c r="X130" i="1" s="1"/>
  <c r="X109" i="10"/>
  <c r="X132" i="1"/>
  <c r="X185" i="1"/>
  <c r="X147" i="10" s="1"/>
  <c r="Y164" i="10"/>
  <c r="J246" i="1"/>
  <c r="K246" i="1" s="1"/>
  <c r="Y27" i="1"/>
  <c r="Y75" i="10" s="1"/>
  <c r="F14" i="8"/>
  <c r="V64" i="1"/>
  <c r="AB274" i="1"/>
  <c r="AB284" i="1"/>
  <c r="BE235" i="1"/>
  <c r="S213" i="1"/>
  <c r="BF213" i="1" s="1"/>
  <c r="O204" i="1"/>
  <c r="BE204" i="1" s="1"/>
  <c r="W194" i="1"/>
  <c r="Y43" i="1"/>
  <c r="Y19" i="1"/>
  <c r="S228" i="1"/>
  <c r="Y30" i="1"/>
  <c r="Y74" i="1"/>
  <c r="Y57" i="1"/>
  <c r="Y5" i="10"/>
  <c r="Y76" i="10"/>
  <c r="Y126" i="10"/>
  <c r="Y127" i="10"/>
  <c r="Y128" i="10"/>
  <c r="Y129" i="10"/>
  <c r="G276" i="1"/>
  <c r="Q19" i="1"/>
  <c r="I128" i="10"/>
  <c r="M126" i="10"/>
  <c r="H83" i="1"/>
  <c r="H34" i="8" s="1"/>
  <c r="N194" i="1"/>
  <c r="W61" i="1"/>
  <c r="F216" i="1"/>
  <c r="G216" i="1" s="1"/>
  <c r="BC216" i="1" s="1"/>
  <c r="J215" i="1"/>
  <c r="K215" i="1" s="1"/>
  <c r="BD215" i="1" s="1"/>
  <c r="O35" i="8"/>
  <c r="N33" i="8"/>
  <c r="N190" i="1"/>
  <c r="J195" i="1"/>
  <c r="J194" i="1"/>
  <c r="O337" i="1"/>
  <c r="O65" i="1"/>
  <c r="P31" i="1"/>
  <c r="O27" i="1"/>
  <c r="O75" i="10" s="1"/>
  <c r="Q43" i="1"/>
  <c r="N222" i="1"/>
  <c r="O222" i="1" s="1"/>
  <c r="N57" i="9"/>
  <c r="S31" i="1"/>
  <c r="R74" i="1"/>
  <c r="D83" i="1"/>
  <c r="D34" i="8" s="1"/>
  <c r="P61" i="1"/>
  <c r="P57" i="1"/>
  <c r="V43" i="1"/>
  <c r="U19" i="1"/>
  <c r="U126" i="10"/>
  <c r="U127" i="10"/>
  <c r="E27" i="1"/>
  <c r="E75" i="10" s="1"/>
  <c r="E65" i="1"/>
  <c r="D84" i="1"/>
  <c r="D35" i="8" s="1"/>
  <c r="E72" i="1"/>
  <c r="G16" i="1"/>
  <c r="G84" i="1" s="1"/>
  <c r="U5" i="10"/>
  <c r="BD117" i="1"/>
  <c r="K90" i="1"/>
  <c r="BD90" i="1" s="1"/>
  <c r="J127" i="10"/>
  <c r="S61" i="1"/>
  <c r="O57" i="1"/>
  <c r="N191" i="1"/>
  <c r="BG119" i="1"/>
  <c r="V31" i="1"/>
  <c r="W27" i="1"/>
  <c r="W75" i="10" s="1"/>
  <c r="W77" i="10" s="1"/>
  <c r="Y315" i="1"/>
  <c r="N218" i="1"/>
  <c r="O218" i="1" s="1"/>
  <c r="BE218" i="1" s="1"/>
  <c r="G118" i="1"/>
  <c r="BC118" i="1" s="1"/>
  <c r="Y337" i="1"/>
  <c r="Y342" i="1" s="1"/>
  <c r="Y343" i="1" s="1"/>
  <c r="U195" i="1"/>
  <c r="Y194" i="1"/>
  <c r="AB194" i="1" s="1"/>
  <c r="AC194" i="1" s="1"/>
  <c r="AD194" i="1" s="1"/>
  <c r="AE194" i="1" s="1"/>
  <c r="BH261" i="1"/>
  <c r="AB270" i="1"/>
  <c r="AC270" i="1" s="1"/>
  <c r="AD270" i="1" s="1"/>
  <c r="AE270" i="1" s="1"/>
  <c r="BH270" i="1"/>
  <c r="BH312" i="1"/>
  <c r="Y109" i="10"/>
  <c r="Y110" i="10"/>
  <c r="AB323" i="1"/>
  <c r="AB322" i="1"/>
  <c r="AB325" i="1"/>
  <c r="Y131" i="1"/>
  <c r="Y130" i="1" s="1"/>
  <c r="Y185" i="1"/>
  <c r="Y147" i="10" s="1"/>
  <c r="Y132" i="1"/>
  <c r="J421" i="1"/>
  <c r="J416" i="1" s="1"/>
  <c r="J418" i="1" s="1"/>
  <c r="BE73" i="1"/>
  <c r="Y299" i="1"/>
  <c r="D159" i="1"/>
  <c r="BE216" i="1"/>
  <c r="BG180" i="1"/>
  <c r="S191" i="1"/>
  <c r="AB297" i="1"/>
  <c r="AC297" i="1" s="1"/>
  <c r="AD297" i="1" s="1"/>
  <c r="AE297" i="1" s="1"/>
  <c r="BH297" i="1"/>
  <c r="AB273" i="1"/>
  <c r="AC273" i="1" s="1"/>
  <c r="AD273" i="1" s="1"/>
  <c r="AE273" i="1" s="1"/>
  <c r="AF273" i="1" s="1"/>
  <c r="AG273" i="1" s="1"/>
  <c r="AH273" i="1" s="1"/>
  <c r="AI273" i="1" s="1"/>
  <c r="BH273" i="1"/>
  <c r="AB382" i="1"/>
  <c r="AC382" i="1" s="1"/>
  <c r="AD382" i="1" s="1"/>
  <c r="AE382" i="1" s="1"/>
  <c r="S236" i="1"/>
  <c r="BF236" i="1" s="1"/>
  <c r="O228" i="1"/>
  <c r="BE228" i="1" s="1"/>
  <c r="F111" i="1"/>
  <c r="I14" i="8"/>
  <c r="V204" i="1"/>
  <c r="W204" i="1" s="1"/>
  <c r="V216" i="1"/>
  <c r="W216" i="1" s="1"/>
  <c r="U384" i="1"/>
  <c r="U185" i="1"/>
  <c r="U147" i="10" s="1"/>
  <c r="V61" i="1"/>
  <c r="V57" i="1"/>
  <c r="Y209" i="1"/>
  <c r="BH179" i="1"/>
  <c r="AB179" i="1"/>
  <c r="AC179" i="1" s="1"/>
  <c r="AD179" i="1" s="1"/>
  <c r="AE179" i="1" s="1"/>
  <c r="AB286" i="1"/>
  <c r="BH207" i="1"/>
  <c r="BH286" i="1"/>
  <c r="AB271" i="1"/>
  <c r="AC271" i="1" s="1"/>
  <c r="AD271" i="1" s="1"/>
  <c r="AE271" i="1" s="1"/>
  <c r="BI271" i="1" s="1"/>
  <c r="M64" i="1"/>
  <c r="P132" i="1"/>
  <c r="I301" i="1"/>
  <c r="K94" i="1"/>
  <c r="BD94" i="1" s="1"/>
  <c r="I35" i="8"/>
  <c r="BD84" i="1"/>
  <c r="L57" i="9"/>
  <c r="R30" i="1"/>
  <c r="Q337" i="1"/>
  <c r="J337" i="1"/>
  <c r="J49" i="9" s="1"/>
  <c r="D33" i="8"/>
  <c r="X110" i="10"/>
  <c r="AD139" i="1"/>
  <c r="G82" i="1"/>
  <c r="G33" i="8" s="1"/>
  <c r="N185" i="1"/>
  <c r="N147" i="10" s="1"/>
  <c r="G226" i="1"/>
  <c r="BC226" i="1" s="1"/>
  <c r="N213" i="1"/>
  <c r="O213" i="1" s="1"/>
  <c r="BE213" i="1" s="1"/>
  <c r="N205" i="1"/>
  <c r="O205" i="1" s="1"/>
  <c r="G110" i="1"/>
  <c r="G20" i="8" s="1"/>
  <c r="D20" i="8"/>
  <c r="K35" i="8"/>
  <c r="O43" i="1"/>
  <c r="K129" i="10"/>
  <c r="K127" i="10"/>
  <c r="L19" i="1"/>
  <c r="K128" i="10"/>
  <c r="G15" i="1"/>
  <c r="H71" i="1" s="1"/>
  <c r="J497" i="1"/>
  <c r="J492" i="1" s="1"/>
  <c r="J493" i="1" s="1"/>
  <c r="J472" i="1"/>
  <c r="J467" i="1" s="1"/>
  <c r="J434" i="1"/>
  <c r="J436" i="1" s="1"/>
  <c r="K1" i="1"/>
  <c r="L1" i="1" s="1"/>
  <c r="M1" i="1" s="1"/>
  <c r="BF314" i="1"/>
  <c r="V246" i="1"/>
  <c r="W246" i="1" s="1"/>
  <c r="X27" i="1"/>
  <c r="X75" i="10" s="1"/>
  <c r="AE51" i="1"/>
  <c r="AE53" i="1"/>
  <c r="AE50" i="1"/>
  <c r="AC21" i="8"/>
  <c r="AB292" i="1"/>
  <c r="AC292" i="1" s="1"/>
  <c r="AD292" i="1" s="1"/>
  <c r="AE292" i="1" s="1"/>
  <c r="G236" i="1"/>
  <c r="BC236" i="1" s="1"/>
  <c r="BC376" i="1" s="1"/>
  <c r="H36" i="8"/>
  <c r="L86" i="1"/>
  <c r="L143" i="1" s="1"/>
  <c r="L194" i="1"/>
  <c r="L190" i="1"/>
  <c r="L195" i="1"/>
  <c r="S195" i="1"/>
  <c r="S194" i="1"/>
  <c r="BF94" i="1"/>
  <c r="S96" i="1"/>
  <c r="S100" i="1" s="1"/>
  <c r="S14" i="8" s="1"/>
  <c r="T330" i="1"/>
  <c r="T322" i="1"/>
  <c r="T58" i="10" s="1"/>
  <c r="T57" i="10"/>
  <c r="U321" i="1"/>
  <c r="U224" i="1"/>
  <c r="BG235" i="1"/>
  <c r="W337" i="1"/>
  <c r="W342" i="1" s="1"/>
  <c r="W343" i="1" s="1"/>
  <c r="X31" i="1"/>
  <c r="W65" i="1"/>
  <c r="X30" i="1"/>
  <c r="BG91" i="1"/>
  <c r="BG95" i="1"/>
  <c r="X321" i="1"/>
  <c r="X319" i="1" s="1"/>
  <c r="X224" i="1"/>
  <c r="AC122" i="1"/>
  <c r="AD122" i="1" s="1"/>
  <c r="Y195" i="1"/>
  <c r="AB195" i="1"/>
  <c r="AC195" i="1" s="1"/>
  <c r="AD195" i="1" s="1"/>
  <c r="AE195" i="1" s="1"/>
  <c r="Y190" i="1"/>
  <c r="AB190" i="1" s="1"/>
  <c r="AC190" i="1" s="1"/>
  <c r="AD190" i="1" s="1"/>
  <c r="AE190" i="1" s="1"/>
  <c r="J494" i="1"/>
  <c r="AB196" i="1"/>
  <c r="AC196" i="1" s="1"/>
  <c r="AD196" i="1" s="1"/>
  <c r="AE196" i="1" s="1"/>
  <c r="AB144" i="1"/>
  <c r="AC144" i="1" s="1"/>
  <c r="AD144" i="1" s="1"/>
  <c r="AE144" i="1" s="1"/>
  <c r="AF144" i="1" s="1"/>
  <c r="AG144" i="1" s="1"/>
  <c r="AH144" i="1" s="1"/>
  <c r="AI144" i="1" s="1"/>
  <c r="AJ144" i="1" s="1"/>
  <c r="AK144" i="1" s="1"/>
  <c r="AL144" i="1" s="1"/>
  <c r="AM144" i="1" s="1"/>
  <c r="AN144" i="1" s="1"/>
  <c r="AO144" i="1" s="1"/>
  <c r="AP144" i="1" s="1"/>
  <c r="AQ144" i="1" s="1"/>
  <c r="AR144" i="1" s="1"/>
  <c r="AS144" i="1" s="1"/>
  <c r="AT144" i="1" s="1"/>
  <c r="AU144" i="1" s="1"/>
  <c r="AV144" i="1" s="1"/>
  <c r="AW144" i="1" s="1"/>
  <c r="AX144" i="1" s="1"/>
  <c r="AY144" i="1" s="1"/>
  <c r="AB305" i="1"/>
  <c r="AC305" i="1" s="1"/>
  <c r="AD305" i="1" s="1"/>
  <c r="AE305" i="1" s="1"/>
  <c r="AF305" i="1" s="1"/>
  <c r="AG305" i="1" s="1"/>
  <c r="AH305" i="1" s="1"/>
  <c r="AI305" i="1" s="1"/>
  <c r="AJ305" i="1" s="1"/>
  <c r="AK305" i="1" s="1"/>
  <c r="AL305" i="1" s="1"/>
  <c r="AM305" i="1" s="1"/>
  <c r="AN305" i="1" s="1"/>
  <c r="AO305" i="1" s="1"/>
  <c r="AP305" i="1" s="1"/>
  <c r="AQ305" i="1" s="1"/>
  <c r="AR305" i="1" s="1"/>
  <c r="AS305" i="1" s="1"/>
  <c r="AT305" i="1" s="1"/>
  <c r="AU305" i="1" s="1"/>
  <c r="AV305" i="1" s="1"/>
  <c r="AW305" i="1" s="1"/>
  <c r="AX305" i="1" s="1"/>
  <c r="AY305" i="1" s="1"/>
  <c r="AB142" i="1"/>
  <c r="AC142" i="1" s="1"/>
  <c r="AD142" i="1" s="1"/>
  <c r="AE142" i="1" s="1"/>
  <c r="AF142" i="1" s="1"/>
  <c r="AG142" i="1" s="1"/>
  <c r="AH142" i="1" s="1"/>
  <c r="AI142" i="1" s="1"/>
  <c r="AJ142" i="1" s="1"/>
  <c r="AK142" i="1" s="1"/>
  <c r="AL142" i="1" s="1"/>
  <c r="AM142" i="1" s="1"/>
  <c r="AN142" i="1" s="1"/>
  <c r="AO142" i="1" s="1"/>
  <c r="AP142" i="1" s="1"/>
  <c r="AQ142" i="1" s="1"/>
  <c r="AR142" i="1" s="1"/>
  <c r="AS142" i="1" s="1"/>
  <c r="AT142" i="1" s="1"/>
  <c r="AU142" i="1" s="1"/>
  <c r="AV142" i="1" s="1"/>
  <c r="AW142" i="1" s="1"/>
  <c r="AX142" i="1" s="1"/>
  <c r="AY142" i="1" s="1"/>
  <c r="AD135" i="1"/>
  <c r="AE135" i="1" s="1"/>
  <c r="AF135" i="1" s="1"/>
  <c r="AG135" i="1" s="1"/>
  <c r="AH135" i="1" s="1"/>
  <c r="AI135" i="1" s="1"/>
  <c r="AJ135" i="1" s="1"/>
  <c r="AK135" i="1" s="1"/>
  <c r="AL135" i="1" s="1"/>
  <c r="AM135" i="1" s="1"/>
  <c r="AN135" i="1" s="1"/>
  <c r="AO135" i="1" s="1"/>
  <c r="AP135" i="1" s="1"/>
  <c r="AQ135" i="1" s="1"/>
  <c r="AR135" i="1" s="1"/>
  <c r="AS135" i="1" s="1"/>
  <c r="AT135" i="1" s="1"/>
  <c r="AU135" i="1" s="1"/>
  <c r="AV135" i="1" s="1"/>
  <c r="AW135" i="1" s="1"/>
  <c r="AX135" i="1" s="1"/>
  <c r="AY135" i="1" s="1"/>
  <c r="AF50" i="1"/>
  <c r="AF53" i="1"/>
  <c r="AF51" i="1"/>
  <c r="F21" i="8"/>
  <c r="BH271" i="1"/>
  <c r="AB192" i="1"/>
  <c r="AC192" i="1" s="1"/>
  <c r="AD192" i="1" s="1"/>
  <c r="AE192" i="1" s="1"/>
  <c r="AG50" i="1"/>
  <c r="AG53" i="1"/>
  <c r="AG51" i="1"/>
  <c r="AH51" i="1"/>
  <c r="AH50" i="1"/>
  <c r="AH53" i="1"/>
  <c r="AI50" i="1"/>
  <c r="AI53" i="1"/>
  <c r="AI51" i="1"/>
  <c r="AJ53" i="1"/>
  <c r="AJ51" i="1"/>
  <c r="AG195" i="1" l="1"/>
  <c r="AH195" i="1" s="1"/>
  <c r="AI195" i="1" s="1"/>
  <c r="AJ195" i="1" s="1"/>
  <c r="AK195" i="1" s="1"/>
  <c r="AL195" i="1" s="1"/>
  <c r="AM195" i="1" s="1"/>
  <c r="AN195" i="1" s="1"/>
  <c r="AO195" i="1" s="1"/>
  <c r="AP195" i="1" s="1"/>
  <c r="AQ195" i="1" s="1"/>
  <c r="AR195" i="1" s="1"/>
  <c r="AS195" i="1" s="1"/>
  <c r="AT195" i="1" s="1"/>
  <c r="AU195" i="1" s="1"/>
  <c r="AV195" i="1" s="1"/>
  <c r="AW195" i="1" s="1"/>
  <c r="AX195" i="1" s="1"/>
  <c r="AY195" i="1" s="1"/>
  <c r="AF195" i="1"/>
  <c r="AF196" i="1"/>
  <c r="AG196" i="1" s="1"/>
  <c r="AH196" i="1" s="1"/>
  <c r="AI196" i="1" s="1"/>
  <c r="AJ196" i="1" s="1"/>
  <c r="AK196" i="1" s="1"/>
  <c r="AL196" i="1" s="1"/>
  <c r="AM196" i="1" s="1"/>
  <c r="AN196" i="1" s="1"/>
  <c r="AO196" i="1" s="1"/>
  <c r="AP196" i="1" s="1"/>
  <c r="AQ196" i="1" s="1"/>
  <c r="AR196" i="1" s="1"/>
  <c r="AS196" i="1" s="1"/>
  <c r="AT196" i="1" s="1"/>
  <c r="AU196" i="1" s="1"/>
  <c r="AV196" i="1" s="1"/>
  <c r="AW196" i="1" s="1"/>
  <c r="AX196" i="1" s="1"/>
  <c r="AY196" i="1" s="1"/>
  <c r="AG192" i="1"/>
  <c r="AH192" i="1" s="1"/>
  <c r="AI192" i="1" s="1"/>
  <c r="AJ192" i="1" s="1"/>
  <c r="AK192" i="1" s="1"/>
  <c r="AL192" i="1" s="1"/>
  <c r="AM192" i="1" s="1"/>
  <c r="AN192" i="1" s="1"/>
  <c r="AO192" i="1" s="1"/>
  <c r="AP192" i="1" s="1"/>
  <c r="AQ192" i="1" s="1"/>
  <c r="AR192" i="1" s="1"/>
  <c r="AS192" i="1" s="1"/>
  <c r="AT192" i="1" s="1"/>
  <c r="AU192" i="1" s="1"/>
  <c r="AV192" i="1" s="1"/>
  <c r="AW192" i="1" s="1"/>
  <c r="AX192" i="1" s="1"/>
  <c r="AY192" i="1" s="1"/>
  <c r="AF192" i="1"/>
  <c r="AF190" i="1"/>
  <c r="AG190" i="1" s="1"/>
  <c r="AH190" i="1" s="1"/>
  <c r="AI190" i="1" s="1"/>
  <c r="AJ190" i="1" s="1"/>
  <c r="AK190" i="1" s="1"/>
  <c r="AL190" i="1" s="1"/>
  <c r="AM190" i="1" s="1"/>
  <c r="AN190" i="1" s="1"/>
  <c r="AO190" i="1" s="1"/>
  <c r="AP190" i="1" s="1"/>
  <c r="AQ190" i="1" s="1"/>
  <c r="AR190" i="1" s="1"/>
  <c r="AS190" i="1" s="1"/>
  <c r="AT190" i="1" s="1"/>
  <c r="AU190" i="1" s="1"/>
  <c r="AV190" i="1" s="1"/>
  <c r="AW190" i="1" s="1"/>
  <c r="AX190" i="1" s="1"/>
  <c r="AY190" i="1" s="1"/>
  <c r="AG194" i="1"/>
  <c r="AH194" i="1" s="1"/>
  <c r="AI194" i="1" s="1"/>
  <c r="AJ194" i="1" s="1"/>
  <c r="AK194" i="1" s="1"/>
  <c r="AL194" i="1" s="1"/>
  <c r="AM194" i="1" s="1"/>
  <c r="AN194" i="1" s="1"/>
  <c r="AO194" i="1" s="1"/>
  <c r="AP194" i="1" s="1"/>
  <c r="AQ194" i="1" s="1"/>
  <c r="AR194" i="1" s="1"/>
  <c r="AS194" i="1" s="1"/>
  <c r="AT194" i="1" s="1"/>
  <c r="AU194" i="1" s="1"/>
  <c r="AV194" i="1" s="1"/>
  <c r="AW194" i="1" s="1"/>
  <c r="AX194" i="1" s="1"/>
  <c r="AY194" i="1" s="1"/>
  <c r="AF194" i="1"/>
  <c r="J227" i="1"/>
  <c r="BD227" i="1" s="1"/>
  <c r="G70" i="1"/>
  <c r="V32" i="1"/>
  <c r="H70" i="1"/>
  <c r="K421" i="1"/>
  <c r="BG131" i="1"/>
  <c r="BG130" i="1" s="1"/>
  <c r="V237" i="1"/>
  <c r="W237" i="1" s="1"/>
  <c r="BF384" i="1"/>
  <c r="M30" i="8"/>
  <c r="F205" i="1"/>
  <c r="G205" i="1" s="1"/>
  <c r="BC205" i="1" s="1"/>
  <c r="BG72" i="1"/>
  <c r="BD315" i="1"/>
  <c r="P50" i="9"/>
  <c r="P110" i="10" s="1"/>
  <c r="AH140" i="1"/>
  <c r="AL140" i="1" s="1"/>
  <c r="AP140" i="1" s="1"/>
  <c r="AT140" i="1" s="1"/>
  <c r="BE119" i="1"/>
  <c r="O132" i="1"/>
  <c r="P27" i="1"/>
  <c r="P75" i="10" s="1"/>
  <c r="Q77" i="10" s="1"/>
  <c r="K416" i="1"/>
  <c r="W384" i="1"/>
  <c r="K217" i="1"/>
  <c r="BD217" i="1" s="1"/>
  <c r="H30" i="8"/>
  <c r="I33" i="8"/>
  <c r="H321" i="1"/>
  <c r="H31" i="9" s="1"/>
  <c r="H57" i="10" s="1"/>
  <c r="N127" i="10"/>
  <c r="BE71" i="1"/>
  <c r="X191" i="1"/>
  <c r="V190" i="1"/>
  <c r="X322" i="1"/>
  <c r="X58" i="10" s="1"/>
  <c r="F232" i="1"/>
  <c r="G232" i="1" s="1"/>
  <c r="BC232" i="1" s="1"/>
  <c r="J218" i="1"/>
  <c r="K218" i="1" s="1"/>
  <c r="BF180" i="1"/>
  <c r="BD327" i="1"/>
  <c r="BG159" i="1"/>
  <c r="BG327" i="1"/>
  <c r="Y30" i="8"/>
  <c r="BG206" i="1"/>
  <c r="W96" i="1"/>
  <c r="W100" i="1" s="1"/>
  <c r="BI222" i="1"/>
  <c r="J211" i="1"/>
  <c r="K211" i="1" s="1"/>
  <c r="BD211" i="1" s="1"/>
  <c r="BF159" i="1"/>
  <c r="S86" i="1"/>
  <c r="S136" i="1" s="1"/>
  <c r="BG39" i="1"/>
  <c r="V321" i="1"/>
  <c r="V333" i="1" s="1"/>
  <c r="V334" i="1" s="1"/>
  <c r="W344" i="1"/>
  <c r="D224" i="1"/>
  <c r="R384" i="1"/>
  <c r="F214" i="1"/>
  <c r="G214" i="1" s="1"/>
  <c r="BE131" i="1"/>
  <c r="BE130" i="1" s="1"/>
  <c r="H238" i="1"/>
  <c r="Q64" i="1"/>
  <c r="Y191" i="1"/>
  <c r="O40" i="9"/>
  <c r="O185" i="1"/>
  <c r="O147" i="10" s="1"/>
  <c r="Z108" i="1"/>
  <c r="Z113" i="1" s="1"/>
  <c r="Z114" i="1" s="1"/>
  <c r="L196" i="1"/>
  <c r="BD70" i="1"/>
  <c r="BG21" i="1"/>
  <c r="BG27" i="1" s="1"/>
  <c r="S190" i="1"/>
  <c r="Y31" i="1"/>
  <c r="T110" i="10"/>
  <c r="J27" i="1"/>
  <c r="J75" i="10" s="1"/>
  <c r="J78" i="10" s="1"/>
  <c r="D65" i="1"/>
  <c r="G159" i="1"/>
  <c r="Y224" i="1"/>
  <c r="R337" i="1"/>
  <c r="P129" i="10"/>
  <c r="BE381" i="1"/>
  <c r="BE132" i="1" s="1"/>
  <c r="Q50" i="9"/>
  <c r="Q110" i="10" s="1"/>
  <c r="P127" i="10"/>
  <c r="X195" i="1"/>
  <c r="X57" i="1"/>
  <c r="S223" i="1"/>
  <c r="BF223" i="1" s="1"/>
  <c r="AN41" i="8" s="1"/>
  <c r="V224" i="1"/>
  <c r="W74" i="1"/>
  <c r="BG90" i="1"/>
  <c r="V128" i="10"/>
  <c r="D111" i="1"/>
  <c r="D21" i="8" s="1"/>
  <c r="G17" i="1"/>
  <c r="BC17" i="1" s="1"/>
  <c r="BC85" i="1" s="1"/>
  <c r="T57" i="1"/>
  <c r="F127" i="10"/>
  <c r="F76" i="10"/>
  <c r="F78" i="10" s="1"/>
  <c r="BF71" i="1"/>
  <c r="P76" i="10"/>
  <c r="N337" i="1"/>
  <c r="N342" i="1" s="1"/>
  <c r="P322" i="1"/>
  <c r="Z103" i="1"/>
  <c r="BG204" i="1"/>
  <c r="S33" i="8"/>
  <c r="F223" i="1"/>
  <c r="G223" i="1" s="1"/>
  <c r="BC223" i="1" s="1"/>
  <c r="AO64" i="8" s="1"/>
  <c r="G119" i="1"/>
  <c r="G111" i="1" s="1"/>
  <c r="D238" i="1"/>
  <c r="Y321" i="1"/>
  <c r="Y330" i="1" s="1"/>
  <c r="P19" i="1"/>
  <c r="Q74" i="1"/>
  <c r="K342" i="1"/>
  <c r="K343" i="1" s="1"/>
  <c r="X194" i="1"/>
  <c r="W19" i="1"/>
  <c r="V126" i="10"/>
  <c r="V5" i="10"/>
  <c r="W7" i="10" s="1"/>
  <c r="F74" i="1"/>
  <c r="F19" i="1"/>
  <c r="H82" i="1"/>
  <c r="E73" i="1"/>
  <c r="T27" i="1"/>
  <c r="T75" i="10" s="1"/>
  <c r="T78" i="10" s="1"/>
  <c r="F129" i="10"/>
  <c r="BF119" i="1"/>
  <c r="U330" i="1"/>
  <c r="L74" i="1"/>
  <c r="R32" i="1"/>
  <c r="R65" i="1"/>
  <c r="R27" i="1"/>
  <c r="R75" i="10" s="1"/>
  <c r="P126" i="10"/>
  <c r="N86" i="1"/>
  <c r="N138" i="1" s="1"/>
  <c r="N140" i="1" s="1"/>
  <c r="P74" i="1"/>
  <c r="R224" i="1"/>
  <c r="X190" i="1"/>
  <c r="V74" i="1"/>
  <c r="V129" i="10"/>
  <c r="V110" i="10"/>
  <c r="V19" i="1"/>
  <c r="T65" i="1"/>
  <c r="U30" i="1"/>
  <c r="T337" i="1"/>
  <c r="T342" i="1" s="1"/>
  <c r="T343" i="1" s="1"/>
  <c r="M74" i="1"/>
  <c r="L129" i="10"/>
  <c r="BE159" i="1"/>
  <c r="BF84" i="1"/>
  <c r="BE39" i="1"/>
  <c r="AM54" i="8" s="1"/>
  <c r="BD39" i="1"/>
  <c r="BC16" i="1"/>
  <c r="BC84" i="1" s="1"/>
  <c r="W315" i="1"/>
  <c r="K497" i="1"/>
  <c r="BC218" i="1"/>
  <c r="X315" i="1"/>
  <c r="BG222" i="1"/>
  <c r="J213" i="1"/>
  <c r="F212" i="1"/>
  <c r="G212" i="1" s="1"/>
  <c r="BC212" i="1" s="1"/>
  <c r="S209" i="1"/>
  <c r="BF209" i="1" s="1"/>
  <c r="K208" i="1"/>
  <c r="BD208" i="1" s="1"/>
  <c r="BE315" i="1"/>
  <c r="J486" i="1"/>
  <c r="J485" i="1"/>
  <c r="R205" i="1"/>
  <c r="S205" i="1" s="1"/>
  <c r="BF205" i="1" s="1"/>
  <c r="S226" i="1"/>
  <c r="BF226" i="1" s="1"/>
  <c r="X14" i="8"/>
  <c r="X64" i="1"/>
  <c r="AT139" i="1"/>
  <c r="AT141" i="1"/>
  <c r="AX140" i="1"/>
  <c r="AT138" i="1"/>
  <c r="BG384" i="1"/>
  <c r="W32" i="1"/>
  <c r="V315" i="1"/>
  <c r="Y238" i="1"/>
  <c r="BF73" i="1"/>
  <c r="AR53" i="1"/>
  <c r="AR50" i="1"/>
  <c r="AR51" i="1"/>
  <c r="J417" i="1"/>
  <c r="J420" i="1" s="1"/>
  <c r="J422" i="1" s="1"/>
  <c r="K419" i="1" s="1"/>
  <c r="BC70" i="1"/>
  <c r="N40" i="9"/>
  <c r="P131" i="1"/>
  <c r="P130" i="1" s="1"/>
  <c r="M342" i="1"/>
  <c r="M54" i="9" s="1"/>
  <c r="BE383" i="1"/>
  <c r="Y40" i="9" s="1"/>
  <c r="S32" i="1"/>
  <c r="N132" i="1"/>
  <c r="R321" i="1"/>
  <c r="R322" i="1" s="1"/>
  <c r="M383" i="1"/>
  <c r="M40" i="9" s="1"/>
  <c r="E30" i="8"/>
  <c r="H397" i="1"/>
  <c r="BF394" i="1"/>
  <c r="P337" i="1"/>
  <c r="P342" i="1" s="1"/>
  <c r="P343" i="1" s="1"/>
  <c r="J315" i="1"/>
  <c r="BB276" i="1"/>
  <c r="BB301" i="1" s="1"/>
  <c r="F233" i="1"/>
  <c r="G233" i="1" s="1"/>
  <c r="BC233" i="1" s="1"/>
  <c r="M238" i="1"/>
  <c r="F231" i="1"/>
  <c r="G231" i="1" s="1"/>
  <c r="BC231" i="1" s="1"/>
  <c r="J216" i="1"/>
  <c r="K216" i="1" s="1"/>
  <c r="BD216" i="1" s="1"/>
  <c r="F215" i="1"/>
  <c r="G215" i="1" s="1"/>
  <c r="K214" i="1"/>
  <c r="BD214" i="1" s="1"/>
  <c r="F213" i="1"/>
  <c r="G213" i="1" s="1"/>
  <c r="F207" i="1"/>
  <c r="G207" i="1" s="1"/>
  <c r="BC207" i="1" s="1"/>
  <c r="J205" i="1"/>
  <c r="F204" i="1"/>
  <c r="G204" i="1" s="1"/>
  <c r="BC204" i="1" s="1"/>
  <c r="I195" i="1"/>
  <c r="G71" i="1"/>
  <c r="K434" i="1"/>
  <c r="K435" i="1" s="1"/>
  <c r="Q224" i="1"/>
  <c r="BG73" i="1"/>
  <c r="T315" i="1"/>
  <c r="X238" i="1"/>
  <c r="BD289" i="1"/>
  <c r="BD299" i="1" s="1"/>
  <c r="BG85" i="1"/>
  <c r="X7" i="10"/>
  <c r="T194" i="1"/>
  <c r="T191" i="1"/>
  <c r="X86" i="1"/>
  <c r="X142" i="1" s="1"/>
  <c r="BG84" i="1"/>
  <c r="T195" i="1"/>
  <c r="BA86" i="1"/>
  <c r="BA106" i="1" s="1"/>
  <c r="T86" i="1"/>
  <c r="T11" i="8" s="1"/>
  <c r="T190" i="1"/>
  <c r="R315" i="1"/>
  <c r="BC289" i="1"/>
  <c r="BC299" i="1" s="1"/>
  <c r="U14" i="8"/>
  <c r="U64" i="1"/>
  <c r="L185" i="1"/>
  <c r="L34" i="9" s="1"/>
  <c r="L40" i="9"/>
  <c r="L384" i="1"/>
  <c r="BF222" i="1"/>
  <c r="S30" i="8"/>
  <c r="K472" i="1"/>
  <c r="L193" i="1"/>
  <c r="Q383" i="1"/>
  <c r="Q40" i="9" s="1"/>
  <c r="BC15" i="1"/>
  <c r="G83" i="1"/>
  <c r="G34" i="8" s="1"/>
  <c r="Q191" i="1"/>
  <c r="D18" i="1"/>
  <c r="D126" i="10" s="1"/>
  <c r="N126" i="10"/>
  <c r="N129" i="10"/>
  <c r="BF228" i="1"/>
  <c r="J342" i="1"/>
  <c r="J343" i="1" s="1"/>
  <c r="J55" i="9" s="1"/>
  <c r="F217" i="1"/>
  <c r="G217" i="1" s="1"/>
  <c r="J232" i="1"/>
  <c r="K232" i="1" s="1"/>
  <c r="BD232" i="1" s="1"/>
  <c r="BE18" i="1"/>
  <c r="P86" i="1"/>
  <c r="P196" i="1" s="1"/>
  <c r="D96" i="1"/>
  <c r="D100" i="1" s="1"/>
  <c r="D14" i="8" s="1"/>
  <c r="N14" i="8"/>
  <c r="BE222" i="1"/>
  <c r="J128" i="10"/>
  <c r="S43" i="1"/>
  <c r="R128" i="10"/>
  <c r="M224" i="1"/>
  <c r="P32" i="1"/>
  <c r="BD119" i="1"/>
  <c r="F228" i="1"/>
  <c r="G228" i="1" s="1"/>
  <c r="BC228" i="1" s="1"/>
  <c r="Q194" i="1"/>
  <c r="S49" i="9"/>
  <c r="BE21" i="1"/>
  <c r="BE27" i="1" s="1"/>
  <c r="W223" i="1"/>
  <c r="BG132" i="1"/>
  <c r="I190" i="1"/>
  <c r="M57" i="9"/>
  <c r="R129" i="10"/>
  <c r="H26" i="1"/>
  <c r="J74" i="1"/>
  <c r="M195" i="1"/>
  <c r="S76" i="10"/>
  <c r="S78" i="10" s="1"/>
  <c r="BE289" i="1"/>
  <c r="BE299" i="1" s="1"/>
  <c r="M190" i="1"/>
  <c r="L77" i="10"/>
  <c r="N238" i="1"/>
  <c r="S64" i="1"/>
  <c r="L305" i="1"/>
  <c r="K74" i="1"/>
  <c r="N76" i="10"/>
  <c r="N78" i="10" s="1"/>
  <c r="N74" i="1"/>
  <c r="Q238" i="1"/>
  <c r="D86" i="1"/>
  <c r="D135" i="1" s="1"/>
  <c r="S147" i="10"/>
  <c r="P35" i="8"/>
  <c r="L132" i="1"/>
  <c r="BF39" i="1"/>
  <c r="AN44" i="8" s="1"/>
  <c r="BC117" i="1"/>
  <c r="N128" i="10"/>
  <c r="R127" i="10"/>
  <c r="S19" i="1"/>
  <c r="O86" i="1"/>
  <c r="O144" i="1" s="1"/>
  <c r="BG70" i="1"/>
  <c r="Q33" i="8"/>
  <c r="F211" i="1"/>
  <c r="G211" i="1" s="1"/>
  <c r="BC211" i="1" s="1"/>
  <c r="L65" i="1"/>
  <c r="S211" i="1"/>
  <c r="BF211" i="1" s="1"/>
  <c r="N217" i="1"/>
  <c r="O217" i="1" s="1"/>
  <c r="O191" i="1"/>
  <c r="F337" i="1"/>
  <c r="F49" i="9" s="1"/>
  <c r="F65" i="1"/>
  <c r="S74" i="1"/>
  <c r="P65" i="1"/>
  <c r="M194" i="1"/>
  <c r="G18" i="1"/>
  <c r="BF82" i="1"/>
  <c r="Z4" i="9" s="1"/>
  <c r="BE82" i="1"/>
  <c r="Y4" i="9" s="1"/>
  <c r="H96" i="1"/>
  <c r="H100" i="1" s="1"/>
  <c r="H64" i="1" s="1"/>
  <c r="S208" i="1"/>
  <c r="BF208" i="1" s="1"/>
  <c r="Y57" i="10"/>
  <c r="K19" i="1"/>
  <c r="N19" i="1"/>
  <c r="O74" i="1"/>
  <c r="R40" i="9"/>
  <c r="BF21" i="1"/>
  <c r="BF27" i="1" s="1"/>
  <c r="BG28" i="1" s="1"/>
  <c r="N136" i="1"/>
  <c r="BC90" i="1"/>
  <c r="R19" i="1"/>
  <c r="M191" i="1"/>
  <c r="O342" i="1"/>
  <c r="O54" i="9" s="1"/>
  <c r="AC36" i="1"/>
  <c r="BE232" i="1"/>
  <c r="J126" i="10"/>
  <c r="H18" i="8"/>
  <c r="J129" i="10"/>
  <c r="Q31" i="1"/>
  <c r="Q32" i="1" s="1"/>
  <c r="S129" i="10"/>
  <c r="H18" i="1"/>
  <c r="I74" i="1" s="1"/>
  <c r="F246" i="1"/>
  <c r="G246" i="1" s="1"/>
  <c r="U30" i="8"/>
  <c r="W5" i="9"/>
  <c r="BI273" i="1"/>
  <c r="BG83" i="1"/>
  <c r="W86" i="1"/>
  <c r="W305" i="1" s="1"/>
  <c r="U86" i="1"/>
  <c r="Y86" i="1"/>
  <c r="Y196" i="1" s="1"/>
  <c r="V195" i="1"/>
  <c r="V194" i="1"/>
  <c r="T144" i="1"/>
  <c r="S315" i="1"/>
  <c r="V7" i="10"/>
  <c r="V86" i="1"/>
  <c r="BG82" i="1"/>
  <c r="AA4" i="9" s="1"/>
  <c r="V191" i="1"/>
  <c r="J461" i="1"/>
  <c r="J460" i="1"/>
  <c r="L497" i="1"/>
  <c r="F244" i="1"/>
  <c r="G244" i="1" s="1"/>
  <c r="K213" i="1"/>
  <c r="BD213" i="1" s="1"/>
  <c r="Z213" i="1"/>
  <c r="AA213" i="1" s="1"/>
  <c r="BH213" i="1" s="1"/>
  <c r="Z231" i="1"/>
  <c r="AA231" i="1" s="1"/>
  <c r="BH231" i="1" s="1"/>
  <c r="Z246" i="1"/>
  <c r="AA246" i="1" s="1"/>
  <c r="G301" i="1"/>
  <c r="Q321" i="1"/>
  <c r="Q319" i="1" s="1"/>
  <c r="Q333" i="1" s="1"/>
  <c r="BD159" i="1"/>
  <c r="Z215" i="1"/>
  <c r="AA215" i="1" s="1"/>
  <c r="Z223" i="1"/>
  <c r="AA223" i="1" s="1"/>
  <c r="Z232" i="1"/>
  <c r="AA232" i="1" s="1"/>
  <c r="Z218" i="1"/>
  <c r="AA218" i="1" s="1"/>
  <c r="AP138" i="1"/>
  <c r="AP141" i="1"/>
  <c r="AP139" i="1"/>
  <c r="BE237" i="1"/>
  <c r="O384" i="1"/>
  <c r="BG232" i="1"/>
  <c r="J226" i="1"/>
  <c r="K226" i="1" s="1"/>
  <c r="BD226" i="1" s="1"/>
  <c r="Z204" i="1"/>
  <c r="AA204" i="1" s="1"/>
  <c r="Z216" i="1"/>
  <c r="AA216" i="1" s="1"/>
  <c r="Z233" i="1"/>
  <c r="AA233" i="1" s="1"/>
  <c r="Z236" i="1"/>
  <c r="Z376" i="1" s="1"/>
  <c r="Z377" i="1" s="1"/>
  <c r="X330" i="1"/>
  <c r="J228" i="1"/>
  <c r="K228" i="1" s="1"/>
  <c r="Z211" i="1"/>
  <c r="AA211" i="1" s="1"/>
  <c r="Z217" i="1"/>
  <c r="AA217" i="1" s="1"/>
  <c r="BH217" i="1" s="1"/>
  <c r="Z228" i="1"/>
  <c r="AA228" i="1" s="1"/>
  <c r="Z235" i="1"/>
  <c r="AA235" i="1" s="1"/>
  <c r="Z244" i="1"/>
  <c r="AA244" i="1" s="1"/>
  <c r="BG289" i="1"/>
  <c r="BG299" i="1" s="1"/>
  <c r="BF289" i="1"/>
  <c r="BF299" i="1" s="1"/>
  <c r="BB86" i="1"/>
  <c r="BB102" i="1" s="1"/>
  <c r="V78" i="10"/>
  <c r="BC276" i="1"/>
  <c r="BC301" i="1" s="1"/>
  <c r="Z317" i="1"/>
  <c r="Z222" i="1" s="1"/>
  <c r="O209" i="1"/>
  <c r="BE209" i="1" s="1"/>
  <c r="O211" i="1"/>
  <c r="BE211" i="1" s="1"/>
  <c r="M78" i="10"/>
  <c r="N77" i="10"/>
  <c r="M77" i="10"/>
  <c r="E74" i="1"/>
  <c r="T106" i="1"/>
  <c r="T145" i="1" s="1"/>
  <c r="T305" i="1"/>
  <c r="H86" i="1"/>
  <c r="BD83" i="1"/>
  <c r="L342" i="1"/>
  <c r="L54" i="9" s="1"/>
  <c r="S106" i="1"/>
  <c r="S145" i="1" s="1"/>
  <c r="P144" i="1"/>
  <c r="T328" i="1"/>
  <c r="T138" i="1"/>
  <c r="T140" i="1" s="1"/>
  <c r="N34" i="9"/>
  <c r="Y7" i="10"/>
  <c r="I78" i="10"/>
  <c r="D129" i="10"/>
  <c r="T142" i="1"/>
  <c r="T143" i="1"/>
  <c r="T196" i="1"/>
  <c r="AB265" i="1"/>
  <c r="AC265" i="1" s="1"/>
  <c r="AD265" i="1" s="1"/>
  <c r="AE265" i="1" s="1"/>
  <c r="BI265" i="1" s="1"/>
  <c r="R50" i="9"/>
  <c r="R110" i="10" s="1"/>
  <c r="BF206" i="1"/>
  <c r="BE206" i="1"/>
  <c r="BD206" i="1"/>
  <c r="BE180" i="1"/>
  <c r="E77" i="10"/>
  <c r="U7" i="10"/>
  <c r="V5" i="9"/>
  <c r="P328" i="1"/>
  <c r="BE327" i="1"/>
  <c r="K315" i="1"/>
  <c r="Q315" i="1"/>
  <c r="BD85" i="1"/>
  <c r="BE83" i="1"/>
  <c r="I86" i="1"/>
  <c r="I142" i="1" s="1"/>
  <c r="AC322" i="1"/>
  <c r="J54" i="9"/>
  <c r="Q342" i="1"/>
  <c r="Q343" i="1" s="1"/>
  <c r="Q55" i="9" s="1"/>
  <c r="Q49" i="9"/>
  <c r="AF297" i="1"/>
  <c r="AG297" i="1" s="1"/>
  <c r="AH297" i="1" s="1"/>
  <c r="AI297" i="1" s="1"/>
  <c r="AJ297" i="1" s="1"/>
  <c r="AK297" i="1" s="1"/>
  <c r="AL297" i="1" s="1"/>
  <c r="AM297" i="1" s="1"/>
  <c r="BI297" i="1"/>
  <c r="U322" i="1"/>
  <c r="U58" i="10" s="1"/>
  <c r="U57" i="10"/>
  <c r="U319" i="1"/>
  <c r="U333" i="1"/>
  <c r="U334" i="1" s="1"/>
  <c r="AE146" i="1"/>
  <c r="Y77" i="10"/>
  <c r="X77" i="10"/>
  <c r="X78" i="10"/>
  <c r="AB175" i="1"/>
  <c r="AC175" i="1" s="1"/>
  <c r="AD175" i="1" s="1"/>
  <c r="AE175" i="1" s="1"/>
  <c r="AF175" i="1" s="1"/>
  <c r="BH175" i="1"/>
  <c r="AB207" i="1"/>
  <c r="AC286" i="1"/>
  <c r="P4" i="9"/>
  <c r="P5" i="10" s="1"/>
  <c r="T6" i="10" s="1"/>
  <c r="P138" i="1"/>
  <c r="P140" i="1" s="1"/>
  <c r="P106" i="1"/>
  <c r="P145" i="1" s="1"/>
  <c r="P142" i="1"/>
  <c r="P136" i="1"/>
  <c r="P135" i="1"/>
  <c r="P304" i="1"/>
  <c r="P193" i="1"/>
  <c r="P137" i="1"/>
  <c r="P143" i="1"/>
  <c r="BF327" i="1"/>
  <c r="R34" i="9"/>
  <c r="D337" i="1"/>
  <c r="D49" i="9" s="1"/>
  <c r="O49" i="9"/>
  <c r="AB293" i="1"/>
  <c r="AC293" i="1" s="1"/>
  <c r="AD293" i="1" s="1"/>
  <c r="AE293" i="1" s="1"/>
  <c r="AF293" i="1" s="1"/>
  <c r="AG293" i="1" s="1"/>
  <c r="AH293" i="1" s="1"/>
  <c r="AI293" i="1" s="1"/>
  <c r="O315" i="1"/>
  <c r="BE85" i="1"/>
  <c r="BE84" i="1"/>
  <c r="P31" i="9"/>
  <c r="S77" i="10"/>
  <c r="M86" i="1"/>
  <c r="M87" i="1" s="1"/>
  <c r="AB312" i="1"/>
  <c r="AB261" i="1" s="1"/>
  <c r="F86" i="1"/>
  <c r="M34" i="8"/>
  <c r="J86" i="1"/>
  <c r="J102" i="1" s="1"/>
  <c r="J103" i="1" s="1"/>
  <c r="BH272" i="1"/>
  <c r="S343" i="1"/>
  <c r="T344" i="1" s="1"/>
  <c r="L14" i="8"/>
  <c r="Q86" i="1"/>
  <c r="Q328" i="1" s="1"/>
  <c r="P330" i="1"/>
  <c r="O190" i="1"/>
  <c r="O194" i="1"/>
  <c r="L102" i="1"/>
  <c r="L103" i="1" s="1"/>
  <c r="K86" i="1"/>
  <c r="K143" i="1" s="1"/>
  <c r="E86" i="1"/>
  <c r="E142" i="1" s="1"/>
  <c r="O142" i="1"/>
  <c r="R86" i="1"/>
  <c r="R102" i="1" s="1"/>
  <c r="AB272" i="1"/>
  <c r="AB213" i="1" s="1"/>
  <c r="BF83" i="1"/>
  <c r="O33" i="8"/>
  <c r="K191" i="1"/>
  <c r="K33" i="8"/>
  <c r="Y6" i="10"/>
  <c r="K77" i="10"/>
  <c r="K358" i="1"/>
  <c r="K360" i="1" s="1"/>
  <c r="K363" i="1" s="1"/>
  <c r="K364" i="1" s="1"/>
  <c r="K376" i="1" s="1"/>
  <c r="BD376" i="1" s="1"/>
  <c r="U78" i="10"/>
  <c r="V77" i="10"/>
  <c r="BG315" i="1"/>
  <c r="L330" i="1"/>
  <c r="AH141" i="1"/>
  <c r="BD397" i="1"/>
  <c r="M497" i="1"/>
  <c r="M472" i="1"/>
  <c r="N1" i="1"/>
  <c r="M421" i="1"/>
  <c r="T14" i="8"/>
  <c r="T15" i="8" s="1"/>
  <c r="T102" i="1"/>
  <c r="T64" i="1"/>
  <c r="R14" i="8"/>
  <c r="R64" i="1"/>
  <c r="E14" i="8"/>
  <c r="E64" i="1"/>
  <c r="J468" i="1"/>
  <c r="J469" i="1"/>
  <c r="J14" i="8"/>
  <c r="J64" i="1"/>
  <c r="L472" i="1"/>
  <c r="H102" i="1"/>
  <c r="H103" i="1" s="1"/>
  <c r="H14" i="8"/>
  <c r="AC323" i="1"/>
  <c r="R11" i="8"/>
  <c r="R31" i="8" s="1"/>
  <c r="BK222" i="1"/>
  <c r="X57" i="10"/>
  <c r="X333" i="1"/>
  <c r="X334" i="1" s="1"/>
  <c r="X32" i="1"/>
  <c r="J496" i="1"/>
  <c r="J498" i="1" s="1"/>
  <c r="K495" i="1" s="1"/>
  <c r="N143" i="1"/>
  <c r="Y32" i="1"/>
  <c r="L421" i="1"/>
  <c r="L416" i="1" s="1"/>
  <c r="BF96" i="1"/>
  <c r="BF100" i="1" s="1"/>
  <c r="N193" i="1"/>
  <c r="X6" i="10"/>
  <c r="V143" i="1"/>
  <c r="U32" i="1"/>
  <c r="L315" i="1"/>
  <c r="K78" i="10"/>
  <c r="K467" i="1"/>
  <c r="J301" i="1"/>
  <c r="R78" i="10"/>
  <c r="U344" i="1"/>
  <c r="K55" i="9"/>
  <c r="AB217" i="1"/>
  <c r="AC284" i="1"/>
  <c r="S238" i="1"/>
  <c r="K231" i="1"/>
  <c r="BD231" i="1" s="1"/>
  <c r="G230" i="1"/>
  <c r="F238" i="1"/>
  <c r="K205" i="1"/>
  <c r="BD205" i="1" s="1"/>
  <c r="BD95" i="1"/>
  <c r="BC94" i="1"/>
  <c r="G96" i="1"/>
  <c r="G100" i="1" s="1"/>
  <c r="X344" i="1"/>
  <c r="S218" i="1"/>
  <c r="BF218" i="1" s="1"/>
  <c r="AL141" i="1"/>
  <c r="AL138" i="1"/>
  <c r="AL139" i="1"/>
  <c r="G35" i="8"/>
  <c r="AC274" i="1"/>
  <c r="AD274" i="1" s="1"/>
  <c r="AE274" i="1" s="1"/>
  <c r="BI274" i="1" s="1"/>
  <c r="U77" i="10"/>
  <c r="BD380" i="1"/>
  <c r="K131" i="1"/>
  <c r="K130" i="1" s="1"/>
  <c r="N343" i="1"/>
  <c r="N54" i="9"/>
  <c r="P64" i="1"/>
  <c r="P102" i="1"/>
  <c r="P14" i="8"/>
  <c r="W388" i="1"/>
  <c r="X386" i="1"/>
  <c r="Y14" i="8"/>
  <c r="Y64" i="1"/>
  <c r="G21" i="8"/>
  <c r="BC111" i="1"/>
  <c r="N30" i="8"/>
  <c r="N224" i="1"/>
  <c r="O223" i="1"/>
  <c r="BE223" i="1" s="1"/>
  <c r="Q330" i="1"/>
  <c r="Q322" i="1"/>
  <c r="Q31" i="9"/>
  <c r="BF315" i="1"/>
  <c r="V344" i="1"/>
  <c r="L301" i="1"/>
  <c r="W30" i="8"/>
  <c r="Q54" i="9"/>
  <c r="BF235" i="1"/>
  <c r="AH139" i="1"/>
  <c r="AD138" i="1"/>
  <c r="BE205" i="1"/>
  <c r="O226" i="1"/>
  <c r="L142" i="1"/>
  <c r="L135" i="1"/>
  <c r="L144" i="1"/>
  <c r="L4" i="9"/>
  <c r="S11" i="8"/>
  <c r="S16" i="8" s="1"/>
  <c r="Q132" i="1"/>
  <c r="T87" i="1"/>
  <c r="BG216" i="1"/>
  <c r="K96" i="1"/>
  <c r="J435" i="1"/>
  <c r="J438" i="1" s="1"/>
  <c r="J440" i="1" s="1"/>
  <c r="W238" i="1"/>
  <c r="Y319" i="1"/>
  <c r="BC110" i="1"/>
  <c r="BF131" i="1"/>
  <c r="BF130" i="1" s="1"/>
  <c r="G21" i="1"/>
  <c r="W78" i="10"/>
  <c r="BH284" i="1"/>
  <c r="X106" i="1"/>
  <c r="X145" i="1" s="1"/>
  <c r="AB147" i="1" s="1"/>
  <c r="G72" i="1"/>
  <c r="Y344" i="1"/>
  <c r="K388" i="1"/>
  <c r="K381" i="1" s="1"/>
  <c r="V304" i="1"/>
  <c r="S224" i="1"/>
  <c r="X137" i="1"/>
  <c r="BH285" i="1"/>
  <c r="H76" i="10"/>
  <c r="Y78" i="10"/>
  <c r="L343" i="1"/>
  <c r="V193" i="1"/>
  <c r="V196" i="1"/>
  <c r="V136" i="1"/>
  <c r="Q30" i="8"/>
  <c r="BG18" i="1"/>
  <c r="BD228" i="1"/>
  <c r="M321" i="1"/>
  <c r="K194" i="1"/>
  <c r="L128" i="10"/>
  <c r="O127" i="10"/>
  <c r="M315" i="1"/>
  <c r="K301" i="1"/>
  <c r="J233" i="1"/>
  <c r="V30" i="8"/>
  <c r="W147" i="10"/>
  <c r="Z237" i="1"/>
  <c r="Q185" i="1"/>
  <c r="AH138" i="1"/>
  <c r="E106" i="1"/>
  <c r="E145" i="1" s="1"/>
  <c r="BF132" i="1"/>
  <c r="AD141" i="1"/>
  <c r="K492" i="1"/>
  <c r="L492" i="1" s="1"/>
  <c r="L493" i="1" s="1"/>
  <c r="L106" i="1"/>
  <c r="L145" i="1" s="1"/>
  <c r="L136" i="1"/>
  <c r="L304" i="1"/>
  <c r="L328" i="1"/>
  <c r="S144" i="1"/>
  <c r="Q131" i="1"/>
  <c r="Q130" i="1" s="1"/>
  <c r="R238" i="1"/>
  <c r="K138" i="1"/>
  <c r="K140" i="1" s="1"/>
  <c r="V238" i="1"/>
  <c r="Y322" i="1"/>
  <c r="Y58" i="10" s="1"/>
  <c r="G26" i="1"/>
  <c r="Q78" i="10"/>
  <c r="X138" i="1"/>
  <c r="X140" i="1" s="1"/>
  <c r="AB140" i="1" s="1"/>
  <c r="X143" i="1"/>
  <c r="AB143" i="1" s="1"/>
  <c r="AF143" i="1" s="1"/>
  <c r="AJ143" i="1" s="1"/>
  <c r="AN143" i="1" s="1"/>
  <c r="AR143" i="1" s="1"/>
  <c r="AV143" i="1" s="1"/>
  <c r="AC312" i="1"/>
  <c r="O34" i="9"/>
  <c r="H72" i="1"/>
  <c r="K54" i="9"/>
  <c r="P383" i="1"/>
  <c r="P384" i="1" s="1"/>
  <c r="N49" i="9"/>
  <c r="N321" i="1"/>
  <c r="V142" i="1"/>
  <c r="BG205" i="1"/>
  <c r="S321" i="1"/>
  <c r="BH274" i="1"/>
  <c r="AB285" i="1"/>
  <c r="BF231" i="1"/>
  <c r="AC38" i="1"/>
  <c r="V135" i="1"/>
  <c r="V144" i="1"/>
  <c r="BG227" i="1"/>
  <c r="T32" i="1"/>
  <c r="BF85" i="1"/>
  <c r="BD16" i="1"/>
  <c r="H22" i="1"/>
  <c r="S127" i="10"/>
  <c r="O76" i="10"/>
  <c r="O78" i="10" s="1"/>
  <c r="L127" i="10"/>
  <c r="O126" i="10"/>
  <c r="D17" i="8"/>
  <c r="N315" i="1"/>
  <c r="P315" i="1"/>
  <c r="E238" i="1"/>
  <c r="F206" i="1"/>
  <c r="G206" i="1" s="1"/>
  <c r="BC206" i="1" s="1"/>
  <c r="Z205" i="1"/>
  <c r="Z43" i="1"/>
  <c r="AB43" i="1" s="1"/>
  <c r="AC43" i="1" s="1"/>
  <c r="AD43" i="1" s="1"/>
  <c r="AE43" i="1" s="1"/>
  <c r="AF43" i="1" s="1"/>
  <c r="AG43" i="1" s="1"/>
  <c r="AH43" i="1" s="1"/>
  <c r="AI43" i="1" s="1"/>
  <c r="AJ43" i="1" s="1"/>
  <c r="AK43" i="1" s="1"/>
  <c r="AL43" i="1" s="1"/>
  <c r="AM43" i="1" s="1"/>
  <c r="AN43" i="1" s="1"/>
  <c r="AO43" i="1" s="1"/>
  <c r="AP43" i="1" s="1"/>
  <c r="AQ43" i="1" s="1"/>
  <c r="AR43" i="1" s="1"/>
  <c r="AS43" i="1" s="1"/>
  <c r="AT43" i="1" s="1"/>
  <c r="AU43" i="1" s="1"/>
  <c r="AV43" i="1" s="1"/>
  <c r="AW43" i="1" s="1"/>
  <c r="AX43" i="1" s="1"/>
  <c r="AY43" i="1" s="1"/>
  <c r="Z74" i="1"/>
  <c r="Z19" i="1"/>
  <c r="Z226" i="1"/>
  <c r="Z19" i="8"/>
  <c r="Z22" i="8" s="1"/>
  <c r="Z23" i="8" s="1"/>
  <c r="Z16" i="8"/>
  <c r="Z15" i="8"/>
  <c r="G74" i="1"/>
  <c r="AB215" i="1"/>
  <c r="L11" i="8"/>
  <c r="L16" i="8" s="1"/>
  <c r="L137" i="1"/>
  <c r="L87" i="1"/>
  <c r="L138" i="1"/>
  <c r="L140" i="1" s="1"/>
  <c r="S305" i="1"/>
  <c r="BC215" i="1"/>
  <c r="Y333" i="1"/>
  <c r="Y334" i="1" s="1"/>
  <c r="G22" i="1"/>
  <c r="R77" i="10"/>
  <c r="V102" i="1"/>
  <c r="X144" i="1"/>
  <c r="X193" i="1"/>
  <c r="X304" i="1"/>
  <c r="N137" i="1"/>
  <c r="BG71" i="1"/>
  <c r="X136" i="1"/>
  <c r="X305" i="1"/>
  <c r="H127" i="10"/>
  <c r="BF18" i="1"/>
  <c r="I126" i="10"/>
  <c r="O96" i="1"/>
  <c r="BD82" i="1"/>
  <c r="BD266" i="1"/>
  <c r="BD276" i="1" s="1"/>
  <c r="R126" i="10"/>
  <c r="M19" i="1"/>
  <c r="N65" i="1"/>
  <c r="K195" i="1"/>
  <c r="H21" i="1"/>
  <c r="S50" i="9"/>
  <c r="S110" i="10" s="1"/>
  <c r="S126" i="10"/>
  <c r="L76" i="10"/>
  <c r="L78" i="10" s="1"/>
  <c r="O129" i="10"/>
  <c r="I238" i="1"/>
  <c r="BD111" i="1"/>
  <c r="BJ222" i="1"/>
  <c r="Z209" i="1"/>
  <c r="Y65" i="1"/>
  <c r="AB65" i="1" s="1"/>
  <c r="AC65" i="1" s="1"/>
  <c r="AD65" i="1" s="1"/>
  <c r="AE65" i="1" s="1"/>
  <c r="AF65" i="1" s="1"/>
  <c r="AG65" i="1" s="1"/>
  <c r="AH65" i="1" s="1"/>
  <c r="AI65" i="1" s="1"/>
  <c r="AJ65" i="1" s="1"/>
  <c r="AK65" i="1" s="1"/>
  <c r="AL65" i="1" s="1"/>
  <c r="AM65" i="1" s="1"/>
  <c r="AN65" i="1" s="1"/>
  <c r="AO65" i="1" s="1"/>
  <c r="AP65" i="1" s="1"/>
  <c r="AQ65" i="1" s="1"/>
  <c r="AR65" i="1" s="1"/>
  <c r="AS65" i="1" s="1"/>
  <c r="AT65" i="1" s="1"/>
  <c r="AU65" i="1" s="1"/>
  <c r="AV65" i="1" s="1"/>
  <c r="AW65" i="1" s="1"/>
  <c r="AX65" i="1" s="1"/>
  <c r="AY65" i="1" s="1"/>
  <c r="Z30" i="1"/>
  <c r="Z31" i="1"/>
  <c r="Z344" i="1"/>
  <c r="T31" i="8"/>
  <c r="BH39" i="1"/>
  <c r="AA41" i="8"/>
  <c r="AC41" i="8" s="1"/>
  <c r="AC35" i="1"/>
  <c r="AC39" i="1" s="1"/>
  <c r="AD38" i="1"/>
  <c r="AD36" i="1"/>
  <c r="AD35" i="1"/>
  <c r="AD39" i="1" s="1"/>
  <c r="BI382" i="1"/>
  <c r="AF382" i="1"/>
  <c r="AG382" i="1" s="1"/>
  <c r="AH382" i="1" s="1"/>
  <c r="AI382" i="1" s="1"/>
  <c r="AJ382" i="1" s="1"/>
  <c r="AK382" i="1" s="1"/>
  <c r="AL382" i="1" s="1"/>
  <c r="AM382" i="1" s="1"/>
  <c r="BJ273" i="1"/>
  <c r="AJ273" i="1"/>
  <c r="AK273" i="1" s="1"/>
  <c r="AL273" i="1" s="1"/>
  <c r="AM273" i="1" s="1"/>
  <c r="BI292" i="1"/>
  <c r="AF292" i="1"/>
  <c r="AG292" i="1" s="1"/>
  <c r="AH292" i="1" s="1"/>
  <c r="AI292" i="1" s="1"/>
  <c r="AF265" i="1"/>
  <c r="AG265" i="1" s="1"/>
  <c r="AH265" i="1" s="1"/>
  <c r="AI265" i="1" s="1"/>
  <c r="BH122" i="1"/>
  <c r="Z121" i="1"/>
  <c r="Z126" i="1" s="1"/>
  <c r="AB16" i="8"/>
  <c r="AJ50" i="1"/>
  <c r="V404" i="1"/>
  <c r="AF271" i="1"/>
  <c r="BI179" i="1"/>
  <c r="N448" i="1"/>
  <c r="K468" i="1"/>
  <c r="K469" i="1"/>
  <c r="L467" i="1"/>
  <c r="L468" i="1" s="1"/>
  <c r="AE122" i="1"/>
  <c r="AF122" i="1" s="1"/>
  <c r="K417" i="1"/>
  <c r="K418" i="1"/>
  <c r="BG237" i="1"/>
  <c r="BI293" i="1"/>
  <c r="F77" i="10"/>
  <c r="E78" i="10"/>
  <c r="AD325" i="1"/>
  <c r="AD322" i="1"/>
  <c r="AD323" i="1"/>
  <c r="AF270" i="1"/>
  <c r="AG270" i="1" s="1"/>
  <c r="AH270" i="1" s="1"/>
  <c r="AI270" i="1" s="1"/>
  <c r="BI270" i="1"/>
  <c r="O77" i="10"/>
  <c r="AC325" i="1"/>
  <c r="I30" i="8"/>
  <c r="I321" i="1"/>
  <c r="J223" i="1"/>
  <c r="BD218" i="1"/>
  <c r="K204" i="1"/>
  <c r="BC213" i="1"/>
  <c r="BF224" i="1"/>
  <c r="BD18" i="1"/>
  <c r="I342" i="1"/>
  <c r="V244" i="1"/>
  <c r="W244" i="1" s="1"/>
  <c r="V384" i="1"/>
  <c r="V185" i="1"/>
  <c r="U209" i="1"/>
  <c r="V209" i="1" s="1"/>
  <c r="W195" i="1"/>
  <c r="V137" i="1"/>
  <c r="K233" i="1"/>
  <c r="S216" i="1"/>
  <c r="BF216" i="1" s="1"/>
  <c r="BD91" i="1"/>
  <c r="W191" i="1"/>
  <c r="BG231" i="1"/>
  <c r="AB31" i="8"/>
  <c r="AO76" i="8"/>
  <c r="AB19" i="8"/>
  <c r="AB22" i="8" s="1"/>
  <c r="AB23" i="8" s="1"/>
  <c r="AB15" i="8"/>
  <c r="Z164" i="10"/>
  <c r="AF45" i="1"/>
  <c r="AA164" i="10"/>
  <c r="AD148" i="1"/>
  <c r="AD146" i="1"/>
  <c r="AD145" i="1"/>
  <c r="AB191" i="1" l="1"/>
  <c r="AC191" i="1" s="1"/>
  <c r="AD191" i="1" s="1"/>
  <c r="AE191" i="1" s="1"/>
  <c r="AG191" i="1" s="1"/>
  <c r="AH191" i="1" s="1"/>
  <c r="AI191" i="1" s="1"/>
  <c r="AJ191" i="1" s="1"/>
  <c r="AK191" i="1" s="1"/>
  <c r="AL191" i="1" s="1"/>
  <c r="AM191" i="1" s="1"/>
  <c r="AN191" i="1" s="1"/>
  <c r="AO191" i="1" s="1"/>
  <c r="AP191" i="1" s="1"/>
  <c r="AQ191" i="1" s="1"/>
  <c r="AR191" i="1" s="1"/>
  <c r="AS191" i="1" s="1"/>
  <c r="AT191" i="1" s="1"/>
  <c r="AU191" i="1" s="1"/>
  <c r="AV191" i="1" s="1"/>
  <c r="AW191" i="1" s="1"/>
  <c r="AX191" i="1" s="1"/>
  <c r="AY191" i="1" s="1"/>
  <c r="N304" i="1"/>
  <c r="S102" i="1"/>
  <c r="S108" i="1" s="1"/>
  <c r="S4" i="9"/>
  <c r="S143" i="1"/>
  <c r="S137" i="1"/>
  <c r="N11" i="8"/>
  <c r="N16" i="8" s="1"/>
  <c r="O193" i="1"/>
  <c r="N142" i="1"/>
  <c r="O143" i="1"/>
  <c r="O328" i="1"/>
  <c r="S138" i="1"/>
  <c r="S140" i="1" s="1"/>
  <c r="P77" i="10"/>
  <c r="N135" i="1"/>
  <c r="S142" i="1"/>
  <c r="S87" i="1"/>
  <c r="S193" i="1"/>
  <c r="O304" i="1"/>
  <c r="N106" i="1"/>
  <c r="N145" i="1" s="1"/>
  <c r="J77" i="10"/>
  <c r="N144" i="1"/>
  <c r="N305" i="1"/>
  <c r="S304" i="1"/>
  <c r="S135" i="1"/>
  <c r="S328" i="1"/>
  <c r="O4" i="9"/>
  <c r="N102" i="1"/>
  <c r="N103" i="1" s="1"/>
  <c r="R328" i="1"/>
  <c r="S196" i="1"/>
  <c r="G30" i="8"/>
  <c r="P78" i="10"/>
  <c r="G18" i="8"/>
  <c r="G73" i="1"/>
  <c r="T77" i="10"/>
  <c r="T193" i="1"/>
  <c r="T136" i="1"/>
  <c r="T135" i="1"/>
  <c r="T304" i="1"/>
  <c r="X135" i="1"/>
  <c r="X196" i="1"/>
  <c r="T137" i="1"/>
  <c r="BG96" i="1"/>
  <c r="BG100" i="1" s="1"/>
  <c r="BC119" i="1"/>
  <c r="W14" i="8"/>
  <c r="W64" i="1"/>
  <c r="J488" i="1"/>
  <c r="J490" i="1" s="1"/>
  <c r="K487" i="1" s="1"/>
  <c r="V330" i="1"/>
  <c r="BC18" i="1"/>
  <c r="BC74" i="1" s="1"/>
  <c r="O343" i="1"/>
  <c r="P344" i="1" s="1"/>
  <c r="E19" i="1"/>
  <c r="V57" i="10"/>
  <c r="V319" i="1"/>
  <c r="G224" i="1"/>
  <c r="Q135" i="1"/>
  <c r="M185" i="1"/>
  <c r="K436" i="1"/>
  <c r="K438" i="1" s="1"/>
  <c r="D76" i="10"/>
  <c r="D78" i="10" s="1"/>
  <c r="V322" i="1"/>
  <c r="V58" i="10" s="1"/>
  <c r="M384" i="1"/>
  <c r="BC224" i="1"/>
  <c r="BC72" i="1"/>
  <c r="F224" i="1"/>
  <c r="F30" i="8"/>
  <c r="BC214" i="1"/>
  <c r="H73" i="1"/>
  <c r="G85" i="1"/>
  <c r="O136" i="1"/>
  <c r="O137" i="1"/>
  <c r="P87" i="1"/>
  <c r="BF28" i="1"/>
  <c r="R49" i="9"/>
  <c r="R342" i="1"/>
  <c r="BD73" i="1"/>
  <c r="BC73" i="1"/>
  <c r="O135" i="1"/>
  <c r="O87" i="1"/>
  <c r="Z224" i="1"/>
  <c r="J238" i="1"/>
  <c r="O11" i="8"/>
  <c r="O13" i="8" s="1"/>
  <c r="M343" i="1"/>
  <c r="M55" i="9" s="1"/>
  <c r="N4" i="9"/>
  <c r="N5" i="10" s="1"/>
  <c r="N196" i="1"/>
  <c r="N328" i="1"/>
  <c r="H194" i="1"/>
  <c r="H191" i="1"/>
  <c r="H190" i="1"/>
  <c r="H195" i="1"/>
  <c r="H33" i="8"/>
  <c r="P55" i="9"/>
  <c r="Q344" i="1"/>
  <c r="Q136" i="1"/>
  <c r="BJ297" i="1"/>
  <c r="BD301" i="1"/>
  <c r="H192" i="1"/>
  <c r="BF86" i="1"/>
  <c r="BF102" i="1" s="1"/>
  <c r="AC272" i="1"/>
  <c r="AC213" i="1" s="1"/>
  <c r="L108" i="1"/>
  <c r="L113" i="1" s="1"/>
  <c r="L8" i="9"/>
  <c r="H128" i="10"/>
  <c r="P54" i="9"/>
  <c r="Q106" i="1"/>
  <c r="Q145" i="1" s="1"/>
  <c r="Q305" i="1"/>
  <c r="H108" i="1"/>
  <c r="H113" i="1" s="1"/>
  <c r="L192" i="1"/>
  <c r="H8" i="9"/>
  <c r="D102" i="1"/>
  <c r="D8" i="9" s="1"/>
  <c r="P49" i="9"/>
  <c r="BC96" i="1"/>
  <c r="BC100" i="1" s="1"/>
  <c r="J394" i="1"/>
  <c r="L147" i="10"/>
  <c r="J463" i="1"/>
  <c r="J465" i="1" s="1"/>
  <c r="K462" i="1" s="1"/>
  <c r="AS53" i="1"/>
  <c r="AS50" i="1"/>
  <c r="AS51" i="1"/>
  <c r="AX139" i="1"/>
  <c r="AX141" i="1"/>
  <c r="AX138" i="1"/>
  <c r="BC217" i="1"/>
  <c r="R31" i="9"/>
  <c r="R57" i="10" s="1"/>
  <c r="R330" i="1"/>
  <c r="R319" i="1"/>
  <c r="AA5" i="9"/>
  <c r="Y87" i="1"/>
  <c r="T16" i="8"/>
  <c r="Z87" i="1"/>
  <c r="BG86" i="1"/>
  <c r="BG106" i="1" s="1"/>
  <c r="BA102" i="1"/>
  <c r="Z5" i="9"/>
  <c r="S31" i="8"/>
  <c r="X11" i="8"/>
  <c r="X328" i="1"/>
  <c r="X102" i="1"/>
  <c r="N31" i="8"/>
  <c r="G127" i="10"/>
  <c r="G126" i="10"/>
  <c r="Z321" i="1"/>
  <c r="Z322" i="1" s="1"/>
  <c r="Z58" i="10" s="1"/>
  <c r="E102" i="1"/>
  <c r="E8" i="9" s="1"/>
  <c r="Z238" i="1"/>
  <c r="E135" i="1"/>
  <c r="G19" i="1"/>
  <c r="E136" i="1"/>
  <c r="H129" i="10"/>
  <c r="I19" i="1"/>
  <c r="H126" i="10"/>
  <c r="O196" i="1"/>
  <c r="O138" i="1"/>
  <c r="O140" i="1" s="1"/>
  <c r="O305" i="1"/>
  <c r="O106" i="1"/>
  <c r="O145" i="1" s="1"/>
  <c r="D11" i="8"/>
  <c r="D31" i="8" s="1"/>
  <c r="D138" i="1"/>
  <c r="D140" i="1" s="1"/>
  <c r="D137" i="1"/>
  <c r="D106" i="1"/>
  <c r="D145" i="1" s="1"/>
  <c r="D136" i="1"/>
  <c r="D4" i="9"/>
  <c r="D5" i="10" s="1"/>
  <c r="D144" i="1"/>
  <c r="D143" i="1"/>
  <c r="D64" i="1"/>
  <c r="Z30" i="8"/>
  <c r="Z31" i="8" s="1"/>
  <c r="E143" i="1"/>
  <c r="G129" i="10"/>
  <c r="M344" i="1"/>
  <c r="E137" i="1"/>
  <c r="H19" i="1"/>
  <c r="Q384" i="1"/>
  <c r="H74" i="1"/>
  <c r="P305" i="1"/>
  <c r="P11" i="8"/>
  <c r="T13" i="8"/>
  <c r="S13" i="8"/>
  <c r="G76" i="10"/>
  <c r="E138" i="1"/>
  <c r="E140" i="1" s="1"/>
  <c r="AD215" i="1"/>
  <c r="G128" i="10"/>
  <c r="D142" i="1"/>
  <c r="BG223" i="1"/>
  <c r="W224" i="1"/>
  <c r="W321" i="1"/>
  <c r="D127" i="10"/>
  <c r="D128" i="10"/>
  <c r="BC71" i="1"/>
  <c r="BD71" i="1"/>
  <c r="BC83" i="1"/>
  <c r="BC86" i="1" s="1"/>
  <c r="BC87" i="1" s="1"/>
  <c r="BE217" i="1"/>
  <c r="W11" i="8"/>
  <c r="W31" i="8" s="1"/>
  <c r="W138" i="1"/>
  <c r="W140" i="1" s="1"/>
  <c r="W304" i="1"/>
  <c r="W143" i="1"/>
  <c r="AE143" i="1" s="1"/>
  <c r="AI143" i="1" s="1"/>
  <c r="AM143" i="1" s="1"/>
  <c r="AQ143" i="1" s="1"/>
  <c r="AU143" i="1" s="1"/>
  <c r="AY143" i="1" s="1"/>
  <c r="W193" i="1"/>
  <c r="W135" i="1"/>
  <c r="W106" i="1"/>
  <c r="W145" i="1" s="1"/>
  <c r="W144" i="1"/>
  <c r="W137" i="1"/>
  <c r="W142" i="1"/>
  <c r="W328" i="1"/>
  <c r="W196" i="1"/>
  <c r="W136" i="1"/>
  <c r="Y11" i="8"/>
  <c r="Y31" i="8" s="1"/>
  <c r="Y102" i="1"/>
  <c r="Y103" i="1" s="1"/>
  <c r="BB106" i="1"/>
  <c r="Y106" i="1"/>
  <c r="Y145" i="1" s="1"/>
  <c r="AC147" i="1" s="1"/>
  <c r="Y143" i="1"/>
  <c r="AC143" i="1" s="1"/>
  <c r="AG143" i="1" s="1"/>
  <c r="AK143" i="1" s="1"/>
  <c r="AO143" i="1" s="1"/>
  <c r="AS143" i="1" s="1"/>
  <c r="AW143" i="1" s="1"/>
  <c r="Y135" i="1"/>
  <c r="Y137" i="1"/>
  <c r="Y328" i="1"/>
  <c r="W102" i="1"/>
  <c r="W103" i="1" s="1"/>
  <c r="Y136" i="1"/>
  <c r="AC136" i="1" s="1"/>
  <c r="AD136" i="1" s="1"/>
  <c r="AE136" i="1" s="1"/>
  <c r="AF136" i="1" s="1"/>
  <c r="AG136" i="1" s="1"/>
  <c r="AH136" i="1" s="1"/>
  <c r="AI136" i="1" s="1"/>
  <c r="AJ136" i="1" s="1"/>
  <c r="AK136" i="1" s="1"/>
  <c r="AL136" i="1" s="1"/>
  <c r="AM136" i="1" s="1"/>
  <c r="AN136" i="1" s="1"/>
  <c r="AO136" i="1" s="1"/>
  <c r="AP136" i="1" s="1"/>
  <c r="AQ136" i="1" s="1"/>
  <c r="AR136" i="1" s="1"/>
  <c r="AS136" i="1" s="1"/>
  <c r="AT136" i="1" s="1"/>
  <c r="AU136" i="1" s="1"/>
  <c r="AV136" i="1" s="1"/>
  <c r="AW136" i="1" s="1"/>
  <c r="AX136" i="1" s="1"/>
  <c r="AY136" i="1" s="1"/>
  <c r="Y138" i="1"/>
  <c r="Y140" i="1" s="1"/>
  <c r="AC140" i="1" s="1"/>
  <c r="Y305" i="1"/>
  <c r="W87" i="1"/>
  <c r="Y193" i="1"/>
  <c r="Y304" i="1"/>
  <c r="AB304" i="1" s="1"/>
  <c r="AC304" i="1" s="1"/>
  <c r="AD304" i="1" s="1"/>
  <c r="AE304" i="1" s="1"/>
  <c r="AF304" i="1" s="1"/>
  <c r="AG304" i="1" s="1"/>
  <c r="AH304" i="1" s="1"/>
  <c r="AI304" i="1" s="1"/>
  <c r="AJ304" i="1" s="1"/>
  <c r="AK304" i="1" s="1"/>
  <c r="AL304" i="1" s="1"/>
  <c r="AM304" i="1" s="1"/>
  <c r="AN304" i="1" s="1"/>
  <c r="AO304" i="1" s="1"/>
  <c r="AP304" i="1" s="1"/>
  <c r="AQ304" i="1" s="1"/>
  <c r="AR304" i="1" s="1"/>
  <c r="AS304" i="1" s="1"/>
  <c r="AT304" i="1" s="1"/>
  <c r="AU304" i="1" s="1"/>
  <c r="AV304" i="1" s="1"/>
  <c r="AW304" i="1" s="1"/>
  <c r="AX304" i="1" s="1"/>
  <c r="AY304" i="1" s="1"/>
  <c r="Y144" i="1"/>
  <c r="Y142" i="1"/>
  <c r="V11" i="8"/>
  <c r="V106" i="1"/>
  <c r="V145" i="1" s="1"/>
  <c r="V328" i="1"/>
  <c r="V87" i="1"/>
  <c r="V138" i="1"/>
  <c r="V140" i="1" s="1"/>
  <c r="V305" i="1"/>
  <c r="X87" i="1"/>
  <c r="U11" i="8"/>
  <c r="U196" i="1"/>
  <c r="U138" i="1"/>
  <c r="U140" i="1" s="1"/>
  <c r="U142" i="1"/>
  <c r="U143" i="1"/>
  <c r="U102" i="1"/>
  <c r="U305" i="1"/>
  <c r="U137" i="1"/>
  <c r="U106" i="1"/>
  <c r="U145" i="1" s="1"/>
  <c r="U87" i="1"/>
  <c r="U304" i="1"/>
  <c r="U135" i="1"/>
  <c r="U136" i="1"/>
  <c r="U193" i="1"/>
  <c r="U328" i="1"/>
  <c r="U144" i="1"/>
  <c r="AA317" i="1"/>
  <c r="AA222" i="1" s="1"/>
  <c r="AA321" i="1" s="1"/>
  <c r="AA236" i="1"/>
  <c r="AA376" i="1" s="1"/>
  <c r="AA377" i="1" s="1"/>
  <c r="AA226" i="1"/>
  <c r="BH226" i="1" s="1"/>
  <c r="AA205" i="1"/>
  <c r="BH205" i="1" s="1"/>
  <c r="BH215" i="1"/>
  <c r="BE86" i="1"/>
  <c r="BE106" i="1" s="1"/>
  <c r="AA237" i="1"/>
  <c r="BH237" i="1" s="1"/>
  <c r="K493" i="1"/>
  <c r="BK382" i="1"/>
  <c r="AN382" i="1"/>
  <c r="AO382" i="1" s="1"/>
  <c r="AP382" i="1" s="1"/>
  <c r="AQ382" i="1" s="1"/>
  <c r="AR382" i="1" s="1"/>
  <c r="AS382" i="1" s="1"/>
  <c r="AT382" i="1" s="1"/>
  <c r="AU382" i="1" s="1"/>
  <c r="AV382" i="1" s="1"/>
  <c r="AW382" i="1" s="1"/>
  <c r="AX382" i="1" s="1"/>
  <c r="AY382" i="1" s="1"/>
  <c r="K344" i="1"/>
  <c r="AA209" i="1"/>
  <c r="BH209" i="1" s="1"/>
  <c r="BH218" i="1"/>
  <c r="R19" i="8"/>
  <c r="R22" i="8" s="1"/>
  <c r="R23" i="8" s="1"/>
  <c r="BG238" i="1"/>
  <c r="BK273" i="1"/>
  <c r="AN273" i="1"/>
  <c r="AO273" i="1" s="1"/>
  <c r="AP273" i="1" s="1"/>
  <c r="AQ273" i="1" s="1"/>
  <c r="AR273" i="1" s="1"/>
  <c r="AS273" i="1" s="1"/>
  <c r="AT273" i="1" s="1"/>
  <c r="AU273" i="1" s="1"/>
  <c r="AV273" i="1" s="1"/>
  <c r="AW273" i="1" s="1"/>
  <c r="AX273" i="1" s="1"/>
  <c r="AY273" i="1" s="1"/>
  <c r="BK297" i="1"/>
  <c r="AN297" i="1"/>
  <c r="AO297" i="1" s="1"/>
  <c r="AP297" i="1" s="1"/>
  <c r="AQ297" i="1" s="1"/>
  <c r="AR297" i="1" s="1"/>
  <c r="AS297" i="1" s="1"/>
  <c r="AT297" i="1" s="1"/>
  <c r="AU297" i="1" s="1"/>
  <c r="AV297" i="1" s="1"/>
  <c r="AW297" i="1" s="1"/>
  <c r="AX297" i="1" s="1"/>
  <c r="AY297" i="1" s="1"/>
  <c r="AE148" i="1"/>
  <c r="T19" i="8"/>
  <c r="T22" i="8" s="1"/>
  <c r="T23" i="8" s="1"/>
  <c r="L31" i="8"/>
  <c r="H136" i="1"/>
  <c r="H4" i="9"/>
  <c r="L5" i="9" s="1"/>
  <c r="H135" i="1"/>
  <c r="H144" i="1"/>
  <c r="H196" i="1"/>
  <c r="H193" i="1"/>
  <c r="H137" i="1"/>
  <c r="H11" i="8"/>
  <c r="H15" i="8" s="1"/>
  <c r="H142" i="1"/>
  <c r="H138" i="1"/>
  <c r="H140" i="1" s="1"/>
  <c r="H106" i="1"/>
  <c r="H145" i="1" s="1"/>
  <c r="H143" i="1"/>
  <c r="I143" i="1"/>
  <c r="R15" i="8"/>
  <c r="I106" i="1"/>
  <c r="I145" i="1" s="1"/>
  <c r="I304" i="1"/>
  <c r="I328" i="1"/>
  <c r="I193" i="1"/>
  <c r="I136" i="1"/>
  <c r="I144" i="1"/>
  <c r="I196" i="1"/>
  <c r="I137" i="1"/>
  <c r="I138" i="1"/>
  <c r="I140" i="1" s="1"/>
  <c r="I11" i="8"/>
  <c r="I31" i="8" s="1"/>
  <c r="I4" i="9"/>
  <c r="I87" i="1"/>
  <c r="I102" i="1"/>
  <c r="I192" i="1" s="1"/>
  <c r="I135" i="1"/>
  <c r="I305" i="1"/>
  <c r="E144" i="1"/>
  <c r="E11" i="8"/>
  <c r="E87" i="1"/>
  <c r="E4" i="9"/>
  <c r="S55" i="9"/>
  <c r="F136" i="1"/>
  <c r="F144" i="1"/>
  <c r="F143" i="1"/>
  <c r="F87" i="1"/>
  <c r="F137" i="1"/>
  <c r="F193" i="1"/>
  <c r="F142" i="1"/>
  <c r="F135" i="1"/>
  <c r="F102" i="1"/>
  <c r="F11" i="8"/>
  <c r="F4" i="9"/>
  <c r="F138" i="1"/>
  <c r="F140" i="1" s="1"/>
  <c r="F106" i="1"/>
  <c r="F145" i="1" s="1"/>
  <c r="F196" i="1"/>
  <c r="N8" i="9"/>
  <c r="K106" i="1"/>
  <c r="K145" i="1" s="1"/>
  <c r="K87" i="1"/>
  <c r="AM76" i="8"/>
  <c r="AM77" i="8" s="1"/>
  <c r="K304" i="1"/>
  <c r="K196" i="1"/>
  <c r="K305" i="1"/>
  <c r="K4" i="9"/>
  <c r="O5" i="9" s="1"/>
  <c r="K11" i="8"/>
  <c r="K137" i="1"/>
  <c r="K142" i="1"/>
  <c r="K136" i="1"/>
  <c r="K328" i="1"/>
  <c r="K135" i="1"/>
  <c r="K144" i="1"/>
  <c r="K193" i="1"/>
  <c r="AC207" i="1"/>
  <c r="AD286" i="1"/>
  <c r="Q193" i="1"/>
  <c r="Q137" i="1"/>
  <c r="Q196" i="1"/>
  <c r="Q144" i="1"/>
  <c r="Q102" i="1"/>
  <c r="Q138" i="1"/>
  <c r="Q140" i="1" s="1"/>
  <c r="Q143" i="1"/>
  <c r="Q142" i="1"/>
  <c r="Q304" i="1"/>
  <c r="Q11" i="8"/>
  <c r="Q31" i="8" s="1"/>
  <c r="Q87" i="1"/>
  <c r="Q4" i="9"/>
  <c r="Q32" i="9" s="1"/>
  <c r="Q58" i="10" s="1"/>
  <c r="J144" i="1"/>
  <c r="J143" i="1"/>
  <c r="J328" i="1"/>
  <c r="J304" i="1"/>
  <c r="J196" i="1"/>
  <c r="J106" i="1"/>
  <c r="J145" i="1" s="1"/>
  <c r="J137" i="1"/>
  <c r="J4" i="9"/>
  <c r="J305" i="1"/>
  <c r="J142" i="1"/>
  <c r="J138" i="1"/>
  <c r="J140" i="1" s="1"/>
  <c r="J136" i="1"/>
  <c r="J11" i="8"/>
  <c r="J87" i="1"/>
  <c r="J193" i="1"/>
  <c r="J135" i="1"/>
  <c r="M138" i="1"/>
  <c r="M140" i="1" s="1"/>
  <c r="M102" i="1"/>
  <c r="M136" i="1"/>
  <c r="M135" i="1"/>
  <c r="M143" i="1"/>
  <c r="M106" i="1"/>
  <c r="M145" i="1" s="1"/>
  <c r="M328" i="1"/>
  <c r="M196" i="1"/>
  <c r="M304" i="1"/>
  <c r="M4" i="9"/>
  <c r="M6" i="9" s="1"/>
  <c r="M305" i="1"/>
  <c r="M142" i="1"/>
  <c r="M144" i="1"/>
  <c r="M193" i="1"/>
  <c r="M11" i="8"/>
  <c r="M13" i="8" s="1"/>
  <c r="M137" i="1"/>
  <c r="R135" i="1"/>
  <c r="R144" i="1"/>
  <c r="R196" i="1"/>
  <c r="R4" i="9"/>
  <c r="S6" i="9" s="1"/>
  <c r="R304" i="1"/>
  <c r="R87" i="1"/>
  <c r="R136" i="1"/>
  <c r="R137" i="1"/>
  <c r="R193" i="1"/>
  <c r="R106" i="1"/>
  <c r="R145" i="1" s="1"/>
  <c r="R142" i="1"/>
  <c r="R138" i="1"/>
  <c r="R140" i="1" s="1"/>
  <c r="R305" i="1"/>
  <c r="R143" i="1"/>
  <c r="N87" i="1"/>
  <c r="P57" i="10"/>
  <c r="P32" i="9"/>
  <c r="P58" i="10" s="1"/>
  <c r="L19" i="8"/>
  <c r="L22" i="8" s="1"/>
  <c r="L23" i="8" s="1"/>
  <c r="K494" i="1"/>
  <c r="BJ382" i="1"/>
  <c r="L469" i="1"/>
  <c r="AI140" i="1"/>
  <c r="AE141" i="1"/>
  <c r="AE138" i="1"/>
  <c r="AE139" i="1"/>
  <c r="K373" i="1"/>
  <c r="L494" i="1"/>
  <c r="L496" i="1" s="1"/>
  <c r="P6" i="9"/>
  <c r="O5" i="10"/>
  <c r="O55" i="9"/>
  <c r="R103" i="1"/>
  <c r="R8" i="9"/>
  <c r="R108" i="1"/>
  <c r="R192" i="1"/>
  <c r="N472" i="1"/>
  <c r="O1" i="1"/>
  <c r="P13" i="8"/>
  <c r="J192" i="1"/>
  <c r="J8" i="9"/>
  <c r="J108" i="1"/>
  <c r="J471" i="1"/>
  <c r="J473" i="1" s="1"/>
  <c r="K470" i="1" s="1"/>
  <c r="T192" i="1"/>
  <c r="T103" i="1"/>
  <c r="T108" i="1"/>
  <c r="R16" i="8"/>
  <c r="M147" i="10"/>
  <c r="M34" i="9"/>
  <c r="S192" i="1"/>
  <c r="Y386" i="1"/>
  <c r="X388" i="1"/>
  <c r="AF274" i="1"/>
  <c r="AG274" i="1" s="1"/>
  <c r="AH274" i="1" s="1"/>
  <c r="AI274" i="1" s="1"/>
  <c r="BJ274" i="1" s="1"/>
  <c r="K437" i="1"/>
  <c r="K440" i="1" s="1"/>
  <c r="L437" i="1" s="1"/>
  <c r="K471" i="1"/>
  <c r="BC19" i="1"/>
  <c r="Z330" i="1"/>
  <c r="Z319" i="1"/>
  <c r="Z32" i="1"/>
  <c r="BD86" i="1"/>
  <c r="X4" i="9"/>
  <c r="AE215" i="1"/>
  <c r="BD72" i="1"/>
  <c r="BE72" i="1"/>
  <c r="S31" i="9"/>
  <c r="S319" i="1"/>
  <c r="S330" i="1"/>
  <c r="S322" i="1"/>
  <c r="AO21" i="8"/>
  <c r="C4" i="24"/>
  <c r="BG74" i="1"/>
  <c r="BG19" i="1"/>
  <c r="BD381" i="1"/>
  <c r="BD132" i="1" s="1"/>
  <c r="K132" i="1"/>
  <c r="K383" i="1"/>
  <c r="BB108" i="1"/>
  <c r="V8" i="9"/>
  <c r="V9" i="9" s="1"/>
  <c r="BB103" i="1"/>
  <c r="BD384" i="1"/>
  <c r="BD131" i="1"/>
  <c r="BD130" i="1" s="1"/>
  <c r="AC215" i="1"/>
  <c r="N330" i="1"/>
  <c r="N31" i="9"/>
  <c r="G337" i="1"/>
  <c r="G49" i="9" s="1"/>
  <c r="G65" i="1"/>
  <c r="G27" i="1"/>
  <c r="G75" i="10" s="1"/>
  <c r="G77" i="10" s="1"/>
  <c r="L5" i="10"/>
  <c r="P5" i="9"/>
  <c r="L32" i="9"/>
  <c r="L58" i="10" s="1"/>
  <c r="L9" i="9"/>
  <c r="N55" i="9"/>
  <c r="N344" i="1"/>
  <c r="O344" i="1"/>
  <c r="Z24" i="8"/>
  <c r="Z203" i="1"/>
  <c r="Z219" i="1" s="1"/>
  <c r="Z157" i="1"/>
  <c r="Z161" i="1" s="1"/>
  <c r="H337" i="1"/>
  <c r="H49" i="9" s="1"/>
  <c r="BD21" i="1"/>
  <c r="BD27" i="1" s="1"/>
  <c r="BE28" i="1" s="1"/>
  <c r="H65" i="1"/>
  <c r="H27" i="1"/>
  <c r="H75" i="10" s="1"/>
  <c r="V103" i="1"/>
  <c r="V108" i="1"/>
  <c r="V192" i="1"/>
  <c r="L15" i="8"/>
  <c r="P12" i="8"/>
  <c r="AC285" i="1"/>
  <c r="AB218" i="1"/>
  <c r="AB141" i="1"/>
  <c r="AB139" i="1"/>
  <c r="AB138" i="1"/>
  <c r="AF140" i="1"/>
  <c r="Q34" i="9"/>
  <c r="Q147" i="10"/>
  <c r="M330" i="1"/>
  <c r="M31" i="9"/>
  <c r="AB145" i="1"/>
  <c r="AB146" i="1"/>
  <c r="AB148" i="1"/>
  <c r="BF321" i="1"/>
  <c r="Q45" i="9"/>
  <c r="Q334" i="1"/>
  <c r="Q46" i="9" s="1"/>
  <c r="AM51" i="8"/>
  <c r="BE224" i="1"/>
  <c r="P103" i="1"/>
  <c r="P192" i="1"/>
  <c r="P8" i="9"/>
  <c r="P9" i="9" s="1"/>
  <c r="P108" i="1"/>
  <c r="X387" i="1"/>
  <c r="O100" i="1"/>
  <c r="BE96" i="1"/>
  <c r="BE100" i="1" s="1"/>
  <c r="L11" i="9"/>
  <c r="L12" i="9" s="1"/>
  <c r="L344" i="1"/>
  <c r="L55" i="9"/>
  <c r="K100" i="1"/>
  <c r="BD96" i="1"/>
  <c r="BD100" i="1" s="1"/>
  <c r="BE226" i="1"/>
  <c r="BE238" i="1" s="1"/>
  <c r="O238" i="1"/>
  <c r="P16" i="8"/>
  <c r="P15" i="8"/>
  <c r="P19" i="8"/>
  <c r="P22" i="8" s="1"/>
  <c r="P23" i="8" s="1"/>
  <c r="BD204" i="1"/>
  <c r="AP30" i="8"/>
  <c r="BF74" i="1"/>
  <c r="BF19" i="1"/>
  <c r="AN39" i="8" s="1"/>
  <c r="BF328" i="1"/>
  <c r="BF238" i="1"/>
  <c r="P40" i="9"/>
  <c r="P185" i="1"/>
  <c r="AC261" i="1"/>
  <c r="AD312" i="1"/>
  <c r="S5" i="9"/>
  <c r="S5" i="10"/>
  <c r="Y15" i="8"/>
  <c r="S19" i="8"/>
  <c r="S22" i="8" s="1"/>
  <c r="S23" i="8" s="1"/>
  <c r="S12" i="8"/>
  <c r="S15" i="8"/>
  <c r="BE185" i="1"/>
  <c r="Q57" i="10"/>
  <c r="O30" i="8"/>
  <c r="O31" i="8" s="1"/>
  <c r="O224" i="1"/>
  <c r="O321" i="1"/>
  <c r="G14" i="8"/>
  <c r="G64" i="1"/>
  <c r="BC230" i="1"/>
  <c r="BC238" i="1" s="1"/>
  <c r="G238" i="1"/>
  <c r="AC217" i="1"/>
  <c r="AD284" i="1"/>
  <c r="AB49" i="1"/>
  <c r="AC49" i="1" s="1"/>
  <c r="AD49" i="1" s="1"/>
  <c r="AE49" i="1" s="1"/>
  <c r="AF49" i="1" s="1"/>
  <c r="AG49" i="1" s="1"/>
  <c r="AH49" i="1" s="1"/>
  <c r="AI49" i="1" s="1"/>
  <c r="AJ49" i="1" s="1"/>
  <c r="AA42" i="8"/>
  <c r="AC42" i="8" s="1"/>
  <c r="AB13" i="8"/>
  <c r="AE145" i="1"/>
  <c r="AE38" i="1"/>
  <c r="AE36" i="1"/>
  <c r="AE35" i="1"/>
  <c r="AE39" i="1" s="1"/>
  <c r="BI39" i="1" s="1"/>
  <c r="BJ265" i="1"/>
  <c r="AJ265" i="1"/>
  <c r="AK265" i="1" s="1"/>
  <c r="AL265" i="1" s="1"/>
  <c r="AM265" i="1" s="1"/>
  <c r="AJ292" i="1"/>
  <c r="AK292" i="1" s="1"/>
  <c r="AL292" i="1" s="1"/>
  <c r="AM292" i="1" s="1"/>
  <c r="BJ292" i="1"/>
  <c r="BI122" i="1"/>
  <c r="I343" i="1"/>
  <c r="I54" i="9"/>
  <c r="M416" i="1"/>
  <c r="M417" i="1" s="1"/>
  <c r="L417" i="1"/>
  <c r="M492" i="1"/>
  <c r="M493" i="1" s="1"/>
  <c r="L471" i="1"/>
  <c r="BI175" i="1"/>
  <c r="W404" i="1"/>
  <c r="K420" i="1"/>
  <c r="K422" i="1" s="1"/>
  <c r="N449" i="1"/>
  <c r="N443" i="1"/>
  <c r="AG175" i="1"/>
  <c r="AH175" i="1" s="1"/>
  <c r="AI175" i="1" s="1"/>
  <c r="AJ175" i="1" s="1"/>
  <c r="BJ270" i="1"/>
  <c r="AJ270" i="1"/>
  <c r="AK270" i="1" s="1"/>
  <c r="AL270" i="1" s="1"/>
  <c r="AM270" i="1" s="1"/>
  <c r="W209" i="1"/>
  <c r="V147" i="10"/>
  <c r="BG185" i="1"/>
  <c r="K223" i="1"/>
  <c r="J30" i="8"/>
  <c r="J321" i="1"/>
  <c r="J224" i="1"/>
  <c r="AO80" i="8"/>
  <c r="AO81" i="8" s="1"/>
  <c r="AE322" i="1"/>
  <c r="AE323" i="1"/>
  <c r="AE325" i="1"/>
  <c r="AD13" i="8"/>
  <c r="L418" i="1"/>
  <c r="AG122" i="1"/>
  <c r="AH122" i="1" s="1"/>
  <c r="AI122" i="1" s="1"/>
  <c r="AJ122" i="1" s="1"/>
  <c r="M467" i="1"/>
  <c r="M468" i="1" s="1"/>
  <c r="BD233" i="1"/>
  <c r="BD238" i="1" s="1"/>
  <c r="K238" i="1"/>
  <c r="AN49" i="8"/>
  <c r="BE19" i="1"/>
  <c r="BD19" i="1"/>
  <c r="BE74" i="1"/>
  <c r="BD74" i="1"/>
  <c r="I330" i="1"/>
  <c r="I31" i="9"/>
  <c r="AJ293" i="1"/>
  <c r="AK293" i="1" s="1"/>
  <c r="AL293" i="1" s="1"/>
  <c r="AM293" i="1" s="1"/>
  <c r="BJ293" i="1"/>
  <c r="AG179" i="1"/>
  <c r="AH179" i="1" s="1"/>
  <c r="AI179" i="1" s="1"/>
  <c r="AJ179" i="1" s="1"/>
  <c r="AG271" i="1"/>
  <c r="AK50" i="1"/>
  <c r="AK51" i="1"/>
  <c r="AK53" i="1"/>
  <c r="AF44" i="1"/>
  <c r="AG47" i="1" s="1"/>
  <c r="AF47" i="1"/>
  <c r="AH148" i="1"/>
  <c r="AH146" i="1"/>
  <c r="AH145" i="1" s="1"/>
  <c r="S8" i="9" l="1"/>
  <c r="S9" i="9" s="1"/>
  <c r="BG328" i="1"/>
  <c r="N19" i="8"/>
  <c r="N22" i="8" s="1"/>
  <c r="N23" i="8" s="1"/>
  <c r="H121" i="1"/>
  <c r="H126" i="1" s="1"/>
  <c r="BF106" i="1"/>
  <c r="S103" i="1"/>
  <c r="R12" i="8"/>
  <c r="N15" i="8"/>
  <c r="N192" i="1"/>
  <c r="N108" i="1"/>
  <c r="Y12" i="8"/>
  <c r="N9" i="9"/>
  <c r="Y19" i="8"/>
  <c r="Y22" i="8" s="1"/>
  <c r="Y23" i="8" s="1"/>
  <c r="Z240" i="1"/>
  <c r="Y16" i="8"/>
  <c r="I6" i="9"/>
  <c r="D108" i="1"/>
  <c r="D11" i="9" s="1"/>
  <c r="BH222" i="1"/>
  <c r="D103" i="1"/>
  <c r="AC139" i="1"/>
  <c r="K489" i="1"/>
  <c r="K484" i="1" s="1"/>
  <c r="K496" i="1"/>
  <c r="K498" i="1" s="1"/>
  <c r="L495" i="1" s="1"/>
  <c r="Y13" i="8"/>
  <c r="BC102" i="1"/>
  <c r="BC108" i="1" s="1"/>
  <c r="AD272" i="1"/>
  <c r="AD213" i="1" s="1"/>
  <c r="Y108" i="1"/>
  <c r="Y113" i="1" s="1"/>
  <c r="H11" i="9"/>
  <c r="H12" i="9" s="1"/>
  <c r="Z333" i="1"/>
  <c r="Z334" i="1" s="1"/>
  <c r="BG102" i="1"/>
  <c r="AA8" i="9" s="1"/>
  <c r="AA9" i="9" s="1"/>
  <c r="I5" i="10"/>
  <c r="BG87" i="1"/>
  <c r="L121" i="1"/>
  <c r="L126" i="1" s="1"/>
  <c r="L203" i="1" s="1"/>
  <c r="O6" i="9"/>
  <c r="G36" i="8"/>
  <c r="G86" i="1"/>
  <c r="E103" i="1"/>
  <c r="O12" i="8"/>
  <c r="R343" i="1"/>
  <c r="R54" i="9"/>
  <c r="K464" i="1"/>
  <c r="K459" i="1" s="1"/>
  <c r="J9" i="9"/>
  <c r="AA224" i="1"/>
  <c r="AC138" i="1"/>
  <c r="AT53" i="1"/>
  <c r="AT51" i="1"/>
  <c r="AT50" i="1"/>
  <c r="Z13" i="8"/>
  <c r="BA103" i="1"/>
  <c r="U8" i="9"/>
  <c r="U9" i="9" s="1"/>
  <c r="AG140" i="1"/>
  <c r="AG139" i="1" s="1"/>
  <c r="BA108" i="1"/>
  <c r="BA113" i="1" s="1"/>
  <c r="BA114" i="1" s="1"/>
  <c r="J31" i="8"/>
  <c r="W12" i="8"/>
  <c r="AC141" i="1"/>
  <c r="X19" i="8"/>
  <c r="X22" i="8" s="1"/>
  <c r="X23" i="8" s="1"/>
  <c r="X15" i="8"/>
  <c r="X16" i="8"/>
  <c r="X31" i="8"/>
  <c r="X12" i="8"/>
  <c r="X108" i="1"/>
  <c r="X192" i="1"/>
  <c r="X103" i="1"/>
  <c r="AA219" i="1"/>
  <c r="AA238" i="1"/>
  <c r="AR41" i="8"/>
  <c r="BG224" i="1"/>
  <c r="P31" i="8"/>
  <c r="T12" i="8"/>
  <c r="D15" i="8"/>
  <c r="E108" i="1"/>
  <c r="E121" i="1" s="1"/>
  <c r="E126" i="1" s="1"/>
  <c r="D19" i="8"/>
  <c r="D22" i="8" s="1"/>
  <c r="D23" i="8" s="1"/>
  <c r="BC106" i="1"/>
  <c r="AO60" i="8"/>
  <c r="AO65" i="8" s="1"/>
  <c r="D16" i="8"/>
  <c r="I103" i="1"/>
  <c r="W57" i="10"/>
  <c r="W319" i="1"/>
  <c r="W333" i="1"/>
  <c r="W334" i="1" s="1"/>
  <c r="BG321" i="1"/>
  <c r="W322" i="1"/>
  <c r="W58" i="10" s="1"/>
  <c r="W330" i="1"/>
  <c r="U15" i="8"/>
  <c r="U19" i="8"/>
  <c r="U22" i="8" s="1"/>
  <c r="U23" i="8" s="1"/>
  <c r="U31" i="8"/>
  <c r="U16" i="8"/>
  <c r="U13" i="8"/>
  <c r="AC145" i="1"/>
  <c r="AC148" i="1"/>
  <c r="AC146" i="1"/>
  <c r="U192" i="1"/>
  <c r="U103" i="1"/>
  <c r="U108" i="1"/>
  <c r="V19" i="8"/>
  <c r="V22" i="8" s="1"/>
  <c r="V23" i="8" s="1"/>
  <c r="V16" i="8"/>
  <c r="V12" i="8"/>
  <c r="V13" i="8"/>
  <c r="Z12" i="8"/>
  <c r="V15" i="8"/>
  <c r="V31" i="8"/>
  <c r="Y192" i="1"/>
  <c r="E9" i="9"/>
  <c r="W108" i="1"/>
  <c r="W192" i="1"/>
  <c r="AD12" i="8"/>
  <c r="W19" i="8"/>
  <c r="W22" i="8" s="1"/>
  <c r="W23" i="8" s="1"/>
  <c r="X13" i="8"/>
  <c r="W15" i="8"/>
  <c r="W13" i="8"/>
  <c r="W16" i="8"/>
  <c r="AB12" i="8"/>
  <c r="BF87" i="1"/>
  <c r="BD102" i="1"/>
  <c r="BD108" i="1" s="1"/>
  <c r="BE328" i="1"/>
  <c r="AA333" i="1"/>
  <c r="AA334" i="1" s="1"/>
  <c r="AA319" i="1"/>
  <c r="AA330" i="1"/>
  <c r="AA322" i="1"/>
  <c r="AA58" i="10" s="1"/>
  <c r="BL382" i="1"/>
  <c r="BE102" i="1"/>
  <c r="BE103" i="1" s="1"/>
  <c r="AJ274" i="1"/>
  <c r="AK274" i="1" s="1"/>
  <c r="AL274" i="1" s="1"/>
  <c r="AM274" i="1" s="1"/>
  <c r="BK274" i="1" s="1"/>
  <c r="AF215" i="1"/>
  <c r="AG215" i="1"/>
  <c r="BK292" i="1"/>
  <c r="AN292" i="1"/>
  <c r="AO292" i="1" s="1"/>
  <c r="AP292" i="1" s="1"/>
  <c r="AQ292" i="1" s="1"/>
  <c r="AR292" i="1" s="1"/>
  <c r="AS292" i="1" s="1"/>
  <c r="AT292" i="1" s="1"/>
  <c r="AU292" i="1" s="1"/>
  <c r="AV292" i="1" s="1"/>
  <c r="AW292" i="1" s="1"/>
  <c r="AX292" i="1" s="1"/>
  <c r="AY292" i="1" s="1"/>
  <c r="BL297" i="1"/>
  <c r="BK270" i="1"/>
  <c r="AN270" i="1"/>
  <c r="AO270" i="1" s="1"/>
  <c r="AP270" i="1" s="1"/>
  <c r="AQ270" i="1" s="1"/>
  <c r="AR270" i="1" s="1"/>
  <c r="AS270" i="1" s="1"/>
  <c r="AT270" i="1" s="1"/>
  <c r="AU270" i="1" s="1"/>
  <c r="AV270" i="1" s="1"/>
  <c r="AW270" i="1" s="1"/>
  <c r="AX270" i="1" s="1"/>
  <c r="AY270" i="1" s="1"/>
  <c r="BK293" i="1"/>
  <c r="AN293" i="1"/>
  <c r="AO293" i="1" s="1"/>
  <c r="AP293" i="1" s="1"/>
  <c r="AQ293" i="1" s="1"/>
  <c r="AR293" i="1" s="1"/>
  <c r="AS293" i="1" s="1"/>
  <c r="AT293" i="1" s="1"/>
  <c r="AU293" i="1" s="1"/>
  <c r="AV293" i="1" s="1"/>
  <c r="AW293" i="1" s="1"/>
  <c r="AX293" i="1" s="1"/>
  <c r="AY293" i="1" s="1"/>
  <c r="BK265" i="1"/>
  <c r="AN265" i="1"/>
  <c r="AO265" i="1" s="1"/>
  <c r="AP265" i="1" s="1"/>
  <c r="AQ265" i="1" s="1"/>
  <c r="AR265" i="1" s="1"/>
  <c r="AS265" i="1" s="1"/>
  <c r="AT265" i="1" s="1"/>
  <c r="AU265" i="1" s="1"/>
  <c r="AV265" i="1" s="1"/>
  <c r="AW265" i="1" s="1"/>
  <c r="AX265" i="1" s="1"/>
  <c r="AY265" i="1" s="1"/>
  <c r="BL273" i="1"/>
  <c r="L13" i="8"/>
  <c r="L12" i="8"/>
  <c r="L439" i="1"/>
  <c r="L434" i="1" s="1"/>
  <c r="L435" i="1" s="1"/>
  <c r="L6" i="9"/>
  <c r="R9" i="9"/>
  <c r="H16" i="8"/>
  <c r="H5" i="9"/>
  <c r="H5" i="10"/>
  <c r="H6" i="10" s="1"/>
  <c r="H32" i="9"/>
  <c r="H58" i="10" s="1"/>
  <c r="H9" i="9"/>
  <c r="H12" i="8"/>
  <c r="H31" i="8"/>
  <c r="H19" i="8"/>
  <c r="H22" i="8" s="1"/>
  <c r="H23" i="8" s="1"/>
  <c r="D113" i="1"/>
  <c r="D14" i="9" s="1"/>
  <c r="D39" i="10" s="1"/>
  <c r="I8" i="9"/>
  <c r="I9" i="9" s="1"/>
  <c r="I108" i="1"/>
  <c r="I113" i="1" s="1"/>
  <c r="I16" i="8"/>
  <c r="I19" i="8"/>
  <c r="I22" i="8" s="1"/>
  <c r="I23" i="8" s="1"/>
  <c r="I13" i="8"/>
  <c r="I15" i="8"/>
  <c r="Q12" i="8"/>
  <c r="M15" i="8"/>
  <c r="M19" i="8"/>
  <c r="M22" i="8" s="1"/>
  <c r="M23" i="8" s="1"/>
  <c r="M31" i="8"/>
  <c r="M16" i="8"/>
  <c r="M12" i="8"/>
  <c r="N13" i="8"/>
  <c r="K6" i="9"/>
  <c r="K5" i="10"/>
  <c r="O6" i="10" s="1"/>
  <c r="F15" i="8"/>
  <c r="F13" i="8"/>
  <c r="F31" i="8"/>
  <c r="F19" i="8"/>
  <c r="F22" i="8" s="1"/>
  <c r="F23" i="8" s="1"/>
  <c r="F16" i="8"/>
  <c r="E6" i="9"/>
  <c r="I5" i="9"/>
  <c r="E5" i="10"/>
  <c r="M5" i="10"/>
  <c r="M7" i="10" s="1"/>
  <c r="N6" i="9"/>
  <c r="M108" i="1"/>
  <c r="M192" i="1"/>
  <c r="M8" i="9"/>
  <c r="M9" i="9" s="1"/>
  <c r="M103" i="1"/>
  <c r="U12" i="8"/>
  <c r="Q13" i="8"/>
  <c r="R13" i="8"/>
  <c r="Q15" i="8"/>
  <c r="Q19" i="8"/>
  <c r="Q22" i="8" s="1"/>
  <c r="Q23" i="8" s="1"/>
  <c r="Q16" i="8"/>
  <c r="M5" i="9"/>
  <c r="F192" i="1"/>
  <c r="F103" i="1"/>
  <c r="F108" i="1"/>
  <c r="F8" i="9"/>
  <c r="F9" i="9" s="1"/>
  <c r="J19" i="8"/>
  <c r="J22" i="8" s="1"/>
  <c r="J23" i="8" s="1"/>
  <c r="N12" i="8"/>
  <c r="J12" i="8"/>
  <c r="J15" i="8"/>
  <c r="J16" i="8"/>
  <c r="J13" i="8"/>
  <c r="Q108" i="1"/>
  <c r="Q103" i="1"/>
  <c r="Q8" i="9"/>
  <c r="Q9" i="9" s="1"/>
  <c r="Q192" i="1"/>
  <c r="AD207" i="1"/>
  <c r="AE286" i="1"/>
  <c r="E31" i="8"/>
  <c r="I12" i="8"/>
  <c r="E13" i="8"/>
  <c r="E16" i="8"/>
  <c r="E19" i="8"/>
  <c r="E22" i="8" s="1"/>
  <c r="E23" i="8" s="1"/>
  <c r="E15" i="8"/>
  <c r="R5" i="10"/>
  <c r="S7" i="10" s="1"/>
  <c r="R32" i="9"/>
  <c r="R58" i="10" s="1"/>
  <c r="R6" i="9"/>
  <c r="R5" i="9"/>
  <c r="J5" i="9"/>
  <c r="J5" i="10"/>
  <c r="N6" i="10" s="1"/>
  <c r="J6" i="9"/>
  <c r="N5" i="9"/>
  <c r="Q5" i="9"/>
  <c r="Q5" i="10"/>
  <c r="Q6" i="9"/>
  <c r="K13" i="8"/>
  <c r="F5" i="10"/>
  <c r="F6" i="9"/>
  <c r="L498" i="1"/>
  <c r="M495" i="1" s="1"/>
  <c r="AI141" i="1"/>
  <c r="AI139" i="1"/>
  <c r="AM140" i="1"/>
  <c r="AQ140" i="1" s="1"/>
  <c r="AI138" i="1"/>
  <c r="K473" i="1"/>
  <c r="L470" i="1" s="1"/>
  <c r="L473" i="1" s="1"/>
  <c r="M470" i="1" s="1"/>
  <c r="O448" i="1"/>
  <c r="O443" i="1" s="1"/>
  <c r="O445" i="1" s="1"/>
  <c r="P1" i="1"/>
  <c r="O472" i="1"/>
  <c r="T121" i="1"/>
  <c r="T126" i="1" s="1"/>
  <c r="T113" i="1"/>
  <c r="J11" i="9"/>
  <c r="J12" i="9" s="1"/>
  <c r="J113" i="1"/>
  <c r="J121" i="1"/>
  <c r="J126" i="1" s="1"/>
  <c r="R121" i="1"/>
  <c r="R126" i="1" s="1"/>
  <c r="R113" i="1"/>
  <c r="R11" i="9"/>
  <c r="R12" i="9" s="1"/>
  <c r="P7" i="10"/>
  <c r="O7" i="10"/>
  <c r="J393" i="1"/>
  <c r="BD103" i="1"/>
  <c r="AF146" i="1"/>
  <c r="AF145" i="1" s="1"/>
  <c r="AF148" i="1"/>
  <c r="Z386" i="1"/>
  <c r="AA386" i="1" s="1"/>
  <c r="AA388" i="1" s="1"/>
  <c r="Y387" i="1"/>
  <c r="Y388" i="1"/>
  <c r="L373" i="1"/>
  <c r="S6" i="10"/>
  <c r="W6" i="10"/>
  <c r="T7" i="10"/>
  <c r="O14" i="8"/>
  <c r="O64" i="1"/>
  <c r="O102" i="1"/>
  <c r="Z369" i="1"/>
  <c r="Z254" i="1"/>
  <c r="BB113" i="1"/>
  <c r="V11" i="9"/>
  <c r="V12" i="9" s="1"/>
  <c r="BB126" i="1"/>
  <c r="AO30" i="8"/>
  <c r="AR39" i="8"/>
  <c r="AM60" i="8"/>
  <c r="BD106" i="1"/>
  <c r="BD328" i="1"/>
  <c r="BE87" i="1"/>
  <c r="AM49" i="8" s="1"/>
  <c r="BD87" i="1"/>
  <c r="S121" i="1"/>
  <c r="S126" i="1" s="1"/>
  <c r="S113" i="1"/>
  <c r="S11" i="9"/>
  <c r="S12" i="9" s="1"/>
  <c r="H14" i="9"/>
  <c r="H114" i="1"/>
  <c r="AD261" i="1"/>
  <c r="AE312" i="1"/>
  <c r="V113" i="1"/>
  <c r="V121" i="1"/>
  <c r="V126" i="1" s="1"/>
  <c r="W8" i="9"/>
  <c r="W9" i="9" s="1"/>
  <c r="M494" i="1"/>
  <c r="M496" i="1" s="1"/>
  <c r="O330" i="1"/>
  <c r="O31" i="9"/>
  <c r="H157" i="1"/>
  <c r="H24" i="8"/>
  <c r="K102" i="1"/>
  <c r="K64" i="1"/>
  <c r="K14" i="8"/>
  <c r="L24" i="8"/>
  <c r="P121" i="1"/>
  <c r="P126" i="1" s="1"/>
  <c r="P113" i="1"/>
  <c r="P11" i="9"/>
  <c r="P12" i="9" s="1"/>
  <c r="M57" i="10"/>
  <c r="M32" i="9"/>
  <c r="M58" i="10" s="1"/>
  <c r="AF138" i="1"/>
  <c r="AF139" i="1"/>
  <c r="AF141" i="1"/>
  <c r="AJ140" i="1"/>
  <c r="AN140" i="1" s="1"/>
  <c r="AR140" i="1" s="1"/>
  <c r="P6" i="10"/>
  <c r="S57" i="10"/>
  <c r="S32" i="9"/>
  <c r="S58" i="10" s="1"/>
  <c r="G78" i="10"/>
  <c r="BF108" i="1"/>
  <c r="BF103" i="1"/>
  <c r="Z8" i="9"/>
  <c r="Z9" i="9" s="1"/>
  <c r="K185" i="1"/>
  <c r="BD383" i="1"/>
  <c r="X40" i="9" s="1"/>
  <c r="K384" i="1"/>
  <c r="K40" i="9"/>
  <c r="AE284" i="1"/>
  <c r="AD217" i="1"/>
  <c r="Y121" i="1"/>
  <c r="Y126" i="1" s="1"/>
  <c r="BE187" i="1"/>
  <c r="Y35" i="9" s="1"/>
  <c r="Y34" i="9"/>
  <c r="P147" i="10"/>
  <c r="BF185" i="1"/>
  <c r="P34" i="9"/>
  <c r="L114" i="1"/>
  <c r="L14" i="9"/>
  <c r="Z31" i="9"/>
  <c r="Z32" i="9" s="1"/>
  <c r="BF322" i="1"/>
  <c r="BF330" i="1"/>
  <c r="BE321" i="1"/>
  <c r="AD285" i="1"/>
  <c r="AC218" i="1"/>
  <c r="I77" i="10"/>
  <c r="H77" i="10"/>
  <c r="H78" i="10"/>
  <c r="Z169" i="1"/>
  <c r="Z25" i="8"/>
  <c r="N57" i="10"/>
  <c r="N32" i="9"/>
  <c r="N58" i="10" s="1"/>
  <c r="BI215" i="1"/>
  <c r="Y5" i="9"/>
  <c r="X5" i="9"/>
  <c r="AI146" i="1"/>
  <c r="AI148" i="1"/>
  <c r="AF35" i="1"/>
  <c r="AF39" i="1" s="1"/>
  <c r="AF38" i="1"/>
  <c r="AF36" i="1"/>
  <c r="BJ179" i="1"/>
  <c r="BJ175" i="1"/>
  <c r="AB343" i="1"/>
  <c r="AC343" i="1" s="1"/>
  <c r="AD343" i="1" s="1"/>
  <c r="AD342" i="1" s="1"/>
  <c r="AK49" i="1"/>
  <c r="AK179" i="1"/>
  <c r="AL179" i="1" s="1"/>
  <c r="AM179" i="1" s="1"/>
  <c r="AN179" i="1" s="1"/>
  <c r="N467" i="1"/>
  <c r="N469" i="1" s="1"/>
  <c r="L420" i="1"/>
  <c r="AF325" i="1"/>
  <c r="AF323" i="1"/>
  <c r="AG324" i="1"/>
  <c r="AF322" i="1"/>
  <c r="BD223" i="1"/>
  <c r="O446" i="1"/>
  <c r="O447" i="1"/>
  <c r="L436" i="1"/>
  <c r="M418" i="1"/>
  <c r="J330" i="1"/>
  <c r="J31" i="9"/>
  <c r="N492" i="1"/>
  <c r="N493" i="1" s="1"/>
  <c r="AL50" i="1"/>
  <c r="AL53" i="1"/>
  <c r="AL51" i="1"/>
  <c r="AH271" i="1"/>
  <c r="AH215" i="1" s="1"/>
  <c r="L419" i="1"/>
  <c r="I57" i="10"/>
  <c r="I32" i="9"/>
  <c r="I58" i="10" s="1"/>
  <c r="M469" i="1"/>
  <c r="M471" i="1" s="1"/>
  <c r="AK122" i="1"/>
  <c r="AL122" i="1" s="1"/>
  <c r="AM122" i="1" s="1"/>
  <c r="AN122" i="1" s="1"/>
  <c r="BG209" i="1"/>
  <c r="AK175" i="1"/>
  <c r="AL175" i="1" s="1"/>
  <c r="AM175" i="1" s="1"/>
  <c r="AN175" i="1" s="1"/>
  <c r="I55" i="9"/>
  <c r="J344" i="1"/>
  <c r="AM80" i="8"/>
  <c r="AM81" i="8" s="1"/>
  <c r="K321" i="1"/>
  <c r="K30" i="8"/>
  <c r="K31" i="8" s="1"/>
  <c r="K224" i="1"/>
  <c r="K369" i="1"/>
  <c r="K370" i="1" s="1"/>
  <c r="K372" i="1" s="1"/>
  <c r="K374" i="1" s="1"/>
  <c r="AA34" i="9"/>
  <c r="BG187" i="1"/>
  <c r="AA35" i="9" s="1"/>
  <c r="N444" i="1"/>
  <c r="N445" i="1"/>
  <c r="W11" i="9"/>
  <c r="W12" i="9" s="1"/>
  <c r="BC126" i="1"/>
  <c r="BC157" i="1" s="1"/>
  <c r="BC161" i="1" s="1"/>
  <c r="N416" i="1"/>
  <c r="N418" i="1" s="1"/>
  <c r="AG45" i="1"/>
  <c r="AG44" i="1"/>
  <c r="AB25" i="1"/>
  <c r="AB23" i="1"/>
  <c r="AB22" i="1" s="1"/>
  <c r="AB48" i="1"/>
  <c r="AB55" i="1" s="1"/>
  <c r="AB56" i="1" s="1"/>
  <c r="AL148" i="1"/>
  <c r="AL146" i="1"/>
  <c r="AI145" i="1" l="1"/>
  <c r="AM146" i="1" s="1"/>
  <c r="N11" i="9"/>
  <c r="N12" i="9" s="1"/>
  <c r="N121" i="1"/>
  <c r="N126" i="1" s="1"/>
  <c r="N113" i="1"/>
  <c r="BC103" i="1"/>
  <c r="D121" i="1"/>
  <c r="D126" i="1" s="1"/>
  <c r="D203" i="1" s="1"/>
  <c r="D219" i="1" s="1"/>
  <c r="D240" i="1" s="1"/>
  <c r="D242" i="1" s="1"/>
  <c r="M498" i="1"/>
  <c r="N495" i="1" s="1"/>
  <c r="I121" i="1"/>
  <c r="I126" i="1" s="1"/>
  <c r="I24" i="8" s="1"/>
  <c r="K485" i="1"/>
  <c r="K486" i="1"/>
  <c r="L128" i="1"/>
  <c r="L127" i="1"/>
  <c r="BG108" i="1"/>
  <c r="BG121" i="1" s="1"/>
  <c r="BG126" i="1" s="1"/>
  <c r="L157" i="1"/>
  <c r="E11" i="9"/>
  <c r="E12" i="9" s="1"/>
  <c r="BG103" i="1"/>
  <c r="AE272" i="1"/>
  <c r="D114" i="1"/>
  <c r="AA240" i="1"/>
  <c r="X8" i="9"/>
  <c r="X9" i="9" s="1"/>
  <c r="AG141" i="1"/>
  <c r="R55" i="9"/>
  <c r="R344" i="1"/>
  <c r="S344" i="1"/>
  <c r="G137" i="1"/>
  <c r="G305" i="1"/>
  <c r="G11" i="8"/>
  <c r="G142" i="1"/>
  <c r="H87" i="1"/>
  <c r="G136" i="1"/>
  <c r="G135" i="1"/>
  <c r="G304" i="1"/>
  <c r="G106" i="1"/>
  <c r="G145" i="1" s="1"/>
  <c r="G4" i="9"/>
  <c r="G138" i="1"/>
  <c r="G140" i="1" s="1"/>
  <c r="G143" i="1"/>
  <c r="G87" i="1"/>
  <c r="G144" i="1"/>
  <c r="G102" i="1"/>
  <c r="AG138" i="1"/>
  <c r="U14" i="9"/>
  <c r="U15" i="9" s="1"/>
  <c r="AK140" i="1"/>
  <c r="AK141" i="1" s="1"/>
  <c r="K460" i="1"/>
  <c r="K461" i="1"/>
  <c r="AU140" i="1"/>
  <c r="AQ138" i="1"/>
  <c r="AQ139" i="1"/>
  <c r="AQ141" i="1"/>
  <c r="AU53" i="1"/>
  <c r="AU51" i="1"/>
  <c r="AU50" i="1"/>
  <c r="AV140" i="1"/>
  <c r="AR141" i="1"/>
  <c r="AR138" i="1"/>
  <c r="AR139" i="1"/>
  <c r="U11" i="9"/>
  <c r="U12" i="9" s="1"/>
  <c r="BA126" i="1"/>
  <c r="X121" i="1"/>
  <c r="X126" i="1" s="1"/>
  <c r="X113" i="1"/>
  <c r="BE108" i="1"/>
  <c r="Y11" i="9" s="1"/>
  <c r="Y12" i="9" s="1"/>
  <c r="Y8" i="9"/>
  <c r="Y9" i="9" s="1"/>
  <c r="AM61" i="8"/>
  <c r="AA254" i="1"/>
  <c r="AA369" i="1"/>
  <c r="E113" i="1"/>
  <c r="E114" i="1" s="1"/>
  <c r="D24" i="8"/>
  <c r="BG330" i="1"/>
  <c r="C6" i="24"/>
  <c r="AO32" i="8"/>
  <c r="BG322" i="1"/>
  <c r="AA31" i="9"/>
  <c r="AA32" i="9" s="1"/>
  <c r="AA387" i="1"/>
  <c r="L7" i="10"/>
  <c r="W113" i="1"/>
  <c r="W121" i="1"/>
  <c r="W126" i="1" s="1"/>
  <c r="U121" i="1"/>
  <c r="U126" i="1" s="1"/>
  <c r="U113" i="1"/>
  <c r="AG148" i="1"/>
  <c r="AG146" i="1"/>
  <c r="BM382" i="1"/>
  <c r="BN382" i="1"/>
  <c r="AN138" i="1"/>
  <c r="AN141" i="1"/>
  <c r="AN139" i="1"/>
  <c r="AN274" i="1"/>
  <c r="AO274" i="1" s="1"/>
  <c r="AP274" i="1" s="1"/>
  <c r="AQ274" i="1" s="1"/>
  <c r="AR274" i="1" s="1"/>
  <c r="AS274" i="1" s="1"/>
  <c r="AT274" i="1" s="1"/>
  <c r="AU274" i="1" s="1"/>
  <c r="AV274" i="1" s="1"/>
  <c r="AW274" i="1" s="1"/>
  <c r="AX274" i="1" s="1"/>
  <c r="AY274" i="1" s="1"/>
  <c r="BL265" i="1"/>
  <c r="BN297" i="1"/>
  <c r="BM297" i="1"/>
  <c r="BL293" i="1"/>
  <c r="BL270" i="1"/>
  <c r="BL292" i="1"/>
  <c r="BN273" i="1"/>
  <c r="BM273" i="1"/>
  <c r="AO175" i="1"/>
  <c r="AP175" i="1" s="1"/>
  <c r="AQ175" i="1" s="1"/>
  <c r="AR175" i="1" s="1"/>
  <c r="AS175" i="1" s="1"/>
  <c r="AT175" i="1" s="1"/>
  <c r="AU175" i="1" s="1"/>
  <c r="AV175" i="1" s="1"/>
  <c r="AW175" i="1" s="1"/>
  <c r="AX175" i="1" s="1"/>
  <c r="AY175" i="1" s="1"/>
  <c r="AO179" i="1"/>
  <c r="AP179" i="1" s="1"/>
  <c r="AQ179" i="1" s="1"/>
  <c r="AR179" i="1" s="1"/>
  <c r="AS179" i="1" s="1"/>
  <c r="AT179" i="1" s="1"/>
  <c r="AU179" i="1" s="1"/>
  <c r="AV179" i="1" s="1"/>
  <c r="AW179" i="1" s="1"/>
  <c r="AX179" i="1" s="1"/>
  <c r="AY179" i="1" s="1"/>
  <c r="AO122" i="1"/>
  <c r="AP122" i="1" s="1"/>
  <c r="AQ122" i="1" s="1"/>
  <c r="AR122" i="1" s="1"/>
  <c r="AS122" i="1" s="1"/>
  <c r="AT122" i="1" s="1"/>
  <c r="AU122" i="1" s="1"/>
  <c r="AV122" i="1" s="1"/>
  <c r="AW122" i="1" s="1"/>
  <c r="AX122" i="1" s="1"/>
  <c r="AY122" i="1" s="1"/>
  <c r="I11" i="9"/>
  <c r="I12" i="9" s="1"/>
  <c r="L6" i="10"/>
  <c r="I7" i="10"/>
  <c r="D157" i="1"/>
  <c r="D161" i="1" s="1"/>
  <c r="D17" i="9" s="1"/>
  <c r="M473" i="1"/>
  <c r="N470" i="1" s="1"/>
  <c r="Q121" i="1"/>
  <c r="Q126" i="1" s="1"/>
  <c r="Q113" i="1"/>
  <c r="Q11" i="9"/>
  <c r="Q12" i="9" s="1"/>
  <c r="I14" i="9"/>
  <c r="I114" i="1"/>
  <c r="M113" i="1"/>
  <c r="M11" i="9"/>
  <c r="M12" i="9" s="1"/>
  <c r="M121" i="1"/>
  <c r="M126" i="1" s="1"/>
  <c r="J6" i="10"/>
  <c r="F7" i="10"/>
  <c r="U6" i="10"/>
  <c r="Q7" i="10"/>
  <c r="Q6" i="10"/>
  <c r="I157" i="1"/>
  <c r="I161" i="1" s="1"/>
  <c r="I203" i="1"/>
  <c r="R7" i="10"/>
  <c r="V6" i="10"/>
  <c r="R6" i="10"/>
  <c r="M6" i="10"/>
  <c r="N7" i="10"/>
  <c r="D268" i="1"/>
  <c r="E241" i="1"/>
  <c r="J7" i="10"/>
  <c r="BI286" i="1"/>
  <c r="AF286" i="1"/>
  <c r="AE207" i="1"/>
  <c r="BI207" i="1" s="1"/>
  <c r="F121" i="1"/>
  <c r="F126" i="1" s="1"/>
  <c r="F113" i="1"/>
  <c r="F11" i="9"/>
  <c r="F12" i="9" s="1"/>
  <c r="I6" i="10"/>
  <c r="E7" i="10"/>
  <c r="K7" i="10"/>
  <c r="AM141" i="1"/>
  <c r="AM139" i="1"/>
  <c r="AM138" i="1"/>
  <c r="J401" i="1"/>
  <c r="J38" i="9"/>
  <c r="J402" i="1"/>
  <c r="J201" i="10" s="1"/>
  <c r="AO78" i="8"/>
  <c r="AO79" i="8" s="1"/>
  <c r="J14" i="9"/>
  <c r="J114" i="1"/>
  <c r="R14" i="9"/>
  <c r="R114" i="1"/>
  <c r="R157" i="1"/>
  <c r="R161" i="1" s="1"/>
  <c r="R203" i="1"/>
  <c r="R219" i="1" s="1"/>
  <c r="R24" i="8"/>
  <c r="R127" i="1"/>
  <c r="R128" i="1"/>
  <c r="T114" i="1"/>
  <c r="T40" i="10" s="1"/>
  <c r="T39" i="10"/>
  <c r="P448" i="1"/>
  <c r="P443" i="1" s="1"/>
  <c r="P444" i="1" s="1"/>
  <c r="P421" i="1"/>
  <c r="P472" i="1"/>
  <c r="Q1" i="1"/>
  <c r="J24" i="8"/>
  <c r="J157" i="1"/>
  <c r="J161" i="1" s="1"/>
  <c r="J203" i="1"/>
  <c r="J219" i="1" s="1"/>
  <c r="T128" i="1"/>
  <c r="T127" i="1"/>
  <c r="T203" i="1"/>
  <c r="T219" i="1" s="1"/>
  <c r="T24" i="8"/>
  <c r="T157" i="1"/>
  <c r="T161" i="1" s="1"/>
  <c r="V24" i="8"/>
  <c r="V203" i="1"/>
  <c r="V219" i="1" s="1"/>
  <c r="V127" i="1"/>
  <c r="V157" i="1"/>
  <c r="V161" i="1" s="1"/>
  <c r="V128" i="1"/>
  <c r="N468" i="1"/>
  <c r="N471" i="1" s="1"/>
  <c r="AD218" i="1"/>
  <c r="AE285" i="1"/>
  <c r="Y114" i="1"/>
  <c r="Y40" i="10" s="1"/>
  <c r="Y39" i="10"/>
  <c r="BF121" i="1"/>
  <c r="BF126" i="1" s="1"/>
  <c r="BF113" i="1"/>
  <c r="Z11" i="9"/>
  <c r="Z12" i="9" s="1"/>
  <c r="K16" i="8"/>
  <c r="K15" i="8"/>
  <c r="K19" i="8"/>
  <c r="K22" i="8" s="1"/>
  <c r="K23" i="8" s="1"/>
  <c r="V39" i="10"/>
  <c r="V114" i="1"/>
  <c r="V40" i="10" s="1"/>
  <c r="H15" i="9"/>
  <c r="H40" i="10" s="1"/>
  <c r="H39" i="10"/>
  <c r="Z388" i="1"/>
  <c r="AC386" i="1"/>
  <c r="AD386" i="1" s="1"/>
  <c r="AE386" i="1" s="1"/>
  <c r="AF386" i="1" s="1"/>
  <c r="AG386" i="1" s="1"/>
  <c r="AH386" i="1" s="1"/>
  <c r="AI386" i="1" s="1"/>
  <c r="AJ386" i="1" s="1"/>
  <c r="AK386" i="1" s="1"/>
  <c r="AL386" i="1" s="1"/>
  <c r="AM386" i="1" s="1"/>
  <c r="AN386" i="1" s="1"/>
  <c r="AO386" i="1" s="1"/>
  <c r="AP386" i="1" s="1"/>
  <c r="AQ386" i="1" s="1"/>
  <c r="AR386" i="1" s="1"/>
  <c r="AS386" i="1" s="1"/>
  <c r="AT386" i="1" s="1"/>
  <c r="AU386" i="1" s="1"/>
  <c r="AV386" i="1" s="1"/>
  <c r="AW386" i="1" s="1"/>
  <c r="AX386" i="1" s="1"/>
  <c r="AY386" i="1" s="1"/>
  <c r="Z387" i="1"/>
  <c r="L39" i="10"/>
  <c r="L15" i="9"/>
  <c r="L40" i="10" s="1"/>
  <c r="O57" i="10"/>
  <c r="O32" i="9"/>
  <c r="O58" i="10" s="1"/>
  <c r="BB114" i="1"/>
  <c r="V14" i="9"/>
  <c r="V15" i="9" s="1"/>
  <c r="E203" i="1"/>
  <c r="E157" i="1"/>
  <c r="E161" i="1" s="1"/>
  <c r="E24" i="8"/>
  <c r="AJ148" i="1"/>
  <c r="AJ146" i="1"/>
  <c r="BE322" i="1"/>
  <c r="Y31" i="9"/>
  <c r="Y32" i="9" s="1"/>
  <c r="BE330" i="1"/>
  <c r="Z34" i="9"/>
  <c r="BF187" i="1"/>
  <c r="Z35" i="9" s="1"/>
  <c r="Y24" i="8"/>
  <c r="Y157" i="1"/>
  <c r="Y161" i="1" s="1"/>
  <c r="Y127" i="1"/>
  <c r="Y203" i="1"/>
  <c r="Y219" i="1" s="1"/>
  <c r="Y128" i="1"/>
  <c r="BI272" i="1"/>
  <c r="AF272" i="1"/>
  <c r="P114" i="1"/>
  <c r="P14" i="9"/>
  <c r="L161" i="1"/>
  <c r="BI312" i="1"/>
  <c r="AF312" i="1"/>
  <c r="AE261" i="1"/>
  <c r="BI261" i="1" s="1"/>
  <c r="S114" i="1"/>
  <c r="S14" i="9"/>
  <c r="BB203" i="1"/>
  <c r="BB219" i="1" s="1"/>
  <c r="BB157" i="1"/>
  <c r="BB161" i="1" s="1"/>
  <c r="O16" i="8"/>
  <c r="O19" i="8"/>
  <c r="O22" i="8" s="1"/>
  <c r="O23" i="8" s="1"/>
  <c r="O15" i="8"/>
  <c r="X11" i="9"/>
  <c r="X12" i="9" s="1"/>
  <c r="BD121" i="1"/>
  <c r="BD126" i="1" s="1"/>
  <c r="BD113" i="1"/>
  <c r="Z26" i="8"/>
  <c r="Z181" i="1"/>
  <c r="Z28" i="8" s="1"/>
  <c r="BI284" i="1"/>
  <c r="AF284" i="1"/>
  <c r="AE217" i="1"/>
  <c r="BI217" i="1" s="1"/>
  <c r="O8" i="9"/>
  <c r="O9" i="9" s="1"/>
  <c r="O108" i="1"/>
  <c r="O103" i="1"/>
  <c r="O192" i="1"/>
  <c r="N417" i="1"/>
  <c r="N420" i="1" s="1"/>
  <c r="L438" i="1"/>
  <c r="L440" i="1" s="1"/>
  <c r="M373" i="1" s="1"/>
  <c r="AE213" i="1"/>
  <c r="BI213" i="1" s="1"/>
  <c r="BD185" i="1"/>
  <c r="K34" i="9"/>
  <c r="K147" i="10"/>
  <c r="AJ139" i="1"/>
  <c r="AJ141" i="1"/>
  <c r="AJ138" i="1"/>
  <c r="P128" i="1"/>
  <c r="P157" i="1"/>
  <c r="P203" i="1"/>
  <c r="P127" i="1"/>
  <c r="P24" i="8"/>
  <c r="L219" i="1"/>
  <c r="K108" i="1"/>
  <c r="K192" i="1"/>
  <c r="K8" i="9"/>
  <c r="K9" i="9" s="1"/>
  <c r="K103" i="1"/>
  <c r="H161" i="1"/>
  <c r="S127" i="1"/>
  <c r="S157" i="1"/>
  <c r="S161" i="1" s="1"/>
  <c r="S203" i="1"/>
  <c r="S219" i="1" s="1"/>
  <c r="S24" i="8"/>
  <c r="S128" i="1"/>
  <c r="AL145" i="1"/>
  <c r="AH37" i="1"/>
  <c r="AG38" i="1"/>
  <c r="AG35" i="1"/>
  <c r="AG39" i="1" s="1"/>
  <c r="AG36" i="1"/>
  <c r="AE343" i="1"/>
  <c r="AF343" i="1" s="1"/>
  <c r="AF342" i="1" s="1"/>
  <c r="AC342" i="1"/>
  <c r="AB342" i="1"/>
  <c r="AL49" i="1"/>
  <c r="BC169" i="1"/>
  <c r="W17" i="9"/>
  <c r="BK122" i="1"/>
  <c r="L422" i="1"/>
  <c r="AI271" i="1"/>
  <c r="AI215" i="1" s="1"/>
  <c r="BJ215" i="1" s="1"/>
  <c r="AM51" i="1"/>
  <c r="AM53" i="1"/>
  <c r="AM50" i="1"/>
  <c r="N494" i="1"/>
  <c r="N496" i="1" s="1"/>
  <c r="N497" i="1" s="1"/>
  <c r="M420" i="1"/>
  <c r="O449" i="1"/>
  <c r="BD224" i="1"/>
  <c r="AM64" i="8"/>
  <c r="AM65" i="8" s="1"/>
  <c r="O416" i="1"/>
  <c r="O417" i="1" s="1"/>
  <c r="O444" i="1"/>
  <c r="K330" i="1"/>
  <c r="K31" i="9"/>
  <c r="BD321" i="1"/>
  <c r="BK175" i="1"/>
  <c r="AG322" i="1"/>
  <c r="AG325" i="1"/>
  <c r="AH324" i="1"/>
  <c r="AG323" i="1"/>
  <c r="BK179" i="1"/>
  <c r="O492" i="1"/>
  <c r="O493" i="1" s="1"/>
  <c r="J32" i="9"/>
  <c r="J58" i="10" s="1"/>
  <c r="J57" i="10"/>
  <c r="O467" i="1"/>
  <c r="O469" i="1" s="1"/>
  <c r="Z75" i="10"/>
  <c r="Z77" i="10" s="1"/>
  <c r="AB26" i="1"/>
  <c r="AB61" i="1"/>
  <c r="AB62" i="1" s="1"/>
  <c r="AC48" i="1" s="1"/>
  <c r="AC55" i="1" s="1"/>
  <c r="AC56" i="1" s="1"/>
  <c r="AH45" i="1"/>
  <c r="AH47" i="1"/>
  <c r="AH44" i="1"/>
  <c r="AJ145" i="1" l="1"/>
  <c r="AN146" i="1" s="1"/>
  <c r="AM148" i="1"/>
  <c r="AM145" i="1" s="1"/>
  <c r="AG145" i="1"/>
  <c r="AK148" i="1" s="1"/>
  <c r="N14" i="9"/>
  <c r="N114" i="1"/>
  <c r="N157" i="1"/>
  <c r="N161" i="1" s="1"/>
  <c r="N127" i="1"/>
  <c r="N24" i="8"/>
  <c r="N128" i="1"/>
  <c r="N203" i="1"/>
  <c r="N219" i="1" s="1"/>
  <c r="AK139" i="1"/>
  <c r="E14" i="9"/>
  <c r="E15" i="9" s="1"/>
  <c r="E40" i="10" s="1"/>
  <c r="AA11" i="9"/>
  <c r="AA12" i="9" s="1"/>
  <c r="BG113" i="1"/>
  <c r="BG114" i="1" s="1"/>
  <c r="AO140" i="1"/>
  <c r="AS140" i="1" s="1"/>
  <c r="AS138" i="1" s="1"/>
  <c r="AR40" i="8"/>
  <c r="AK138" i="1"/>
  <c r="K488" i="1"/>
  <c r="K490" i="1" s="1"/>
  <c r="G8" i="9"/>
  <c r="G9" i="9" s="1"/>
  <c r="G108" i="1"/>
  <c r="G103" i="1"/>
  <c r="G13" i="8"/>
  <c r="K12" i="8"/>
  <c r="G31" i="8"/>
  <c r="G16" i="8"/>
  <c r="H13" i="8"/>
  <c r="G19" i="8"/>
  <c r="G22" i="8" s="1"/>
  <c r="G23" i="8" s="1"/>
  <c r="G15" i="8"/>
  <c r="H6" i="9"/>
  <c r="K5" i="9"/>
  <c r="G5" i="10"/>
  <c r="G6" i="9"/>
  <c r="BE121" i="1"/>
  <c r="BE126" i="1" s="1"/>
  <c r="BE128" i="1" s="1"/>
  <c r="K463" i="1"/>
  <c r="K465" i="1" s="1"/>
  <c r="K394" i="1"/>
  <c r="BD394" i="1" s="1"/>
  <c r="BL179" i="1"/>
  <c r="AV50" i="1"/>
  <c r="AV51" i="1"/>
  <c r="AV53" i="1"/>
  <c r="AY140" i="1"/>
  <c r="AU141" i="1"/>
  <c r="AU138" i="1"/>
  <c r="AU139" i="1"/>
  <c r="AV139" i="1"/>
  <c r="AV138" i="1"/>
  <c r="AV141" i="1"/>
  <c r="BE113" i="1"/>
  <c r="Y14" i="9" s="1"/>
  <c r="Y15" i="9" s="1"/>
  <c r="BA157" i="1"/>
  <c r="BA161" i="1" s="1"/>
  <c r="BA203" i="1"/>
  <c r="BA219" i="1" s="1"/>
  <c r="X39" i="10"/>
  <c r="X114" i="1"/>
  <c r="X40" i="10" s="1"/>
  <c r="X24" i="8"/>
  <c r="X128" i="1"/>
  <c r="X157" i="1"/>
  <c r="X161" i="1" s="1"/>
  <c r="X203" i="1"/>
  <c r="X219" i="1" s="1"/>
  <c r="X127" i="1"/>
  <c r="U114" i="1"/>
  <c r="U40" i="10" s="1"/>
  <c r="U39" i="10"/>
  <c r="U24" i="8"/>
  <c r="U128" i="1"/>
  <c r="U203" i="1"/>
  <c r="U219" i="1" s="1"/>
  <c r="U240" i="1" s="1"/>
  <c r="U127" i="1"/>
  <c r="U157" i="1"/>
  <c r="U161" i="1" s="1"/>
  <c r="U25" i="8" s="1"/>
  <c r="W128" i="1"/>
  <c r="W203" i="1"/>
  <c r="W219" i="1" s="1"/>
  <c r="W157" i="1"/>
  <c r="W161" i="1" s="1"/>
  <c r="W24" i="8"/>
  <c r="W127" i="1"/>
  <c r="W39" i="10"/>
  <c r="W114" i="1"/>
  <c r="W40" i="10" s="1"/>
  <c r="BL274" i="1"/>
  <c r="BN292" i="1"/>
  <c r="BM292" i="1"/>
  <c r="BN293" i="1"/>
  <c r="BM293" i="1"/>
  <c r="BN274" i="1"/>
  <c r="BM274" i="1"/>
  <c r="BN270" i="1"/>
  <c r="BM270" i="1"/>
  <c r="BN265" i="1"/>
  <c r="BM265" i="1"/>
  <c r="BL175" i="1"/>
  <c r="BM179" i="1"/>
  <c r="BL122" i="1"/>
  <c r="AP146" i="1"/>
  <c r="AP148" i="1"/>
  <c r="BG128" i="1"/>
  <c r="BG127" i="1"/>
  <c r="D25" i="8"/>
  <c r="D169" i="1"/>
  <c r="D21" i="9" s="1"/>
  <c r="F157" i="1"/>
  <c r="F161" i="1" s="1"/>
  <c r="F203" i="1"/>
  <c r="F219" i="1" s="1"/>
  <c r="F240" i="1" s="1"/>
  <c r="F24" i="8"/>
  <c r="M127" i="1"/>
  <c r="M24" i="8"/>
  <c r="M203" i="1"/>
  <c r="M219" i="1" s="1"/>
  <c r="M157" i="1"/>
  <c r="M161" i="1" s="1"/>
  <c r="M128" i="1"/>
  <c r="I15" i="9"/>
  <c r="I40" i="10" s="1"/>
  <c r="I41" i="9"/>
  <c r="I39" i="10"/>
  <c r="I219" i="1"/>
  <c r="H203" i="1"/>
  <c r="H219" i="1" s="1"/>
  <c r="AG286" i="1"/>
  <c r="AF207" i="1"/>
  <c r="I25" i="8"/>
  <c r="I169" i="1"/>
  <c r="I17" i="9"/>
  <c r="M114" i="1"/>
  <c r="M14" i="9"/>
  <c r="Q14" i="9"/>
  <c r="Q114" i="1"/>
  <c r="F114" i="1"/>
  <c r="F14" i="9"/>
  <c r="Q128" i="1"/>
  <c r="Q24" i="8"/>
  <c r="Q203" i="1"/>
  <c r="Q219" i="1" s="1"/>
  <c r="Q127" i="1"/>
  <c r="Q157" i="1"/>
  <c r="Q161" i="1" s="1"/>
  <c r="O418" i="1"/>
  <c r="O420" i="1" s="1"/>
  <c r="M437" i="1"/>
  <c r="T25" i="8"/>
  <c r="T169" i="1"/>
  <c r="Q421" i="1"/>
  <c r="R1" i="1"/>
  <c r="Q472" i="1"/>
  <c r="Q448" i="1"/>
  <c r="Q443" i="1" s="1"/>
  <c r="Q445" i="1" s="1"/>
  <c r="R39" i="10"/>
  <c r="R15" i="9"/>
  <c r="R40" i="10" s="1"/>
  <c r="J254" i="1"/>
  <c r="J218" i="10" s="1"/>
  <c r="J240" i="1"/>
  <c r="R254" i="1"/>
  <c r="R218" i="10" s="1"/>
  <c r="R240" i="1"/>
  <c r="R369" i="1"/>
  <c r="J41" i="9"/>
  <c r="T240" i="1"/>
  <c r="T254" i="1"/>
  <c r="T218" i="10" s="1"/>
  <c r="T369" i="1"/>
  <c r="J17" i="9"/>
  <c r="J25" i="8"/>
  <c r="J169" i="1"/>
  <c r="R25" i="8"/>
  <c r="R169" i="1"/>
  <c r="R17" i="9"/>
  <c r="J15" i="9"/>
  <c r="J40" i="10" s="1"/>
  <c r="J39" i="10"/>
  <c r="E39" i="10"/>
  <c r="K121" i="1"/>
  <c r="K126" i="1" s="1"/>
  <c r="K11" i="9"/>
  <c r="K12" i="9" s="1"/>
  <c r="K113" i="1"/>
  <c r="P39" i="10"/>
  <c r="P15" i="9"/>
  <c r="P40" i="10" s="1"/>
  <c r="O494" i="1"/>
  <c r="O496" i="1" s="1"/>
  <c r="N473" i="1"/>
  <c r="O470" i="1" s="1"/>
  <c r="S17" i="9"/>
  <c r="S25" i="8"/>
  <c r="S169" i="1"/>
  <c r="P219" i="1"/>
  <c r="BD187" i="1"/>
  <c r="X35" i="9" s="1"/>
  <c r="X34" i="9"/>
  <c r="S39" i="10"/>
  <c r="S15" i="9"/>
  <c r="S40" i="10" s="1"/>
  <c r="AF213" i="1"/>
  <c r="AG272" i="1"/>
  <c r="V25" i="8"/>
  <c r="V169" i="1"/>
  <c r="H169" i="1"/>
  <c r="H25" i="8"/>
  <c r="H17" i="9"/>
  <c r="BB254" i="1"/>
  <c r="BB240" i="1"/>
  <c r="Y240" i="1"/>
  <c r="Y254" i="1"/>
  <c r="Y218" i="10" s="1"/>
  <c r="Y369" i="1"/>
  <c r="O468" i="1"/>
  <c r="O471" i="1" s="1"/>
  <c r="N498" i="1"/>
  <c r="O495" i="1" s="1"/>
  <c r="L254" i="1"/>
  <c r="L218" i="10" s="1"/>
  <c r="L240" i="1"/>
  <c r="L369" i="1"/>
  <c r="P161" i="1"/>
  <c r="BD114" i="1"/>
  <c r="X14" i="9"/>
  <c r="X15" i="9" s="1"/>
  <c r="AM62" i="8"/>
  <c r="AM63" i="8" s="1"/>
  <c r="Y25" i="8"/>
  <c r="Y169" i="1"/>
  <c r="AN40" i="8"/>
  <c r="Z14" i="9"/>
  <c r="Z15" i="9" s="1"/>
  <c r="BF114" i="1"/>
  <c r="S369" i="1"/>
  <c r="S254" i="1"/>
  <c r="S218" i="10" s="1"/>
  <c r="S240" i="1"/>
  <c r="AF217" i="1"/>
  <c r="AG284" i="1"/>
  <c r="AF261" i="1"/>
  <c r="AG312" i="1"/>
  <c r="E219" i="1"/>
  <c r="E240" i="1" s="1"/>
  <c r="E242" i="1" s="1"/>
  <c r="O113" i="1"/>
  <c r="O11" i="9"/>
  <c r="O12" i="9" s="1"/>
  <c r="O121" i="1"/>
  <c r="O126" i="1" s="1"/>
  <c r="BD127" i="1"/>
  <c r="BD128" i="1"/>
  <c r="V17" i="9"/>
  <c r="BB169" i="1"/>
  <c r="L169" i="1"/>
  <c r="L25" i="8"/>
  <c r="L17" i="9"/>
  <c r="E25" i="8"/>
  <c r="E169" i="1"/>
  <c r="E17" i="9"/>
  <c r="BF127" i="1"/>
  <c r="BF128" i="1"/>
  <c r="AE218" i="1"/>
  <c r="BI218" i="1" s="1"/>
  <c r="AF285" i="1"/>
  <c r="BI285" i="1"/>
  <c r="V254" i="1"/>
  <c r="V218" i="10" s="1"/>
  <c r="V240" i="1"/>
  <c r="V369" i="1"/>
  <c r="AH35" i="1"/>
  <c r="AH39" i="1" s="1"/>
  <c r="AH38" i="1"/>
  <c r="AI37" i="1"/>
  <c r="AH36" i="1"/>
  <c r="AG343" i="1"/>
  <c r="AG342" i="1" s="1"/>
  <c r="AE342" i="1"/>
  <c r="AM49" i="1"/>
  <c r="AN49" i="1" s="1"/>
  <c r="AO49" i="1" s="1"/>
  <c r="AP49" i="1" s="1"/>
  <c r="AQ49" i="1" s="1"/>
  <c r="AR49" i="1" s="1"/>
  <c r="AS49" i="1" s="1"/>
  <c r="AT49" i="1" s="1"/>
  <c r="AU49" i="1" s="1"/>
  <c r="P492" i="1"/>
  <c r="P493" i="1" s="1"/>
  <c r="AJ271" i="1"/>
  <c r="AJ215" i="1" s="1"/>
  <c r="BJ271" i="1"/>
  <c r="W21" i="9"/>
  <c r="BC181" i="1"/>
  <c r="W26" i="9" s="1"/>
  <c r="X31" i="9"/>
  <c r="X32" i="9" s="1"/>
  <c r="BD322" i="1"/>
  <c r="BD330" i="1"/>
  <c r="AH325" i="1"/>
  <c r="AI324" i="1"/>
  <c r="AH322" i="1"/>
  <c r="AH323" i="1"/>
  <c r="K57" i="10"/>
  <c r="K32" i="9"/>
  <c r="K58" i="10" s="1"/>
  <c r="P416" i="1"/>
  <c r="P417" i="1" s="1"/>
  <c r="P445" i="1"/>
  <c r="P446" i="1"/>
  <c r="P447" i="1"/>
  <c r="M419" i="1"/>
  <c r="M422" i="1" s="1"/>
  <c r="P467" i="1"/>
  <c r="P469" i="1" s="1"/>
  <c r="AC25" i="1"/>
  <c r="AC23" i="1"/>
  <c r="AC61" i="1"/>
  <c r="AC62" i="1" s="1"/>
  <c r="AD48" i="1" s="1"/>
  <c r="AN148" i="1" l="1"/>
  <c r="AQ148" i="1"/>
  <c r="AQ146" i="1"/>
  <c r="AP145" i="1"/>
  <c r="AT148" i="1" s="1"/>
  <c r="AK145" i="1"/>
  <c r="AO146" i="1" s="1"/>
  <c r="AK146" i="1"/>
  <c r="AN145" i="1"/>
  <c r="AR148" i="1" s="1"/>
  <c r="N25" i="8"/>
  <c r="N17" i="9"/>
  <c r="N169" i="1"/>
  <c r="N254" i="1"/>
  <c r="N218" i="10" s="1"/>
  <c r="N240" i="1"/>
  <c r="N369" i="1"/>
  <c r="N15" i="9"/>
  <c r="N40" i="10" s="1"/>
  <c r="N39" i="10"/>
  <c r="C5" i="24"/>
  <c r="AA14" i="9"/>
  <c r="AA15" i="9" s="1"/>
  <c r="AO31" i="8"/>
  <c r="BE114" i="1"/>
  <c r="AM50" i="8"/>
  <c r="AO138" i="1"/>
  <c r="AS141" i="1"/>
  <c r="AO139" i="1"/>
  <c r="AS139" i="1"/>
  <c r="AW140" i="1"/>
  <c r="AW139" i="1" s="1"/>
  <c r="AO141" i="1"/>
  <c r="L487" i="1"/>
  <c r="L489" i="1"/>
  <c r="L484" i="1" s="1"/>
  <c r="BE127" i="1"/>
  <c r="G121" i="1"/>
  <c r="G126" i="1" s="1"/>
  <c r="G11" i="9"/>
  <c r="G12" i="9" s="1"/>
  <c r="G112" i="1"/>
  <c r="G7" i="10"/>
  <c r="H7" i="10"/>
  <c r="K6" i="10"/>
  <c r="L462" i="1"/>
  <c r="K393" i="1"/>
  <c r="K402" i="1" s="1"/>
  <c r="K201" i="10" s="1"/>
  <c r="L464" i="1"/>
  <c r="L459" i="1" s="1"/>
  <c r="AV49" i="1"/>
  <c r="U254" i="1"/>
  <c r="U218" i="10" s="1"/>
  <c r="U369" i="1"/>
  <c r="AW50" i="1"/>
  <c r="AW51" i="1"/>
  <c r="AW53" i="1"/>
  <c r="AY138" i="1"/>
  <c r="AY139" i="1"/>
  <c r="AY141" i="1"/>
  <c r="BF157" i="1"/>
  <c r="BF161" i="1" s="1"/>
  <c r="Z17" i="9" s="1"/>
  <c r="BA254" i="1"/>
  <c r="BA240" i="1"/>
  <c r="BA242" i="1" s="1"/>
  <c r="BB241" i="1" s="1"/>
  <c r="BB242" i="1" s="1"/>
  <c r="BC241" i="1" s="1"/>
  <c r="BA169" i="1"/>
  <c r="U21" i="9" s="1"/>
  <c r="U17" i="9"/>
  <c r="V18" i="9" s="1"/>
  <c r="BG203" i="1"/>
  <c r="BG219" i="1" s="1"/>
  <c r="BG240" i="1" s="1"/>
  <c r="X254" i="1"/>
  <c r="X218" i="10" s="1"/>
  <c r="X369" i="1"/>
  <c r="X240" i="1"/>
  <c r="X25" i="8"/>
  <c r="X169" i="1"/>
  <c r="U169" i="1"/>
  <c r="U181" i="1" s="1"/>
  <c r="BG157" i="1"/>
  <c r="BG161" i="1" s="1"/>
  <c r="AA17" i="9" s="1"/>
  <c r="W369" i="1"/>
  <c r="W254" i="1"/>
  <c r="W218" i="10" s="1"/>
  <c r="W240" i="1"/>
  <c r="W169" i="1"/>
  <c r="W25" i="8"/>
  <c r="BM175" i="1"/>
  <c r="BN175" i="1"/>
  <c r="BM122" i="1"/>
  <c r="BF203" i="1"/>
  <c r="BF219" i="1" s="1"/>
  <c r="BF254" i="1" s="1"/>
  <c r="D26" i="8"/>
  <c r="J19" i="9"/>
  <c r="M15" i="9"/>
  <c r="M40" i="10" s="1"/>
  <c r="M39" i="10"/>
  <c r="I254" i="1"/>
  <c r="I218" i="10" s="1"/>
  <c r="I240" i="1"/>
  <c r="Q169" i="1"/>
  <c r="Q25" i="8"/>
  <c r="Q17" i="9"/>
  <c r="M25" i="8"/>
  <c r="M169" i="1"/>
  <c r="M17" i="9"/>
  <c r="M19" i="9" s="1"/>
  <c r="F39" i="10"/>
  <c r="F15" i="9"/>
  <c r="F40" i="10" s="1"/>
  <c r="AH286" i="1"/>
  <c r="AG207" i="1"/>
  <c r="M240" i="1"/>
  <c r="M254" i="1"/>
  <c r="M218" i="10" s="1"/>
  <c r="M369" i="1"/>
  <c r="N18" i="9"/>
  <c r="Q369" i="1"/>
  <c r="Q254" i="1"/>
  <c r="Q218" i="10" s="1"/>
  <c r="Q240" i="1"/>
  <c r="Q39" i="10"/>
  <c r="Q15" i="9"/>
  <c r="Q40" i="10" s="1"/>
  <c r="I26" i="8"/>
  <c r="I21" i="9"/>
  <c r="I181" i="1"/>
  <c r="H254" i="1"/>
  <c r="H218" i="10" s="1"/>
  <c r="H240" i="1"/>
  <c r="F25" i="8"/>
  <c r="F17" i="9"/>
  <c r="F19" i="9" s="1"/>
  <c r="F169" i="1"/>
  <c r="P418" i="1"/>
  <c r="P420" i="1" s="1"/>
  <c r="R181" i="1"/>
  <c r="R21" i="9"/>
  <c r="R170" i="1"/>
  <c r="R26" i="8"/>
  <c r="T170" i="1"/>
  <c r="T27" i="8" s="1"/>
  <c r="T26" i="8"/>
  <c r="T181" i="1"/>
  <c r="R18" i="9"/>
  <c r="J26" i="8"/>
  <c r="J21" i="9"/>
  <c r="AO82" i="8"/>
  <c r="J181" i="1"/>
  <c r="R448" i="1"/>
  <c r="R443" i="1" s="1"/>
  <c r="R472" i="1"/>
  <c r="S1" i="1"/>
  <c r="R421" i="1"/>
  <c r="O497" i="1"/>
  <c r="O498" i="1" s="1"/>
  <c r="P495" i="1" s="1"/>
  <c r="AH284" i="1"/>
  <c r="AG217" i="1"/>
  <c r="H181" i="1"/>
  <c r="H26" i="8"/>
  <c r="H21" i="9"/>
  <c r="V21" i="9"/>
  <c r="BB181" i="1"/>
  <c r="V26" i="9" s="1"/>
  <c r="W27" i="9" s="1"/>
  <c r="O127" i="1"/>
  <c r="O203" i="1"/>
  <c r="O128" i="1"/>
  <c r="O24" i="8"/>
  <c r="O157" i="1"/>
  <c r="AG213" i="1"/>
  <c r="AH272" i="1"/>
  <c r="S181" i="1"/>
  <c r="S26" i="8"/>
  <c r="S170" i="1"/>
  <c r="S21" i="9"/>
  <c r="K14" i="9"/>
  <c r="AM78" i="8"/>
  <c r="AM79" i="8" s="1"/>
  <c r="K114" i="1"/>
  <c r="K401" i="1"/>
  <c r="W18" i="9"/>
  <c r="E19" i="9"/>
  <c r="I18" i="9"/>
  <c r="O14" i="9"/>
  <c r="O114" i="1"/>
  <c r="E268" i="1"/>
  <c r="F241" i="1"/>
  <c r="F242" i="1" s="1"/>
  <c r="AG261" i="1"/>
  <c r="AH312" i="1"/>
  <c r="Y26" i="8"/>
  <c r="Y170" i="1"/>
  <c r="Y27" i="8" s="1"/>
  <c r="Y181" i="1"/>
  <c r="P17" i="9"/>
  <c r="P169" i="1"/>
  <c r="P25" i="8"/>
  <c r="V26" i="8"/>
  <c r="V181" i="1"/>
  <c r="V170" i="1"/>
  <c r="V27" i="8" s="1"/>
  <c r="S19" i="9"/>
  <c r="L18" i="9"/>
  <c r="O473" i="1"/>
  <c r="P470" i="1" s="1"/>
  <c r="AG285" i="1"/>
  <c r="AF218" i="1"/>
  <c r="E21" i="9"/>
  <c r="E26" i="8"/>
  <c r="L26" i="8"/>
  <c r="L170" i="1"/>
  <c r="L21" i="9"/>
  <c r="L181" i="1"/>
  <c r="H18" i="9"/>
  <c r="I19" i="9"/>
  <c r="P369" i="1"/>
  <c r="P240" i="1"/>
  <c r="P254" i="1"/>
  <c r="P218" i="10" s="1"/>
  <c r="K203" i="1"/>
  <c r="K127" i="1"/>
  <c r="K24" i="8"/>
  <c r="K128" i="1"/>
  <c r="K157" i="1"/>
  <c r="AC22" i="1"/>
  <c r="AC26" i="1" s="1"/>
  <c r="AI36" i="1"/>
  <c r="AI35" i="1"/>
  <c r="AI39" i="1" s="1"/>
  <c r="BJ39" i="1" s="1"/>
  <c r="AJ37" i="1"/>
  <c r="AI38" i="1"/>
  <c r="AH343" i="1"/>
  <c r="AH342" i="1" s="1"/>
  <c r="P449" i="1"/>
  <c r="AK271" i="1"/>
  <c r="Q492" i="1"/>
  <c r="Q493" i="1" s="1"/>
  <c r="Q467" i="1"/>
  <c r="Q468" i="1" s="1"/>
  <c r="AI323" i="1"/>
  <c r="AI325" i="1"/>
  <c r="AJ324" i="1"/>
  <c r="AI322" i="1"/>
  <c r="P468" i="1"/>
  <c r="P471" i="1" s="1"/>
  <c r="N419" i="1"/>
  <c r="N422" i="1" s="1"/>
  <c r="M439" i="1"/>
  <c r="M434" i="1" s="1"/>
  <c r="Q416" i="1"/>
  <c r="Q417" i="1" s="1"/>
  <c r="Q444" i="1"/>
  <c r="P494" i="1"/>
  <c r="P496" i="1" s="1"/>
  <c r="AI44" i="1"/>
  <c r="AI47" i="1"/>
  <c r="AI45" i="1"/>
  <c r="AD55" i="1"/>
  <c r="AD56" i="1" s="1"/>
  <c r="AQ145" i="1" l="1"/>
  <c r="AU148" i="1" s="1"/>
  <c r="AO148" i="1"/>
  <c r="AT146" i="1"/>
  <c r="AT145" i="1"/>
  <c r="AX148" i="1" s="1"/>
  <c r="AO145" i="1"/>
  <c r="AS148" i="1" s="1"/>
  <c r="AR146" i="1"/>
  <c r="AR145" i="1" s="1"/>
  <c r="N170" i="1"/>
  <c r="N26" i="8"/>
  <c r="N21" i="9"/>
  <c r="R22" i="9" s="1"/>
  <c r="N181" i="1"/>
  <c r="AA18" i="9"/>
  <c r="AW141" i="1"/>
  <c r="AW138" i="1"/>
  <c r="L485" i="1"/>
  <c r="L486" i="1"/>
  <c r="J18" i="9"/>
  <c r="BC112" i="1"/>
  <c r="BC113" i="1" s="1"/>
  <c r="G113" i="1"/>
  <c r="G157" i="1"/>
  <c r="G161" i="1" s="1"/>
  <c r="G24" i="8"/>
  <c r="G203" i="1"/>
  <c r="L461" i="1"/>
  <c r="L460" i="1"/>
  <c r="K38" i="9"/>
  <c r="K41" i="9" s="1"/>
  <c r="BD393" i="1"/>
  <c r="AX51" i="1"/>
  <c r="AX50" i="1"/>
  <c r="AX53" i="1"/>
  <c r="BG254" i="1"/>
  <c r="AW49" i="1"/>
  <c r="V22" i="9"/>
  <c r="BG169" i="1"/>
  <c r="AR42" i="8" s="1"/>
  <c r="U26" i="8"/>
  <c r="U170" i="1"/>
  <c r="U27" i="8" s="1"/>
  <c r="X26" i="8"/>
  <c r="X181" i="1"/>
  <c r="X170" i="1"/>
  <c r="X27" i="8" s="1"/>
  <c r="W170" i="1"/>
  <c r="W27" i="8" s="1"/>
  <c r="W26" i="8"/>
  <c r="W181" i="1"/>
  <c r="BF240" i="1"/>
  <c r="BN179" i="1"/>
  <c r="BN122" i="1"/>
  <c r="W22" i="9"/>
  <c r="J23" i="9"/>
  <c r="F21" i="9"/>
  <c r="J22" i="9" s="1"/>
  <c r="F181" i="1"/>
  <c r="F26" i="8"/>
  <c r="Q18" i="9"/>
  <c r="I26" i="9"/>
  <c r="I28" i="8"/>
  <c r="M18" i="9"/>
  <c r="N19" i="9"/>
  <c r="AI286" i="1"/>
  <c r="AH207" i="1"/>
  <c r="M170" i="1"/>
  <c r="M181" i="1"/>
  <c r="M26" i="8"/>
  <c r="M21" i="9"/>
  <c r="M23" i="9" s="1"/>
  <c r="Q21" i="9"/>
  <c r="R23" i="9" s="1"/>
  <c r="Q170" i="1"/>
  <c r="Q26" i="8"/>
  <c r="Q181" i="1"/>
  <c r="R19" i="9"/>
  <c r="S23" i="9"/>
  <c r="R444" i="1"/>
  <c r="R445" i="1"/>
  <c r="Q418" i="1"/>
  <c r="Q420" i="1" s="1"/>
  <c r="P497" i="1"/>
  <c r="P498" i="1" s="1"/>
  <c r="Q495" i="1" s="1"/>
  <c r="N22" i="9"/>
  <c r="J26" i="9"/>
  <c r="J28" i="8"/>
  <c r="S448" i="1"/>
  <c r="S443" i="1" s="1"/>
  <c r="S444" i="1" s="1"/>
  <c r="T1" i="1"/>
  <c r="T182" i="1"/>
  <c r="T29" i="8" s="1"/>
  <c r="T186" i="1"/>
  <c r="T148" i="10" s="1"/>
  <c r="T28" i="8"/>
  <c r="R24" i="9"/>
  <c r="R27" i="8"/>
  <c r="R186" i="1"/>
  <c r="R148" i="10" s="1"/>
  <c r="R182" i="1"/>
  <c r="R26" i="9"/>
  <c r="R28" i="8"/>
  <c r="L24" i="9"/>
  <c r="L27" i="8"/>
  <c r="AG218" i="1"/>
  <c r="AH285" i="1"/>
  <c r="BF169" i="1"/>
  <c r="P170" i="1"/>
  <c r="P21" i="9"/>
  <c r="P181" i="1"/>
  <c r="P26" i="8"/>
  <c r="S24" i="9"/>
  <c r="S27" i="8"/>
  <c r="O219" i="1"/>
  <c r="BE203" i="1"/>
  <c r="BE219" i="1" s="1"/>
  <c r="H28" i="8"/>
  <c r="H26" i="9"/>
  <c r="V28" i="8"/>
  <c r="V182" i="1"/>
  <c r="V29" i="8" s="1"/>
  <c r="V186" i="1"/>
  <c r="V148" i="10" s="1"/>
  <c r="P18" i="9"/>
  <c r="Q19" i="9"/>
  <c r="AI312" i="1"/>
  <c r="AH261" i="1"/>
  <c r="K15" i="9"/>
  <c r="K40" i="10" s="1"/>
  <c r="K39" i="10"/>
  <c r="O161" i="1"/>
  <c r="BE157" i="1"/>
  <c r="BE161" i="1" s="1"/>
  <c r="Y17" i="9" s="1"/>
  <c r="L182" i="1"/>
  <c r="L28" i="8"/>
  <c r="L186" i="1"/>
  <c r="L148" i="10" s="1"/>
  <c r="L26" i="9"/>
  <c r="Y28" i="8"/>
  <c r="Y182" i="1"/>
  <c r="Y29" i="8" s="1"/>
  <c r="Y186" i="1"/>
  <c r="Y148" i="10" s="1"/>
  <c r="O39" i="10"/>
  <c r="O15" i="9"/>
  <c r="O40" i="10" s="1"/>
  <c r="S186" i="1"/>
  <c r="S148" i="10" s="1"/>
  <c r="S28" i="8"/>
  <c r="S182" i="1"/>
  <c r="S26" i="9"/>
  <c r="I23" i="9"/>
  <c r="H22" i="9"/>
  <c r="AI284" i="1"/>
  <c r="AH217" i="1"/>
  <c r="K161" i="1"/>
  <c r="BD157" i="1"/>
  <c r="BD161" i="1" s="1"/>
  <c r="BD203" i="1"/>
  <c r="BD219" i="1" s="1"/>
  <c r="K219" i="1"/>
  <c r="L22" i="9"/>
  <c r="E23" i="9"/>
  <c r="I22" i="9"/>
  <c r="U28" i="8"/>
  <c r="U182" i="1"/>
  <c r="U186" i="1"/>
  <c r="U148" i="10" s="1"/>
  <c r="BG181" i="1"/>
  <c r="G241" i="1"/>
  <c r="F268" i="1"/>
  <c r="F43" i="8" s="1"/>
  <c r="AH213" i="1"/>
  <c r="AI272" i="1"/>
  <c r="AD23" i="1"/>
  <c r="AD22" i="1" s="1"/>
  <c r="AJ36" i="1"/>
  <c r="AJ38" i="1"/>
  <c r="AJ35" i="1"/>
  <c r="AJ39" i="1" s="1"/>
  <c r="AK37" i="1"/>
  <c r="AI343" i="1"/>
  <c r="AI342" i="1" s="1"/>
  <c r="R492" i="1"/>
  <c r="R494" i="1" s="1"/>
  <c r="P473" i="1"/>
  <c r="N434" i="1"/>
  <c r="N435" i="1" s="1"/>
  <c r="M436" i="1"/>
  <c r="M435" i="1"/>
  <c r="AJ322" i="1"/>
  <c r="AJ323" i="1"/>
  <c r="AK324" i="1"/>
  <c r="AJ325" i="1"/>
  <c r="Q494" i="1"/>
  <c r="Q496" i="1" s="1"/>
  <c r="AL271" i="1"/>
  <c r="AL215" i="1" s="1"/>
  <c r="R467" i="1"/>
  <c r="R468" i="1" s="1"/>
  <c r="R416" i="1"/>
  <c r="R417" i="1" s="1"/>
  <c r="O419" i="1"/>
  <c r="O422" i="1" s="1"/>
  <c r="Q469" i="1"/>
  <c r="Q471" i="1" s="1"/>
  <c r="AK215" i="1"/>
  <c r="Q447" i="1"/>
  <c r="Q446" i="1"/>
  <c r="AD61" i="1"/>
  <c r="AD62" i="1" s="1"/>
  <c r="AE48" i="1" s="1"/>
  <c r="AU146" i="1" l="1"/>
  <c r="AU145" i="1" s="1"/>
  <c r="AY146" i="1" s="1"/>
  <c r="AX146" i="1"/>
  <c r="AX145" i="1" s="1"/>
  <c r="AV146" i="1"/>
  <c r="AV148" i="1"/>
  <c r="AS146" i="1"/>
  <c r="AS145" i="1" s="1"/>
  <c r="AW146" i="1" s="1"/>
  <c r="N27" i="8"/>
  <c r="N24" i="9"/>
  <c r="N182" i="1"/>
  <c r="N28" i="8"/>
  <c r="N26" i="9"/>
  <c r="N36" i="9" s="1"/>
  <c r="N186" i="1"/>
  <c r="N148" i="10" s="1"/>
  <c r="L488" i="1"/>
  <c r="L490" i="1" s="1"/>
  <c r="AX49" i="1"/>
  <c r="AO33" i="8"/>
  <c r="AA21" i="9"/>
  <c r="G25" i="8"/>
  <c r="G17" i="9"/>
  <c r="G169" i="1"/>
  <c r="G114" i="1"/>
  <c r="G14" i="9"/>
  <c r="G219" i="1"/>
  <c r="G240" i="1" s="1"/>
  <c r="G242" i="1" s="1"/>
  <c r="H241" i="1" s="1"/>
  <c r="H242" i="1" s="1"/>
  <c r="I241" i="1" s="1"/>
  <c r="BC203" i="1"/>
  <c r="BC219" i="1" s="1"/>
  <c r="BC114" i="1"/>
  <c r="AO62" i="8"/>
  <c r="AO63" i="8" s="1"/>
  <c r="W14" i="9"/>
  <c r="W15" i="9" s="1"/>
  <c r="BD401" i="1"/>
  <c r="X38" i="9"/>
  <c r="X41" i="9" s="1"/>
  <c r="L463" i="1"/>
  <c r="L465" i="1" s="1"/>
  <c r="L394" i="1"/>
  <c r="AY51" i="1"/>
  <c r="AY53" i="1"/>
  <c r="AY50" i="1"/>
  <c r="BG170" i="1"/>
  <c r="AR43" i="8" s="1"/>
  <c r="X28" i="8"/>
  <c r="X182" i="1"/>
  <c r="X29" i="8" s="1"/>
  <c r="X186" i="1"/>
  <c r="X148" i="10" s="1"/>
  <c r="W28" i="8"/>
  <c r="W186" i="1"/>
  <c r="W148" i="10" s="1"/>
  <c r="W182" i="1"/>
  <c r="W29" i="8" s="1"/>
  <c r="F23" i="9"/>
  <c r="I28" i="9"/>
  <c r="Q22" i="9"/>
  <c r="J28" i="9"/>
  <c r="Q27" i="8"/>
  <c r="Q24" i="9"/>
  <c r="M28" i="8"/>
  <c r="M186" i="1"/>
  <c r="M148" i="10" s="1"/>
  <c r="M26" i="9"/>
  <c r="M28" i="9" s="1"/>
  <c r="M182" i="1"/>
  <c r="M27" i="8"/>
  <c r="M24" i="9"/>
  <c r="Q182" i="1"/>
  <c r="Q26" i="9"/>
  <c r="R28" i="9" s="1"/>
  <c r="Q28" i="8"/>
  <c r="Q186" i="1"/>
  <c r="Q148" i="10" s="1"/>
  <c r="M22" i="9"/>
  <c r="N23" i="9"/>
  <c r="F28" i="8"/>
  <c r="F26" i="9"/>
  <c r="J27" i="9" s="1"/>
  <c r="BJ286" i="1"/>
  <c r="AJ286" i="1"/>
  <c r="AI207" i="1"/>
  <c r="BJ207" i="1" s="1"/>
  <c r="N27" i="9"/>
  <c r="R418" i="1"/>
  <c r="R420" i="1" s="1"/>
  <c r="R36" i="9"/>
  <c r="U1" i="1"/>
  <c r="T464" i="1"/>
  <c r="T448" i="1"/>
  <c r="T443" i="1" s="1"/>
  <c r="T445" i="1" s="1"/>
  <c r="T421" i="1"/>
  <c r="R29" i="9"/>
  <c r="R29" i="8"/>
  <c r="S445" i="1"/>
  <c r="U29" i="8"/>
  <c r="BD254" i="1"/>
  <c r="BD240" i="1"/>
  <c r="AI217" i="1"/>
  <c r="BJ217" i="1" s="1"/>
  <c r="BJ284" i="1"/>
  <c r="AJ284" i="1"/>
  <c r="S28" i="9"/>
  <c r="S36" i="9"/>
  <c r="L36" i="9"/>
  <c r="L27" i="9"/>
  <c r="L29" i="9"/>
  <c r="L29" i="8"/>
  <c r="O17" i="9"/>
  <c r="O169" i="1"/>
  <c r="O25" i="8"/>
  <c r="P26" i="9"/>
  <c r="P28" i="8"/>
  <c r="P186" i="1"/>
  <c r="P148" i="10" s="1"/>
  <c r="P182" i="1"/>
  <c r="BF181" i="1"/>
  <c r="AI285" i="1"/>
  <c r="AH218" i="1"/>
  <c r="BD169" i="1"/>
  <c r="X17" i="9"/>
  <c r="X18" i="9" s="1"/>
  <c r="S29" i="8"/>
  <c r="S29" i="9"/>
  <c r="AI261" i="1"/>
  <c r="BJ261" i="1" s="1"/>
  <c r="BJ312" i="1"/>
  <c r="AJ312" i="1"/>
  <c r="BE254" i="1"/>
  <c r="BE240" i="1"/>
  <c r="Q23" i="9"/>
  <c r="P22" i="9"/>
  <c r="AI213" i="1"/>
  <c r="BJ213" i="1" s="1"/>
  <c r="AJ272" i="1"/>
  <c r="BJ272" i="1"/>
  <c r="AA26" i="9"/>
  <c r="BG186" i="1"/>
  <c r="K25" i="8"/>
  <c r="K17" i="9"/>
  <c r="K169" i="1"/>
  <c r="O369" i="1"/>
  <c r="O254" i="1"/>
  <c r="O218" i="10" s="1"/>
  <c r="O240" i="1"/>
  <c r="P24" i="9"/>
  <c r="BF170" i="1"/>
  <c r="P27" i="8"/>
  <c r="Q449" i="1"/>
  <c r="R447" i="1" s="1"/>
  <c r="K254" i="1"/>
  <c r="K218" i="10" s="1"/>
  <c r="K240" i="1"/>
  <c r="K242" i="1" s="1"/>
  <c r="L241" i="1" s="1"/>
  <c r="Z18" i="9"/>
  <c r="AN42" i="8"/>
  <c r="Z21" i="9"/>
  <c r="AD25" i="1"/>
  <c r="AK35" i="1"/>
  <c r="AK39" i="1" s="1"/>
  <c r="AK38" i="1"/>
  <c r="AL37" i="1"/>
  <c r="AK36" i="1"/>
  <c r="AJ343" i="1"/>
  <c r="AJ342" i="1" s="1"/>
  <c r="M438" i="1"/>
  <c r="M440" i="1" s="1"/>
  <c r="S492" i="1"/>
  <c r="P419" i="1"/>
  <c r="P422" i="1" s="1"/>
  <c r="S467" i="1"/>
  <c r="S469" i="1" s="1"/>
  <c r="AM271" i="1"/>
  <c r="Q470" i="1"/>
  <c r="Q473" i="1" s="1"/>
  <c r="Q497" i="1"/>
  <c r="Q498" i="1" s="1"/>
  <c r="R495" i="1" s="1"/>
  <c r="S416" i="1"/>
  <c r="S417" i="1" s="1"/>
  <c r="R469" i="1"/>
  <c r="R471" i="1" s="1"/>
  <c r="AK323" i="1"/>
  <c r="AK322" i="1"/>
  <c r="AK325" i="1"/>
  <c r="AL324" i="1"/>
  <c r="N436" i="1"/>
  <c r="R493" i="1"/>
  <c r="R496" i="1" s="1"/>
  <c r="AD26" i="1"/>
  <c r="AE55" i="1"/>
  <c r="AE56" i="1" s="1"/>
  <c r="AJ44" i="1"/>
  <c r="AJ45" i="1"/>
  <c r="AJ47" i="1"/>
  <c r="AY148" i="1" l="1"/>
  <c r="AY145" i="1" s="1"/>
  <c r="AV145" i="1"/>
  <c r="AW148" i="1"/>
  <c r="AW145" i="1" s="1"/>
  <c r="R27" i="9"/>
  <c r="N29" i="8"/>
  <c r="N29" i="9"/>
  <c r="AA24" i="9"/>
  <c r="M487" i="1"/>
  <c r="M489" i="1"/>
  <c r="M484" i="1" s="1"/>
  <c r="AY49" i="1"/>
  <c r="AO34" i="8"/>
  <c r="BC254" i="1"/>
  <c r="BC240" i="1"/>
  <c r="BC242" i="1" s="1"/>
  <c r="BD241" i="1" s="1"/>
  <c r="BD242" i="1" s="1"/>
  <c r="BE241" i="1" s="1"/>
  <c r="BE242" i="1" s="1"/>
  <c r="BF241" i="1" s="1"/>
  <c r="BF242" i="1" s="1"/>
  <c r="BG241" i="1" s="1"/>
  <c r="BG242" i="1" s="1"/>
  <c r="BH241" i="1" s="1"/>
  <c r="G21" i="9"/>
  <c r="G26" i="8"/>
  <c r="H19" i="9"/>
  <c r="G19" i="9"/>
  <c r="G15" i="9"/>
  <c r="G40" i="10" s="1"/>
  <c r="G39" i="10"/>
  <c r="M464" i="1"/>
  <c r="M459" i="1" s="1"/>
  <c r="L393" i="1"/>
  <c r="M462" i="1"/>
  <c r="BG182" i="1"/>
  <c r="AR44" i="8" s="1"/>
  <c r="BK271" i="1"/>
  <c r="AN271" i="1"/>
  <c r="AN215" i="1" s="1"/>
  <c r="AK286" i="1"/>
  <c r="AJ207" i="1"/>
  <c r="Q36" i="9"/>
  <c r="Q27" i="9"/>
  <c r="M29" i="9"/>
  <c r="M29" i="8"/>
  <c r="Q29" i="9"/>
  <c r="Q29" i="8"/>
  <c r="M27" i="9"/>
  <c r="M36" i="9"/>
  <c r="N28" i="9"/>
  <c r="R446" i="1"/>
  <c r="R449" i="1" s="1"/>
  <c r="Y18" i="9"/>
  <c r="T444" i="1"/>
  <c r="V1" i="1"/>
  <c r="U448" i="1"/>
  <c r="U443" i="1" s="1"/>
  <c r="U464" i="1"/>
  <c r="U421" i="1"/>
  <c r="AJ261" i="1"/>
  <c r="AK312" i="1"/>
  <c r="AJ285" i="1"/>
  <c r="BJ285" i="1"/>
  <c r="AI218" i="1"/>
  <c r="BJ218" i="1" s="1"/>
  <c r="O170" i="1"/>
  <c r="O21" i="9"/>
  <c r="O181" i="1"/>
  <c r="O26" i="8"/>
  <c r="BE169" i="1"/>
  <c r="AK284" i="1"/>
  <c r="AJ217" i="1"/>
  <c r="Z26" i="9"/>
  <c r="AA27" i="9" s="1"/>
  <c r="BF186" i="1"/>
  <c r="O18" i="9"/>
  <c r="O19" i="9"/>
  <c r="S18" i="9"/>
  <c r="P19" i="9"/>
  <c r="L368" i="1"/>
  <c r="L370" i="1" s="1"/>
  <c r="L372" i="1" s="1"/>
  <c r="L374" i="1" s="1"/>
  <c r="L376" i="1" s="1"/>
  <c r="L242" i="1"/>
  <c r="M241" i="1" s="1"/>
  <c r="AN43" i="8"/>
  <c r="Z24" i="9"/>
  <c r="AM82" i="8"/>
  <c r="K170" i="1"/>
  <c r="K181" i="1"/>
  <c r="K26" i="8"/>
  <c r="K21" i="9"/>
  <c r="AM84" i="8"/>
  <c r="AA36" i="9"/>
  <c r="X21" i="9"/>
  <c r="X22" i="9" s="1"/>
  <c r="BD181" i="1"/>
  <c r="AM66" i="8"/>
  <c r="BD170" i="1"/>
  <c r="X24" i="9" s="1"/>
  <c r="P29" i="9"/>
  <c r="P29" i="8"/>
  <c r="BF182" i="1"/>
  <c r="Z29" i="9" s="1"/>
  <c r="AA22" i="9"/>
  <c r="AK272" i="1"/>
  <c r="AL272" i="1" s="1"/>
  <c r="Q28" i="9"/>
  <c r="P36" i="9"/>
  <c r="P27" i="9"/>
  <c r="K18" i="9"/>
  <c r="K19" i="9"/>
  <c r="L19" i="9"/>
  <c r="AJ213" i="1"/>
  <c r="AL36" i="1"/>
  <c r="AM37" i="1"/>
  <c r="AN37" i="1" s="1"/>
  <c r="AL35" i="1"/>
  <c r="AL39" i="1" s="1"/>
  <c r="AL38" i="1"/>
  <c r="AK343" i="1"/>
  <c r="AK342" i="1" s="1"/>
  <c r="R497" i="1"/>
  <c r="R498" i="1" s="1"/>
  <c r="S495" i="1" s="1"/>
  <c r="R470" i="1"/>
  <c r="R473" i="1" s="1"/>
  <c r="T416" i="1"/>
  <c r="T418" i="1" s="1"/>
  <c r="AM215" i="1"/>
  <c r="BK215" i="1" s="1"/>
  <c r="T467" i="1"/>
  <c r="T468" i="1" s="1"/>
  <c r="Q419" i="1"/>
  <c r="Q422" i="1" s="1"/>
  <c r="N437" i="1"/>
  <c r="N373" i="1"/>
  <c r="T492" i="1"/>
  <c r="T494" i="1" s="1"/>
  <c r="AL322" i="1"/>
  <c r="AL323" i="1"/>
  <c r="AL325" i="1"/>
  <c r="S418" i="1"/>
  <c r="S468" i="1"/>
  <c r="S471" i="1" s="1"/>
  <c r="S494" i="1"/>
  <c r="N438" i="1"/>
  <c r="S493" i="1"/>
  <c r="AE25" i="1"/>
  <c r="AE23" i="1"/>
  <c r="AE22" i="1" s="1"/>
  <c r="AE61" i="1"/>
  <c r="AE62" i="1" s="1"/>
  <c r="AF48" i="1" s="1"/>
  <c r="M485" i="1" l="1"/>
  <c r="M486" i="1"/>
  <c r="AA29" i="9"/>
  <c r="G23" i="9"/>
  <c r="H23" i="9"/>
  <c r="M460" i="1"/>
  <c r="M461" i="1"/>
  <c r="L402" i="1"/>
  <c r="L201" i="10" s="1"/>
  <c r="L38" i="9"/>
  <c r="L41" i="9" s="1"/>
  <c r="L401" i="1"/>
  <c r="AN325" i="1"/>
  <c r="AN323" i="1"/>
  <c r="AN322" i="1"/>
  <c r="AN35" i="1"/>
  <c r="AN39" i="1" s="1"/>
  <c r="AO37" i="1"/>
  <c r="AN38" i="1"/>
  <c r="AN36" i="1"/>
  <c r="AO271" i="1"/>
  <c r="AO215" i="1" s="1"/>
  <c r="S447" i="1"/>
  <c r="S446" i="1"/>
  <c r="AL286" i="1"/>
  <c r="AK207" i="1"/>
  <c r="T469" i="1"/>
  <c r="T471" i="1" s="1"/>
  <c r="T493" i="1"/>
  <c r="T496" i="1" s="1"/>
  <c r="T417" i="1"/>
  <c r="T420" i="1" s="1"/>
  <c r="V464" i="1"/>
  <c r="V421" i="1"/>
  <c r="W1" i="1"/>
  <c r="V451" i="1"/>
  <c r="V448" i="1"/>
  <c r="V443" i="1" s="1"/>
  <c r="AL213" i="1"/>
  <c r="AM272" i="1"/>
  <c r="AK213" i="1"/>
  <c r="BD186" i="1"/>
  <c r="BD182" i="1"/>
  <c r="X29" i="9" s="1"/>
  <c r="X26" i="9"/>
  <c r="K24" i="9"/>
  <c r="K27" i="8"/>
  <c r="M242" i="1"/>
  <c r="M368" i="1"/>
  <c r="M370" i="1" s="1"/>
  <c r="M372" i="1" s="1"/>
  <c r="M374" i="1" s="1"/>
  <c r="M376" i="1" s="1"/>
  <c r="O28" i="8"/>
  <c r="O186" i="1"/>
  <c r="O148" i="10" s="1"/>
  <c r="O26" i="9"/>
  <c r="O182" i="1"/>
  <c r="BE181" i="1"/>
  <c r="AK217" i="1"/>
  <c r="AL284" i="1"/>
  <c r="S22" i="9"/>
  <c r="O23" i="9"/>
  <c r="O22" i="9"/>
  <c r="P23" i="9"/>
  <c r="AK285" i="1"/>
  <c r="AJ218" i="1"/>
  <c r="AM52" i="8"/>
  <c r="Y21" i="9"/>
  <c r="O27" i="8"/>
  <c r="O24" i="9"/>
  <c r="BE170" i="1"/>
  <c r="AL312" i="1"/>
  <c r="AK261" i="1"/>
  <c r="K23" i="9"/>
  <c r="K22" i="9"/>
  <c r="L23" i="9"/>
  <c r="K182" i="1"/>
  <c r="K26" i="9"/>
  <c r="K28" i="8"/>
  <c r="K186" i="1"/>
  <c r="K148" i="10" s="1"/>
  <c r="Z36" i="9"/>
  <c r="AM38" i="1"/>
  <c r="AM36" i="1"/>
  <c r="AM35" i="1"/>
  <c r="AM39" i="1" s="1"/>
  <c r="AL343" i="1"/>
  <c r="AM343" i="1" s="1"/>
  <c r="S420" i="1"/>
  <c r="S470" i="1"/>
  <c r="AM323" i="1"/>
  <c r="AM322" i="1"/>
  <c r="AM325" i="1"/>
  <c r="U445" i="1"/>
  <c r="R419" i="1"/>
  <c r="R422" i="1" s="1"/>
  <c r="U444" i="1"/>
  <c r="S496" i="1"/>
  <c r="S497" i="1" s="1"/>
  <c r="S498" i="1" s="1"/>
  <c r="T495" i="1" s="1"/>
  <c r="U492" i="1"/>
  <c r="U493" i="1" s="1"/>
  <c r="N440" i="1"/>
  <c r="U467" i="1"/>
  <c r="U416" i="1"/>
  <c r="U418" i="1" s="1"/>
  <c r="AE26" i="1"/>
  <c r="AK44" i="1"/>
  <c r="AK47" i="1"/>
  <c r="AK45" i="1"/>
  <c r="AF55" i="1"/>
  <c r="AF56" i="1" s="1"/>
  <c r="M488" i="1" l="1"/>
  <c r="M490" i="1" s="1"/>
  <c r="M463" i="1"/>
  <c r="M465" i="1" s="1"/>
  <c r="M394" i="1"/>
  <c r="AO35" i="1"/>
  <c r="AO39" i="1" s="1"/>
  <c r="AP37" i="1"/>
  <c r="AQ37" i="1" s="1"/>
  <c r="AO38" i="1"/>
  <c r="AO36" i="1"/>
  <c r="AO323" i="1"/>
  <c r="AO325" i="1"/>
  <c r="AO322" i="1"/>
  <c r="BK272" i="1"/>
  <c r="AN272" i="1"/>
  <c r="AN213" i="1" s="1"/>
  <c r="AP271" i="1"/>
  <c r="BK39" i="1"/>
  <c r="AM342" i="1"/>
  <c r="AN343" i="1"/>
  <c r="S449" i="1"/>
  <c r="T446" i="1" s="1"/>
  <c r="AL207" i="1"/>
  <c r="AM286" i="1"/>
  <c r="AN286" i="1" s="1"/>
  <c r="AM213" i="1"/>
  <c r="BK213" i="1" s="1"/>
  <c r="V453" i="1"/>
  <c r="V452" i="1"/>
  <c r="W421" i="1"/>
  <c r="W451" i="1"/>
  <c r="W453" i="1" s="1"/>
  <c r="W464" i="1"/>
  <c r="W448" i="1"/>
  <c r="W443" i="1" s="1"/>
  <c r="W444" i="1" s="1"/>
  <c r="X1" i="1"/>
  <c r="Y24" i="9"/>
  <c r="AM53" i="8"/>
  <c r="Y26" i="9"/>
  <c r="BE186" i="1"/>
  <c r="K29" i="8"/>
  <c r="K29" i="9"/>
  <c r="AL217" i="1"/>
  <c r="AM284" i="1"/>
  <c r="AN284" i="1" s="1"/>
  <c r="O36" i="9"/>
  <c r="O28" i="9"/>
  <c r="O27" i="9"/>
  <c r="S27" i="9"/>
  <c r="P28" i="9"/>
  <c r="X36" i="9"/>
  <c r="X27" i="9"/>
  <c r="K28" i="9"/>
  <c r="K36" i="9"/>
  <c r="L28" i="9"/>
  <c r="AK218" i="1"/>
  <c r="AL285" i="1"/>
  <c r="O29" i="8"/>
  <c r="O29" i="9"/>
  <c r="BE182" i="1"/>
  <c r="Y29" i="9" s="1"/>
  <c r="AM312" i="1"/>
  <c r="AN312" i="1" s="1"/>
  <c r="AL261" i="1"/>
  <c r="Y22" i="9"/>
  <c r="Z22" i="9"/>
  <c r="M268" i="1"/>
  <c r="N241" i="1"/>
  <c r="AL342" i="1"/>
  <c r="T497" i="1"/>
  <c r="T498" i="1" s="1"/>
  <c r="U495" i="1" s="1"/>
  <c r="O439" i="1"/>
  <c r="O434" i="1" s="1"/>
  <c r="O437" i="1"/>
  <c r="O373" i="1"/>
  <c r="V467" i="1"/>
  <c r="V469" i="1" s="1"/>
  <c r="V416" i="1"/>
  <c r="U468" i="1"/>
  <c r="S419" i="1"/>
  <c r="S422" i="1" s="1"/>
  <c r="S472" i="1"/>
  <c r="S473" i="1" s="1"/>
  <c r="T470" i="1" s="1"/>
  <c r="V445" i="1"/>
  <c r="V492" i="1"/>
  <c r="V493" i="1" s="1"/>
  <c r="U417" i="1"/>
  <c r="U420" i="1" s="1"/>
  <c r="U469" i="1"/>
  <c r="U494" i="1"/>
  <c r="U496" i="1" s="1"/>
  <c r="V444" i="1"/>
  <c r="AF23" i="1"/>
  <c r="AF22" i="1" s="1"/>
  <c r="AF25" i="1"/>
  <c r="AF61" i="1"/>
  <c r="AF62" i="1" s="1"/>
  <c r="AG48" i="1" s="1"/>
  <c r="N489" i="1" l="1"/>
  <c r="N484" i="1" s="1"/>
  <c r="N487" i="1"/>
  <c r="N462" i="1"/>
  <c r="N464" i="1"/>
  <c r="N459" i="1" s="1"/>
  <c r="M393" i="1"/>
  <c r="AQ36" i="1"/>
  <c r="AR37" i="1"/>
  <c r="AQ35" i="1"/>
  <c r="AQ39" i="1" s="1"/>
  <c r="AQ38" i="1"/>
  <c r="AP215" i="1"/>
  <c r="AQ271" i="1"/>
  <c r="AQ215" i="1" s="1"/>
  <c r="AQ322" i="1"/>
  <c r="AQ325" i="1"/>
  <c r="AQ323" i="1"/>
  <c r="AP322" i="1"/>
  <c r="AP323" i="1"/>
  <c r="AP325" i="1"/>
  <c r="AP36" i="1"/>
  <c r="AP35" i="1"/>
  <c r="AP39" i="1" s="1"/>
  <c r="AP38" i="1"/>
  <c r="AN261" i="1"/>
  <c r="AO312" i="1"/>
  <c r="AN207" i="1"/>
  <c r="AO286" i="1"/>
  <c r="AN217" i="1"/>
  <c r="AO284" i="1"/>
  <c r="AO272" i="1"/>
  <c r="AO213" i="1" s="1"/>
  <c r="AO343" i="1"/>
  <c r="AN342" i="1"/>
  <c r="T447" i="1"/>
  <c r="T449" i="1" s="1"/>
  <c r="U447" i="1" s="1"/>
  <c r="AM207" i="1"/>
  <c r="BK207" i="1" s="1"/>
  <c r="BK286" i="1"/>
  <c r="V494" i="1"/>
  <c r="V496" i="1" s="1"/>
  <c r="U471" i="1"/>
  <c r="V455" i="1"/>
  <c r="V457" i="1" s="1"/>
  <c r="W454" i="1" s="1"/>
  <c r="X430" i="1"/>
  <c r="X425" i="1" s="1"/>
  <c r="X464" i="1"/>
  <c r="X448" i="1"/>
  <c r="X443" i="1" s="1"/>
  <c r="X444" i="1" s="1"/>
  <c r="X421" i="1"/>
  <c r="Y1" i="1"/>
  <c r="X456" i="1"/>
  <c r="X451" i="1" s="1"/>
  <c r="W452" i="1"/>
  <c r="W455" i="1" s="1"/>
  <c r="V468" i="1"/>
  <c r="V471" i="1" s="1"/>
  <c r="N242" i="1"/>
  <c r="N368" i="1"/>
  <c r="N370" i="1" s="1"/>
  <c r="N372" i="1" s="1"/>
  <c r="N374" i="1" s="1"/>
  <c r="N376" i="1" s="1"/>
  <c r="M43" i="8"/>
  <c r="M276" i="1"/>
  <c r="M301" i="1" s="1"/>
  <c r="M397" i="1"/>
  <c r="M399" i="1"/>
  <c r="AM261" i="1"/>
  <c r="BK261" i="1" s="1"/>
  <c r="BK312" i="1"/>
  <c r="AL218" i="1"/>
  <c r="AM285" i="1"/>
  <c r="AN285" i="1" s="1"/>
  <c r="AM217" i="1"/>
  <c r="BK217" i="1" s="1"/>
  <c r="BK284" i="1"/>
  <c r="Y27" i="9"/>
  <c r="Y36" i="9"/>
  <c r="Z27" i="9"/>
  <c r="T472" i="1"/>
  <c r="T473" i="1" s="1"/>
  <c r="U470" i="1" s="1"/>
  <c r="U497" i="1"/>
  <c r="U498" i="1" s="1"/>
  <c r="V495" i="1" s="1"/>
  <c r="W416" i="1"/>
  <c r="W418" i="1" s="1"/>
  <c r="T419" i="1"/>
  <c r="T422" i="1" s="1"/>
  <c r="V417" i="1"/>
  <c r="W445" i="1"/>
  <c r="W492" i="1"/>
  <c r="W493" i="1" s="1"/>
  <c r="V418" i="1"/>
  <c r="W467" i="1"/>
  <c r="W468" i="1" s="1"/>
  <c r="O436" i="1"/>
  <c r="O435" i="1"/>
  <c r="AF26" i="1"/>
  <c r="AG55" i="1"/>
  <c r="AG56" i="1" s="1"/>
  <c r="AL44" i="1"/>
  <c r="AL45" i="1"/>
  <c r="AL47" i="1"/>
  <c r="N486" i="1" l="1"/>
  <c r="N485" i="1"/>
  <c r="W457" i="1"/>
  <c r="X454" i="1" s="1"/>
  <c r="M38" i="9"/>
  <c r="M401" i="1"/>
  <c r="N461" i="1"/>
  <c r="N460" i="1"/>
  <c r="AR36" i="1"/>
  <c r="AS37" i="1"/>
  <c r="AR38" i="1"/>
  <c r="AR35" i="1"/>
  <c r="AR39" i="1" s="1"/>
  <c r="AR271" i="1"/>
  <c r="AR215" i="1" s="1"/>
  <c r="AR325" i="1"/>
  <c r="AR322" i="1"/>
  <c r="AR323" i="1"/>
  <c r="U446" i="1"/>
  <c r="U449" i="1" s="1"/>
  <c r="BL39" i="1"/>
  <c r="AO261" i="1"/>
  <c r="AP312" i="1"/>
  <c r="AQ312" i="1" s="1"/>
  <c r="BL271" i="1"/>
  <c r="AP272" i="1"/>
  <c r="AQ272" i="1" s="1"/>
  <c r="AN218" i="1"/>
  <c r="AO285" i="1"/>
  <c r="BL215" i="1"/>
  <c r="AO217" i="1"/>
  <c r="AP284" i="1"/>
  <c r="AQ284" i="1" s="1"/>
  <c r="AO207" i="1"/>
  <c r="AP286" i="1"/>
  <c r="AQ286" i="1" s="1"/>
  <c r="AO342" i="1"/>
  <c r="AP343" i="1"/>
  <c r="AQ343" i="1" s="1"/>
  <c r="X452" i="1"/>
  <c r="X453" i="1"/>
  <c r="Y476" i="1"/>
  <c r="Y448" i="1"/>
  <c r="Y443" i="1" s="1"/>
  <c r="Y464" i="1"/>
  <c r="Z1" i="1"/>
  <c r="Y456" i="1"/>
  <c r="Y451" i="1" s="1"/>
  <c r="Y430" i="1"/>
  <c r="Y425" i="1" s="1"/>
  <c r="Y427" i="1" s="1"/>
  <c r="Y421" i="1"/>
  <c r="X426" i="1"/>
  <c r="X427" i="1"/>
  <c r="N268" i="1"/>
  <c r="O241" i="1"/>
  <c r="W417" i="1"/>
  <c r="W420" i="1" s="1"/>
  <c r="BK285" i="1"/>
  <c r="AM218" i="1"/>
  <c r="BK218" i="1" s="1"/>
  <c r="M39" i="9"/>
  <c r="M402" i="1"/>
  <c r="M201" i="10" s="1"/>
  <c r="V497" i="1"/>
  <c r="V498" i="1" s="1"/>
  <c r="W495" i="1" s="1"/>
  <c r="U472" i="1"/>
  <c r="U473" i="1" s="1"/>
  <c r="V470" i="1" s="1"/>
  <c r="O438" i="1"/>
  <c r="O440" i="1" s="1"/>
  <c r="U419" i="1"/>
  <c r="U422" i="1" s="1"/>
  <c r="V420" i="1"/>
  <c r="X467" i="1"/>
  <c r="X468" i="1" s="1"/>
  <c r="X492" i="1"/>
  <c r="X494" i="1" s="1"/>
  <c r="W469" i="1"/>
  <c r="W471" i="1" s="1"/>
  <c r="W494" i="1"/>
  <c r="W496" i="1" s="1"/>
  <c r="X416" i="1"/>
  <c r="X417" i="1" s="1"/>
  <c r="X445" i="1"/>
  <c r="AG25" i="1"/>
  <c r="AG23" i="1"/>
  <c r="AG22" i="1" s="1"/>
  <c r="AG61" i="1"/>
  <c r="AG62" i="1" s="1"/>
  <c r="AH48" i="1" s="1"/>
  <c r="AH55" i="1" s="1"/>
  <c r="AH56" i="1" s="1"/>
  <c r="AM47" i="1"/>
  <c r="AM44" i="1"/>
  <c r="AM45" i="1"/>
  <c r="N488" i="1" l="1"/>
  <c r="N490" i="1" s="1"/>
  <c r="M41" i="9"/>
  <c r="N463" i="1"/>
  <c r="N465" i="1" s="1"/>
  <c r="N394" i="1"/>
  <c r="AS38" i="1"/>
  <c r="AS35" i="1"/>
  <c r="AS39" i="1" s="1"/>
  <c r="AS36" i="1"/>
  <c r="AT37" i="1"/>
  <c r="AQ261" i="1"/>
  <c r="AR312" i="1"/>
  <c r="AQ217" i="1"/>
  <c r="AR284" i="1"/>
  <c r="AQ213" i="1"/>
  <c r="AR272" i="1"/>
  <c r="AS272" i="1" s="1"/>
  <c r="AR286" i="1"/>
  <c r="AQ207" i="1"/>
  <c r="AS271" i="1"/>
  <c r="AS323" i="1"/>
  <c r="AS322" i="1"/>
  <c r="AS325" i="1"/>
  <c r="AQ342" i="1"/>
  <c r="AR343" i="1"/>
  <c r="AP261" i="1"/>
  <c r="AP217" i="1"/>
  <c r="AO218" i="1"/>
  <c r="AP285" i="1"/>
  <c r="AQ285" i="1" s="1"/>
  <c r="AP207" i="1"/>
  <c r="AP213" i="1"/>
  <c r="AP342" i="1"/>
  <c r="X455" i="1"/>
  <c r="X457" i="1" s="1"/>
  <c r="Y454" i="1" s="1"/>
  <c r="Y426" i="1"/>
  <c r="Y429" i="1" s="1"/>
  <c r="X469" i="1"/>
  <c r="X471" i="1" s="1"/>
  <c r="V447" i="1"/>
  <c r="V446" i="1"/>
  <c r="X429" i="1"/>
  <c r="X431" i="1" s="1"/>
  <c r="Y428" i="1" s="1"/>
  <c r="Y431" i="1" s="1"/>
  <c r="Z428" i="1" s="1"/>
  <c r="Y453" i="1"/>
  <c r="Y452" i="1"/>
  <c r="Z464" i="1"/>
  <c r="Z421" i="1"/>
  <c r="Z430" i="1"/>
  <c r="Z425" i="1" s="1"/>
  <c r="AA1" i="1"/>
  <c r="Z448" i="1"/>
  <c r="Z443" i="1" s="1"/>
  <c r="Z445" i="1" s="1"/>
  <c r="Z456" i="1"/>
  <c r="Z451" i="1" s="1"/>
  <c r="Y478" i="1"/>
  <c r="Y477" i="1"/>
  <c r="Y445" i="1"/>
  <c r="O368" i="1"/>
  <c r="O370" i="1" s="1"/>
  <c r="O372" i="1" s="1"/>
  <c r="O374" i="1" s="1"/>
  <c r="O376" i="1" s="1"/>
  <c r="BE376" i="1" s="1"/>
  <c r="O242" i="1"/>
  <c r="N397" i="1"/>
  <c r="N43" i="8"/>
  <c r="N276" i="1"/>
  <c r="N301" i="1" s="1"/>
  <c r="N399" i="1"/>
  <c r="N39" i="9" s="1"/>
  <c r="W497" i="1"/>
  <c r="W498" i="1" s="1"/>
  <c r="X495" i="1" s="1"/>
  <c r="Y416" i="1"/>
  <c r="Y418" i="1" s="1"/>
  <c r="Y467" i="1"/>
  <c r="V419" i="1"/>
  <c r="V422" i="1" s="1"/>
  <c r="V472" i="1"/>
  <c r="V473" i="1" s="1"/>
  <c r="W470" i="1" s="1"/>
  <c r="X418" i="1"/>
  <c r="Y492" i="1"/>
  <c r="Y444" i="1"/>
  <c r="X493" i="1"/>
  <c r="X496" i="1" s="1"/>
  <c r="P373" i="1"/>
  <c r="P439" i="1"/>
  <c r="P434" i="1" s="1"/>
  <c r="P437" i="1"/>
  <c r="AG26" i="1"/>
  <c r="AH61" i="1"/>
  <c r="AH62" i="1" s="1"/>
  <c r="AI48" i="1" s="1"/>
  <c r="O487" i="1" l="1"/>
  <c r="O489" i="1"/>
  <c r="O484" i="1" s="1"/>
  <c r="O462" i="1"/>
  <c r="O464" i="1"/>
  <c r="O459" i="1" s="1"/>
  <c r="N393" i="1"/>
  <c r="N402" i="1" s="1"/>
  <c r="N201" i="10" s="1"/>
  <c r="AU37" i="1"/>
  <c r="AT38" i="1"/>
  <c r="AT35" i="1"/>
  <c r="AT39" i="1" s="1"/>
  <c r="AT36" i="1"/>
  <c r="AR261" i="1"/>
  <c r="AS312" i="1"/>
  <c r="AT271" i="1"/>
  <c r="AS213" i="1"/>
  <c r="AT272" i="1"/>
  <c r="AR285" i="1"/>
  <c r="AQ218" i="1"/>
  <c r="AR207" i="1"/>
  <c r="AS286" i="1"/>
  <c r="AS284" i="1"/>
  <c r="AR217" i="1"/>
  <c r="AS215" i="1"/>
  <c r="AR213" i="1"/>
  <c r="AT322" i="1"/>
  <c r="AT325" i="1"/>
  <c r="AT323" i="1"/>
  <c r="AR342" i="1"/>
  <c r="AS343" i="1"/>
  <c r="BL312" i="1"/>
  <c r="BL261" i="1"/>
  <c r="AP218" i="1"/>
  <c r="BL272" i="1"/>
  <c r="BL213" i="1"/>
  <c r="BL286" i="1"/>
  <c r="BL207" i="1"/>
  <c r="BL284" i="1"/>
  <c r="BL217" i="1"/>
  <c r="Y480" i="1"/>
  <c r="Y482" i="1" s="1"/>
  <c r="Z481" i="1" s="1"/>
  <c r="Z476" i="1" s="1"/>
  <c r="Z478" i="1" s="1"/>
  <c r="V449" i="1"/>
  <c r="Z453" i="1"/>
  <c r="Z452" i="1"/>
  <c r="Y455" i="1"/>
  <c r="Y457" i="1" s="1"/>
  <c r="Z454" i="1" s="1"/>
  <c r="AA456" i="1"/>
  <c r="AA451" i="1" s="1"/>
  <c r="AA464" i="1"/>
  <c r="AB1" i="1"/>
  <c r="Z426" i="1"/>
  <c r="Z427" i="1"/>
  <c r="Z444" i="1"/>
  <c r="O268" i="1"/>
  <c r="P241" i="1"/>
  <c r="W472" i="1"/>
  <c r="W473" i="1" s="1"/>
  <c r="X470" i="1" s="1"/>
  <c r="Z492" i="1"/>
  <c r="Z493" i="1" s="1"/>
  <c r="X420" i="1"/>
  <c r="Q434" i="1"/>
  <c r="Q436" i="1" s="1"/>
  <c r="P435" i="1"/>
  <c r="P436" i="1"/>
  <c r="Z467" i="1"/>
  <c r="X497" i="1"/>
  <c r="X498" i="1" s="1"/>
  <c r="Y495" i="1" s="1"/>
  <c r="Y493" i="1"/>
  <c r="Y469" i="1"/>
  <c r="Z416" i="1"/>
  <c r="Z417" i="1" s="1"/>
  <c r="W419" i="1"/>
  <c r="W422" i="1" s="1"/>
  <c r="Y494" i="1"/>
  <c r="Y468" i="1"/>
  <c r="Y417" i="1"/>
  <c r="Y420" i="1" s="1"/>
  <c r="AH23" i="1"/>
  <c r="AH22" i="1" s="1"/>
  <c r="AH25" i="1"/>
  <c r="AI55" i="1"/>
  <c r="AI56" i="1" s="1"/>
  <c r="O486" i="1" l="1"/>
  <c r="O485" i="1"/>
  <c r="N401" i="1"/>
  <c r="N38" i="9"/>
  <c r="N41" i="9" s="1"/>
  <c r="O460" i="1"/>
  <c r="O461" i="1"/>
  <c r="AT312" i="1"/>
  <c r="AS261" i="1"/>
  <c r="AU36" i="1"/>
  <c r="AU35" i="1"/>
  <c r="AU39" i="1" s="1"/>
  <c r="AV37" i="1"/>
  <c r="AU38" i="1"/>
  <c r="AU272" i="1"/>
  <c r="AU213" i="1" s="1"/>
  <c r="AT284" i="1"/>
  <c r="AS217" i="1"/>
  <c r="AS285" i="1"/>
  <c r="AR218" i="1"/>
  <c r="AU271" i="1"/>
  <c r="BM271" i="1" s="1"/>
  <c r="AS207" i="1"/>
  <c r="AT286" i="1"/>
  <c r="AT213" i="1"/>
  <c r="AT215" i="1"/>
  <c r="AU325" i="1"/>
  <c r="AU323" i="1"/>
  <c r="AU322" i="1"/>
  <c r="AT343" i="1"/>
  <c r="AS342" i="1"/>
  <c r="BL285" i="1"/>
  <c r="BL218" i="1"/>
  <c r="Z477" i="1"/>
  <c r="Z480" i="1" s="1"/>
  <c r="P438" i="1"/>
  <c r="P440" i="1" s="1"/>
  <c r="Q437" i="1" s="1"/>
  <c r="Z455" i="1"/>
  <c r="Z457" i="1" s="1"/>
  <c r="AA454" i="1" s="1"/>
  <c r="Z479" i="1"/>
  <c r="W446" i="1"/>
  <c r="W447" i="1"/>
  <c r="AA452" i="1"/>
  <c r="AA453" i="1"/>
  <c r="Z429" i="1"/>
  <c r="Z431" i="1" s="1"/>
  <c r="AA428" i="1" s="1"/>
  <c r="AA430" i="1" s="1"/>
  <c r="AA425" i="1" s="1"/>
  <c r="AA426" i="1" s="1"/>
  <c r="AB481" i="1"/>
  <c r="AB456" i="1"/>
  <c r="AB451" i="1" s="1"/>
  <c r="AB489" i="1"/>
  <c r="AB421" i="1"/>
  <c r="AB464" i="1"/>
  <c r="AB448" i="1"/>
  <c r="AC1" i="1"/>
  <c r="AB430" i="1"/>
  <c r="P368" i="1"/>
  <c r="P370" i="1" s="1"/>
  <c r="P372" i="1" s="1"/>
  <c r="P374" i="1" s="1"/>
  <c r="P376" i="1" s="1"/>
  <c r="P242" i="1"/>
  <c r="O276" i="1"/>
  <c r="O301" i="1" s="1"/>
  <c r="BE268" i="1"/>
  <c r="O397" i="1"/>
  <c r="BE397" i="1" s="1"/>
  <c r="O43" i="8"/>
  <c r="O399" i="1"/>
  <c r="O39" i="9" s="1"/>
  <c r="X472" i="1"/>
  <c r="X473" i="1" s="1"/>
  <c r="Y470" i="1" s="1"/>
  <c r="AA467" i="1"/>
  <c r="AA469" i="1" s="1"/>
  <c r="Y496" i="1"/>
  <c r="Y497" i="1" s="1"/>
  <c r="Y498" i="1" s="1"/>
  <c r="Z495" i="1" s="1"/>
  <c r="R434" i="1"/>
  <c r="R435" i="1" s="1"/>
  <c r="AA492" i="1"/>
  <c r="AA494" i="1" s="1"/>
  <c r="Z469" i="1"/>
  <c r="Q435" i="1"/>
  <c r="Q438" i="1" s="1"/>
  <c r="Z494" i="1"/>
  <c r="Z496" i="1" s="1"/>
  <c r="X419" i="1"/>
  <c r="X422" i="1" s="1"/>
  <c r="Z418" i="1"/>
  <c r="Y471" i="1"/>
  <c r="Z468" i="1"/>
  <c r="AH26" i="1"/>
  <c r="AI61" i="1"/>
  <c r="AI62" i="1" s="1"/>
  <c r="AJ48" i="1" s="1"/>
  <c r="O488" i="1" l="1"/>
  <c r="O490" i="1" s="1"/>
  <c r="AB425" i="1"/>
  <c r="AB427" i="1" s="1"/>
  <c r="O463" i="1"/>
  <c r="O465" i="1" s="1"/>
  <c r="O394" i="1"/>
  <c r="BE394" i="1" s="1"/>
  <c r="AA427" i="1"/>
  <c r="AA429" i="1" s="1"/>
  <c r="AA431" i="1" s="1"/>
  <c r="AB428" i="1" s="1"/>
  <c r="AV35" i="1"/>
  <c r="AV39" i="1" s="1"/>
  <c r="AW37" i="1"/>
  <c r="AV38" i="1"/>
  <c r="AV36" i="1"/>
  <c r="AT261" i="1"/>
  <c r="AU312" i="1"/>
  <c r="AT285" i="1"/>
  <c r="AS218" i="1"/>
  <c r="AV271" i="1"/>
  <c r="AV215" i="1" s="1"/>
  <c r="AU215" i="1"/>
  <c r="BM215" i="1" s="1"/>
  <c r="AT217" i="1"/>
  <c r="AU284" i="1"/>
  <c r="AU286" i="1"/>
  <c r="AT207" i="1"/>
  <c r="AV272" i="1"/>
  <c r="AV213" i="1" s="1"/>
  <c r="AV323" i="1"/>
  <c r="AV325" i="1"/>
  <c r="AV322" i="1"/>
  <c r="AU343" i="1"/>
  <c r="AT342" i="1"/>
  <c r="BM39" i="1"/>
  <c r="Q373" i="1"/>
  <c r="R436" i="1"/>
  <c r="R438" i="1" s="1"/>
  <c r="Z482" i="1"/>
  <c r="W449" i="1"/>
  <c r="AB453" i="1"/>
  <c r="AB452" i="1"/>
  <c r="AC464" i="1"/>
  <c r="AC489" i="1"/>
  <c r="AC430" i="1"/>
  <c r="AC505" i="1"/>
  <c r="AC500" i="1" s="1"/>
  <c r="AC456" i="1"/>
  <c r="AC451" i="1" s="1"/>
  <c r="AC481" i="1"/>
  <c r="AC421" i="1"/>
  <c r="AC448" i="1"/>
  <c r="AD1" i="1"/>
  <c r="AA455" i="1"/>
  <c r="AA457" i="1" s="1"/>
  <c r="AB454" i="1" s="1"/>
  <c r="P268" i="1"/>
  <c r="Q241" i="1"/>
  <c r="BE399" i="1"/>
  <c r="Y39" i="9" s="1"/>
  <c r="BE276" i="1"/>
  <c r="BE301" i="1" s="1"/>
  <c r="Z420" i="1"/>
  <c r="Y472" i="1"/>
  <c r="Y473" i="1" s="1"/>
  <c r="Z470" i="1" s="1"/>
  <c r="Q440" i="1"/>
  <c r="AB492" i="1"/>
  <c r="AB494" i="1" s="1"/>
  <c r="Z497" i="1"/>
  <c r="Z498" i="1" s="1"/>
  <c r="AA495" i="1" s="1"/>
  <c r="AA493" i="1"/>
  <c r="AA496" i="1" s="1"/>
  <c r="AB467" i="1"/>
  <c r="AB468" i="1" s="1"/>
  <c r="Y419" i="1"/>
  <c r="Y422" i="1" s="1"/>
  <c r="Z471" i="1"/>
  <c r="S434" i="1"/>
  <c r="S436" i="1" s="1"/>
  <c r="AA468" i="1"/>
  <c r="AA471" i="1" s="1"/>
  <c r="AI25" i="1"/>
  <c r="AI23" i="1"/>
  <c r="AI22" i="1" s="1"/>
  <c r="AJ55" i="1"/>
  <c r="AJ56" i="1" s="1"/>
  <c r="P489" i="1" l="1"/>
  <c r="P484" i="1" s="1"/>
  <c r="P487" i="1"/>
  <c r="AB426" i="1"/>
  <c r="AB429" i="1" s="1"/>
  <c r="AB431" i="1" s="1"/>
  <c r="AC428" i="1" s="1"/>
  <c r="AC425" i="1"/>
  <c r="AC427" i="1" s="1"/>
  <c r="P462" i="1"/>
  <c r="P464" i="1"/>
  <c r="P459" i="1" s="1"/>
  <c r="O393" i="1"/>
  <c r="AU261" i="1"/>
  <c r="AV312" i="1"/>
  <c r="AW35" i="1"/>
  <c r="AW39" i="1" s="1"/>
  <c r="AX37" i="1"/>
  <c r="AW38" i="1"/>
  <c r="AW36" i="1"/>
  <c r="AU207" i="1"/>
  <c r="AV286" i="1"/>
  <c r="AU217" i="1"/>
  <c r="AV284" i="1"/>
  <c r="AW271" i="1"/>
  <c r="AW272" i="1"/>
  <c r="AW213" i="1" s="1"/>
  <c r="AU285" i="1"/>
  <c r="AT218" i="1"/>
  <c r="AW325" i="1"/>
  <c r="AW322" i="1"/>
  <c r="AW323" i="1"/>
  <c r="AU342" i="1"/>
  <c r="AV343" i="1"/>
  <c r="AA479" i="1"/>
  <c r="AA481" i="1"/>
  <c r="AA476" i="1" s="1"/>
  <c r="BM213" i="1"/>
  <c r="BM272" i="1"/>
  <c r="X446" i="1"/>
  <c r="X447" i="1"/>
  <c r="AB455" i="1"/>
  <c r="AB457" i="1" s="1"/>
  <c r="AC454" i="1" s="1"/>
  <c r="AC453" i="1"/>
  <c r="AC452" i="1"/>
  <c r="AC501" i="1"/>
  <c r="AC502" i="1"/>
  <c r="AD456" i="1"/>
  <c r="AD451" i="1" s="1"/>
  <c r="AD453" i="1" s="1"/>
  <c r="AD421" i="1"/>
  <c r="AD505" i="1"/>
  <c r="AD500" i="1" s="1"/>
  <c r="AD489" i="1"/>
  <c r="AE1" i="1"/>
  <c r="AD448" i="1"/>
  <c r="AD464" i="1"/>
  <c r="AD430" i="1"/>
  <c r="AD481" i="1"/>
  <c r="P276" i="1"/>
  <c r="P301" i="1" s="1"/>
  <c r="P397" i="1"/>
  <c r="P399" i="1"/>
  <c r="P39" i="9" s="1"/>
  <c r="P43" i="8"/>
  <c r="AB469" i="1"/>
  <c r="AB471" i="1" s="1"/>
  <c r="Q242" i="1"/>
  <c r="Q368" i="1"/>
  <c r="Q370" i="1" s="1"/>
  <c r="Q372" i="1" s="1"/>
  <c r="Q374" i="1" s="1"/>
  <c r="Z472" i="1"/>
  <c r="Z473" i="1" s="1"/>
  <c r="AA470" i="1" s="1"/>
  <c r="AA497" i="1"/>
  <c r="AA498" i="1" s="1"/>
  <c r="AB495" i="1" s="1"/>
  <c r="S435" i="1"/>
  <c r="S438" i="1" s="1"/>
  <c r="Z419" i="1"/>
  <c r="Z422" i="1" s="1"/>
  <c r="AC492" i="1"/>
  <c r="AC494" i="1" s="1"/>
  <c r="AC467" i="1"/>
  <c r="AB493" i="1"/>
  <c r="AB496" i="1" s="1"/>
  <c r="R437" i="1"/>
  <c r="R440" i="1" s="1"/>
  <c r="R373" i="1"/>
  <c r="AI26" i="1"/>
  <c r="AJ61" i="1"/>
  <c r="AJ62" i="1" s="1"/>
  <c r="AK48" i="1" s="1"/>
  <c r="AC426" i="1" l="1"/>
  <c r="AC429" i="1" s="1"/>
  <c r="AC431" i="1" s="1"/>
  <c r="AD428" i="1" s="1"/>
  <c r="P485" i="1"/>
  <c r="P486" i="1"/>
  <c r="P488" i="1" s="1"/>
  <c r="P490" i="1" s="1"/>
  <c r="AD425" i="1"/>
  <c r="AD427" i="1" s="1"/>
  <c r="O38" i="9"/>
  <c r="O41" i="9" s="1"/>
  <c r="O401" i="1"/>
  <c r="BE393" i="1"/>
  <c r="O402" i="1"/>
  <c r="O201" i="10" s="1"/>
  <c r="P460" i="1"/>
  <c r="P461" i="1"/>
  <c r="AX38" i="1"/>
  <c r="AX35" i="1"/>
  <c r="AX39" i="1" s="1"/>
  <c r="AX36" i="1"/>
  <c r="AY37" i="1"/>
  <c r="AW312" i="1"/>
  <c r="AV261" i="1"/>
  <c r="AV217" i="1"/>
  <c r="AW284" i="1"/>
  <c r="AX271" i="1"/>
  <c r="AY271" i="1" s="1"/>
  <c r="AY215" i="1" s="1"/>
  <c r="AX272" i="1"/>
  <c r="AX213" i="1" s="1"/>
  <c r="AW215" i="1"/>
  <c r="AV207" i="1"/>
  <c r="AW286" i="1"/>
  <c r="AV285" i="1"/>
  <c r="AU218" i="1"/>
  <c r="AX325" i="1"/>
  <c r="AX323" i="1"/>
  <c r="AX322" i="1"/>
  <c r="AV342" i="1"/>
  <c r="AW343" i="1"/>
  <c r="AA478" i="1"/>
  <c r="AA477" i="1"/>
  <c r="AB476" i="1"/>
  <c r="BM312" i="1"/>
  <c r="BM261" i="1"/>
  <c r="BM284" i="1"/>
  <c r="BM217" i="1"/>
  <c r="BM286" i="1"/>
  <c r="BM207" i="1"/>
  <c r="AC455" i="1"/>
  <c r="AC457" i="1" s="1"/>
  <c r="AD454" i="1" s="1"/>
  <c r="X449" i="1"/>
  <c r="AD501" i="1"/>
  <c r="AD502" i="1"/>
  <c r="BH278" i="1"/>
  <c r="BH233" i="1"/>
  <c r="AC504" i="1"/>
  <c r="AC506" i="1" s="1"/>
  <c r="AD503" i="1" s="1"/>
  <c r="AD452" i="1"/>
  <c r="AD455" i="1" s="1"/>
  <c r="AE456" i="1"/>
  <c r="AE451" i="1" s="1"/>
  <c r="AE505" i="1"/>
  <c r="AE500" i="1" s="1"/>
  <c r="AE481" i="1"/>
  <c r="AE448" i="1"/>
  <c r="AF1" i="1"/>
  <c r="AE489" i="1"/>
  <c r="AE421" i="1"/>
  <c r="AE430" i="1"/>
  <c r="AE464" i="1"/>
  <c r="AD426" i="1"/>
  <c r="Q268" i="1"/>
  <c r="R241" i="1"/>
  <c r="AA419" i="1"/>
  <c r="AA472" i="1"/>
  <c r="AA473" i="1" s="1"/>
  <c r="AB470" i="1" s="1"/>
  <c r="AB497" i="1"/>
  <c r="AB498" i="1" s="1"/>
  <c r="AC495" i="1" s="1"/>
  <c r="Q487" i="1"/>
  <c r="Q489" i="1"/>
  <c r="Q484" i="1" s="1"/>
  <c r="AD467" i="1"/>
  <c r="AD468" i="1" s="1"/>
  <c r="S373" i="1"/>
  <c r="S437" i="1"/>
  <c r="S440" i="1" s="1"/>
  <c r="AC468" i="1"/>
  <c r="AD492" i="1"/>
  <c r="AD493" i="1" s="1"/>
  <c r="AC469" i="1"/>
  <c r="AC493" i="1"/>
  <c r="AC496" i="1" s="1"/>
  <c r="AJ23" i="1"/>
  <c r="AJ22" i="1" s="1"/>
  <c r="AJ25" i="1"/>
  <c r="AK55" i="1"/>
  <c r="AK56" i="1" s="1"/>
  <c r="AE425" i="1" l="1"/>
  <c r="AE426" i="1" s="1"/>
  <c r="AD429" i="1"/>
  <c r="AD431" i="1" s="1"/>
  <c r="AE428" i="1" s="1"/>
  <c r="AX215" i="1"/>
  <c r="BN215" i="1" s="1"/>
  <c r="BN271" i="1"/>
  <c r="AE427" i="1"/>
  <c r="Y38" i="9"/>
  <c r="Y41" i="9" s="1"/>
  <c r="BE401" i="1"/>
  <c r="AA480" i="1"/>
  <c r="AA482" i="1" s="1"/>
  <c r="AB479" i="1" s="1"/>
  <c r="P463" i="1"/>
  <c r="P465" i="1" s="1"/>
  <c r="AX312" i="1"/>
  <c r="AW261" i="1"/>
  <c r="AY38" i="1"/>
  <c r="AY36" i="1"/>
  <c r="AY35" i="1"/>
  <c r="AY39" i="1" s="1"/>
  <c r="AW285" i="1"/>
  <c r="AV218" i="1"/>
  <c r="AX284" i="1"/>
  <c r="AW217" i="1"/>
  <c r="AW207" i="1"/>
  <c r="AX286" i="1"/>
  <c r="AY272" i="1"/>
  <c r="AY213" i="1" s="1"/>
  <c r="AY323" i="1"/>
  <c r="AY322" i="1"/>
  <c r="AY325" i="1"/>
  <c r="AX343" i="1"/>
  <c r="AW342" i="1"/>
  <c r="AB477" i="1"/>
  <c r="AB478" i="1"/>
  <c r="AC476" i="1"/>
  <c r="AC477" i="1" s="1"/>
  <c r="AA421" i="1"/>
  <c r="AA416" i="1" s="1"/>
  <c r="BM285" i="1"/>
  <c r="BM218" i="1"/>
  <c r="Y446" i="1"/>
  <c r="Y447" i="1"/>
  <c r="AD457" i="1"/>
  <c r="AE454" i="1" s="1"/>
  <c r="AE452" i="1"/>
  <c r="AE453" i="1"/>
  <c r="AE502" i="1"/>
  <c r="AE501" i="1"/>
  <c r="AD494" i="1"/>
  <c r="AD496" i="1" s="1"/>
  <c r="AF489" i="1"/>
  <c r="AF421" i="1"/>
  <c r="AF505" i="1"/>
  <c r="AF500" i="1" s="1"/>
  <c r="AF456" i="1"/>
  <c r="AF451" i="1" s="1"/>
  <c r="AF453" i="1" s="1"/>
  <c r="AF448" i="1"/>
  <c r="AF430" i="1"/>
  <c r="AF464" i="1"/>
  <c r="AG1" i="1"/>
  <c r="AF481" i="1"/>
  <c r="AD504" i="1"/>
  <c r="AD506" i="1" s="1"/>
  <c r="AE503" i="1" s="1"/>
  <c r="R242" i="1"/>
  <c r="R368" i="1"/>
  <c r="R370" i="1" s="1"/>
  <c r="R372" i="1" s="1"/>
  <c r="R374" i="1" s="1"/>
  <c r="R376" i="1" s="1"/>
  <c r="Q276" i="1"/>
  <c r="Q301" i="1" s="1"/>
  <c r="Q43" i="8"/>
  <c r="Q399" i="1"/>
  <c r="Q39" i="9" s="1"/>
  <c r="Q397" i="1"/>
  <c r="AD469" i="1"/>
  <c r="AD471" i="1" s="1"/>
  <c r="AC471" i="1"/>
  <c r="AC497" i="1"/>
  <c r="AC498" i="1" s="1"/>
  <c r="AD495" i="1" s="1"/>
  <c r="T373" i="1"/>
  <c r="T437" i="1"/>
  <c r="AB472" i="1"/>
  <c r="AB473" i="1" s="1"/>
  <c r="AC470" i="1" s="1"/>
  <c r="AE467" i="1"/>
  <c r="AE469" i="1" s="1"/>
  <c r="Q485" i="1"/>
  <c r="Q486" i="1"/>
  <c r="AE492" i="1"/>
  <c r="AJ26" i="1"/>
  <c r="AK61" i="1"/>
  <c r="AK62" i="1" s="1"/>
  <c r="AL48" i="1" s="1"/>
  <c r="AL55" i="1" s="1"/>
  <c r="AL56" i="1" s="1"/>
  <c r="AF425" i="1" l="1"/>
  <c r="AF426" i="1" s="1"/>
  <c r="BN272" i="1"/>
  <c r="AE429" i="1"/>
  <c r="AE431" i="1" s="1"/>
  <c r="AF428" i="1" s="1"/>
  <c r="Q464" i="1"/>
  <c r="Q459" i="1" s="1"/>
  <c r="Q462" i="1"/>
  <c r="P393" i="1"/>
  <c r="AB480" i="1"/>
  <c r="AB482" i="1" s="1"/>
  <c r="AY312" i="1"/>
  <c r="AY261" i="1" s="1"/>
  <c r="AX261" i="1"/>
  <c r="AX217" i="1"/>
  <c r="AY284" i="1"/>
  <c r="AY217" i="1" s="1"/>
  <c r="AX207" i="1"/>
  <c r="AY286" i="1"/>
  <c r="AY207" i="1" s="1"/>
  <c r="AX285" i="1"/>
  <c r="AW218" i="1"/>
  <c r="AY343" i="1"/>
  <c r="AY342" i="1" s="1"/>
  <c r="AX342" i="1"/>
  <c r="AC478" i="1"/>
  <c r="AC480" i="1" s="1"/>
  <c r="AD476" i="1"/>
  <c r="AA417" i="1"/>
  <c r="AB416" i="1"/>
  <c r="AB417" i="1" s="1"/>
  <c r="AA418" i="1"/>
  <c r="BN39" i="1"/>
  <c r="BN213" i="1"/>
  <c r="Q488" i="1"/>
  <c r="Q490" i="1" s="1"/>
  <c r="R487" i="1" s="1"/>
  <c r="Y449" i="1"/>
  <c r="AE455" i="1"/>
  <c r="AE457" i="1" s="1"/>
  <c r="AF454" i="1" s="1"/>
  <c r="AF502" i="1"/>
  <c r="AF501" i="1"/>
  <c r="AE504" i="1"/>
  <c r="AE506" i="1" s="1"/>
  <c r="AF503" i="1" s="1"/>
  <c r="AG430" i="1"/>
  <c r="AG421" i="1"/>
  <c r="AG481" i="1"/>
  <c r="AH1" i="1"/>
  <c r="AG464" i="1"/>
  <c r="AG489" i="1"/>
  <c r="AG456" i="1"/>
  <c r="AG451" i="1" s="1"/>
  <c r="AG453" i="1" s="1"/>
  <c r="AG505" i="1"/>
  <c r="AG500" i="1" s="1"/>
  <c r="AG501" i="1" s="1"/>
  <c r="AG448" i="1"/>
  <c r="AF452" i="1"/>
  <c r="AF455" i="1" s="1"/>
  <c r="R268" i="1"/>
  <c r="S241" i="1"/>
  <c r="R377" i="1"/>
  <c r="AD497" i="1"/>
  <c r="AD498" i="1" s="1"/>
  <c r="AE495" i="1" s="1"/>
  <c r="AF492" i="1"/>
  <c r="AF493" i="1" s="1"/>
  <c r="AC472" i="1"/>
  <c r="AC473" i="1" s="1"/>
  <c r="AD470" i="1" s="1"/>
  <c r="AE493" i="1"/>
  <c r="AF467" i="1"/>
  <c r="AF469" i="1" s="1"/>
  <c r="T439" i="1"/>
  <c r="T434" i="1" s="1"/>
  <c r="AE494" i="1"/>
  <c r="AE468" i="1"/>
  <c r="AE471" i="1" s="1"/>
  <c r="AK25" i="1"/>
  <c r="AK23" i="1"/>
  <c r="AK22" i="1" s="1"/>
  <c r="AL61" i="1"/>
  <c r="AL62" i="1" s="1"/>
  <c r="AM48" i="1" s="1"/>
  <c r="AG425" i="1" l="1"/>
  <c r="AG427" i="1" s="1"/>
  <c r="AF427" i="1"/>
  <c r="AF429" i="1" s="1"/>
  <c r="AF431" i="1" s="1"/>
  <c r="AG428" i="1" s="1"/>
  <c r="P402" i="1"/>
  <c r="P201" i="10" s="1"/>
  <c r="P38" i="9"/>
  <c r="P41" i="9" s="1"/>
  <c r="P401" i="1"/>
  <c r="Q460" i="1"/>
  <c r="Q461" i="1"/>
  <c r="AC479" i="1"/>
  <c r="AC482" i="1" s="1"/>
  <c r="AB278" i="1"/>
  <c r="AB233" i="1" s="1"/>
  <c r="AY285" i="1"/>
  <c r="AY218" i="1" s="1"/>
  <c r="AX218" i="1"/>
  <c r="AF457" i="1"/>
  <c r="AG454" i="1" s="1"/>
  <c r="AD478" i="1"/>
  <c r="AE476" i="1"/>
  <c r="AD477" i="1"/>
  <c r="AA420" i="1"/>
  <c r="AA422" i="1" s="1"/>
  <c r="AB419" i="1" s="1"/>
  <c r="AB418" i="1"/>
  <c r="AB420" i="1" s="1"/>
  <c r="AC416" i="1"/>
  <c r="R489" i="1"/>
  <c r="R484" i="1" s="1"/>
  <c r="R485" i="1" s="1"/>
  <c r="Z446" i="1"/>
  <c r="Z447" i="1"/>
  <c r="AG502" i="1"/>
  <c r="AG504" i="1" s="1"/>
  <c r="AF504" i="1"/>
  <c r="AF506" i="1" s="1"/>
  <c r="AG503" i="1" s="1"/>
  <c r="AH505" i="1"/>
  <c r="AH500" i="1" s="1"/>
  <c r="AH501" i="1" s="1"/>
  <c r="AH421" i="1"/>
  <c r="AH430" i="1"/>
  <c r="AH456" i="1"/>
  <c r="AH451" i="1" s="1"/>
  <c r="AH481" i="1"/>
  <c r="AH448" i="1"/>
  <c r="AH489" i="1"/>
  <c r="AH464" i="1"/>
  <c r="AI1" i="1"/>
  <c r="AG452" i="1"/>
  <c r="AG455" i="1" s="1"/>
  <c r="S368" i="1"/>
  <c r="S370" i="1" s="1"/>
  <c r="S372" i="1" s="1"/>
  <c r="S374" i="1" s="1"/>
  <c r="S376" i="1" s="1"/>
  <c r="S242" i="1"/>
  <c r="AE496" i="1"/>
  <c r="AE497" i="1" s="1"/>
  <c r="AE498" i="1" s="1"/>
  <c r="AF495" i="1" s="1"/>
  <c r="AF494" i="1"/>
  <c r="AF496" i="1" s="1"/>
  <c r="R276" i="1"/>
  <c r="R301" i="1" s="1"/>
  <c r="R399" i="1"/>
  <c r="R39" i="9" s="1"/>
  <c r="R397" i="1"/>
  <c r="R43" i="8"/>
  <c r="AF468" i="1"/>
  <c r="AF471" i="1" s="1"/>
  <c r="AD472" i="1"/>
  <c r="AD473" i="1" s="1"/>
  <c r="AE470" i="1" s="1"/>
  <c r="T435" i="1"/>
  <c r="T436" i="1"/>
  <c r="AG467" i="1"/>
  <c r="AG469" i="1" s="1"/>
  <c r="AG492" i="1"/>
  <c r="AG494" i="1" s="1"/>
  <c r="R486" i="1"/>
  <c r="AK26" i="1"/>
  <c r="AM55" i="1"/>
  <c r="AM56" i="1" s="1"/>
  <c r="AH425" i="1" l="1"/>
  <c r="AH426" i="1" s="1"/>
  <c r="AG426" i="1"/>
  <c r="Q463" i="1"/>
  <c r="Q465" i="1" s="1"/>
  <c r="Q393" i="1" s="1"/>
  <c r="Q401" i="1" s="1"/>
  <c r="AG457" i="1"/>
  <c r="AH454" i="1" s="1"/>
  <c r="AC278" i="1"/>
  <c r="AC233" i="1" s="1"/>
  <c r="AD479" i="1"/>
  <c r="AE478" i="1"/>
  <c r="AE477" i="1"/>
  <c r="AF476" i="1"/>
  <c r="AF477" i="1" s="1"/>
  <c r="AD480" i="1"/>
  <c r="AB422" i="1"/>
  <c r="AC419" i="1" s="1"/>
  <c r="AC418" i="1"/>
  <c r="AD416" i="1"/>
  <c r="AD417" i="1" s="1"/>
  <c r="AC417" i="1"/>
  <c r="BN312" i="1"/>
  <c r="BN261" i="1"/>
  <c r="BN207" i="1"/>
  <c r="BN286" i="1"/>
  <c r="BN217" i="1"/>
  <c r="BN284" i="1"/>
  <c r="Z449" i="1"/>
  <c r="AI448" i="1"/>
  <c r="AI489" i="1"/>
  <c r="AI505" i="1"/>
  <c r="AI500" i="1" s="1"/>
  <c r="AI501" i="1" s="1"/>
  <c r="AI464" i="1"/>
  <c r="AI421" i="1"/>
  <c r="AI456" i="1"/>
  <c r="AI451" i="1" s="1"/>
  <c r="AI481" i="1"/>
  <c r="AI430" i="1"/>
  <c r="AJ1" i="1"/>
  <c r="AH502" i="1"/>
  <c r="AH504" i="1" s="1"/>
  <c r="AH452" i="1"/>
  <c r="AH453" i="1"/>
  <c r="AG506" i="1"/>
  <c r="AH503" i="1" s="1"/>
  <c r="AH427" i="1"/>
  <c r="AG429" i="1"/>
  <c r="AG431" i="1" s="1"/>
  <c r="AH428" i="1" s="1"/>
  <c r="T241" i="1"/>
  <c r="S268" i="1"/>
  <c r="S377" i="1"/>
  <c r="BF376" i="1"/>
  <c r="AG468" i="1"/>
  <c r="AG471" i="1" s="1"/>
  <c r="AE472" i="1"/>
  <c r="AE473" i="1" s="1"/>
  <c r="AF470" i="1" s="1"/>
  <c r="AF497" i="1"/>
  <c r="AF498" i="1" s="1"/>
  <c r="AG495" i="1" s="1"/>
  <c r="AH492" i="1"/>
  <c r="AH494" i="1" s="1"/>
  <c r="T438" i="1"/>
  <c r="T440" i="1" s="1"/>
  <c r="AG493" i="1"/>
  <c r="AG496" i="1" s="1"/>
  <c r="R488" i="1"/>
  <c r="R490" i="1" s="1"/>
  <c r="AH467" i="1"/>
  <c r="AH468" i="1" s="1"/>
  <c r="AM61" i="1"/>
  <c r="AM62" i="1" s="1"/>
  <c r="AN48" i="1" s="1"/>
  <c r="AL23" i="1"/>
  <c r="AL22" i="1" s="1"/>
  <c r="AL25" i="1"/>
  <c r="AI425" i="1" l="1"/>
  <c r="AI427" i="1" s="1"/>
  <c r="AE480" i="1"/>
  <c r="Q38" i="9"/>
  <c r="Q41" i="9" s="1"/>
  <c r="R464" i="1"/>
  <c r="R459" i="1" s="1"/>
  <c r="R460" i="1" s="1"/>
  <c r="Q402" i="1"/>
  <c r="Q201" i="10" s="1"/>
  <c r="R462" i="1"/>
  <c r="AD482" i="1"/>
  <c r="AD278" i="1" s="1"/>
  <c r="AD233" i="1" s="1"/>
  <c r="S459" i="1"/>
  <c r="R461" i="1"/>
  <c r="AF478" i="1"/>
  <c r="AF480" i="1" s="1"/>
  <c r="AG476" i="1"/>
  <c r="AC420" i="1"/>
  <c r="AC422" i="1" s="1"/>
  <c r="AD419" i="1" s="1"/>
  <c r="AD418" i="1"/>
  <c r="AD420" i="1" s="1"/>
  <c r="AE416" i="1"/>
  <c r="AA446" i="1"/>
  <c r="AA448" i="1"/>
  <c r="AA443" i="1" s="1"/>
  <c r="BN218" i="1"/>
  <c r="BN285" i="1"/>
  <c r="AN55" i="1"/>
  <c r="AN56" i="1" s="1"/>
  <c r="AH429" i="1"/>
  <c r="AH431" i="1" s="1"/>
  <c r="AI428" i="1" s="1"/>
  <c r="AH455" i="1"/>
  <c r="AH457" i="1" s="1"/>
  <c r="AI454" i="1" s="1"/>
  <c r="AH493" i="1"/>
  <c r="AH496" i="1" s="1"/>
  <c r="AI502" i="1"/>
  <c r="AI504" i="1" s="1"/>
  <c r="AI452" i="1"/>
  <c r="AI453" i="1"/>
  <c r="AH506" i="1"/>
  <c r="AI503" i="1" s="1"/>
  <c r="AJ430" i="1"/>
  <c r="AJ489" i="1"/>
  <c r="AJ448" i="1"/>
  <c r="AJ505" i="1"/>
  <c r="AJ500" i="1" s="1"/>
  <c r="AJ501" i="1" s="1"/>
  <c r="AK1" i="1"/>
  <c r="AJ481" i="1"/>
  <c r="AJ464" i="1"/>
  <c r="AJ456" i="1"/>
  <c r="AJ451" i="1" s="1"/>
  <c r="AJ421" i="1"/>
  <c r="T368" i="1"/>
  <c r="T370" i="1" s="1"/>
  <c r="T372" i="1" s="1"/>
  <c r="T374" i="1" s="1"/>
  <c r="T376" i="1" s="1"/>
  <c r="T377" i="1" s="1"/>
  <c r="T242" i="1"/>
  <c r="S43" i="8"/>
  <c r="BF268" i="1"/>
  <c r="S397" i="1"/>
  <c r="BF397" i="1" s="1"/>
  <c r="S399" i="1"/>
  <c r="S39" i="9" s="1"/>
  <c r="S276" i="1"/>
  <c r="S301" i="1" s="1"/>
  <c r="AF472" i="1"/>
  <c r="AF473" i="1" s="1"/>
  <c r="AG470" i="1" s="1"/>
  <c r="AI467" i="1"/>
  <c r="AI468" i="1" s="1"/>
  <c r="S487" i="1"/>
  <c r="S489" i="1"/>
  <c r="S484" i="1" s="1"/>
  <c r="U437" i="1"/>
  <c r="U373" i="1"/>
  <c r="AG497" i="1"/>
  <c r="AG498" i="1" s="1"/>
  <c r="AH495" i="1" s="1"/>
  <c r="AH469" i="1"/>
  <c r="AH471" i="1" s="1"/>
  <c r="AI492" i="1"/>
  <c r="AI493" i="1" s="1"/>
  <c r="AL26" i="1"/>
  <c r="AI426" i="1" l="1"/>
  <c r="AI429" i="1" s="1"/>
  <c r="AI431" i="1" s="1"/>
  <c r="AJ428" i="1" s="1"/>
  <c r="AJ425" i="1"/>
  <c r="AE479" i="1"/>
  <c r="AE482" i="1"/>
  <c r="AE278" i="1" s="1"/>
  <c r="R395" i="1"/>
  <c r="R396" i="1" s="1"/>
  <c r="R463" i="1"/>
  <c r="R465" i="1" s="1"/>
  <c r="S461" i="1"/>
  <c r="T459" i="1"/>
  <c r="S460" i="1"/>
  <c r="AJ427" i="1"/>
  <c r="AD422" i="1"/>
  <c r="AE419" i="1" s="1"/>
  <c r="AG477" i="1"/>
  <c r="AH476" i="1"/>
  <c r="AG478" i="1"/>
  <c r="AF416" i="1"/>
  <c r="AF417" i="1" s="1"/>
  <c r="AE417" i="1"/>
  <c r="AE418" i="1"/>
  <c r="AA444" i="1"/>
  <c r="AA445" i="1"/>
  <c r="AB443" i="1"/>
  <c r="AB445" i="1" s="1"/>
  <c r="AN61" i="1"/>
  <c r="AN62" i="1" s="1"/>
  <c r="AO48" i="1" s="1"/>
  <c r="AO55" i="1" s="1"/>
  <c r="AO56" i="1" s="1"/>
  <c r="BH229" i="1"/>
  <c r="BH280" i="1"/>
  <c r="AI506" i="1"/>
  <c r="AJ503" i="1" s="1"/>
  <c r="AI455" i="1"/>
  <c r="AI457" i="1" s="1"/>
  <c r="AJ454" i="1" s="1"/>
  <c r="AJ502" i="1"/>
  <c r="AJ504" i="1" s="1"/>
  <c r="AJ426" i="1"/>
  <c r="AJ453" i="1"/>
  <c r="AJ452" i="1"/>
  <c r="AK481" i="1"/>
  <c r="AK448" i="1"/>
  <c r="AK456" i="1"/>
  <c r="AK451" i="1" s="1"/>
  <c r="AK505" i="1"/>
  <c r="AK500" i="1" s="1"/>
  <c r="AL1" i="1"/>
  <c r="AK489" i="1"/>
  <c r="AK421" i="1"/>
  <c r="AK430" i="1"/>
  <c r="AK425" i="1" s="1"/>
  <c r="U241" i="1"/>
  <c r="T268" i="1"/>
  <c r="BF399" i="1"/>
  <c r="Z39" i="9" s="1"/>
  <c r="BF276" i="1"/>
  <c r="BF301" i="1" s="1"/>
  <c r="AG472" i="1"/>
  <c r="AG473" i="1" s="1"/>
  <c r="AH470" i="1" s="1"/>
  <c r="AH497" i="1"/>
  <c r="AH498" i="1" s="1"/>
  <c r="AI495" i="1" s="1"/>
  <c r="AJ467" i="1"/>
  <c r="U439" i="1"/>
  <c r="U434" i="1" s="1"/>
  <c r="S486" i="1"/>
  <c r="S485" i="1"/>
  <c r="AI469" i="1"/>
  <c r="AI471" i="1" s="1"/>
  <c r="AJ492" i="1"/>
  <c r="AJ493" i="1" s="1"/>
  <c r="AI494" i="1"/>
  <c r="AI496" i="1" s="1"/>
  <c r="AM25" i="1"/>
  <c r="AM23" i="1"/>
  <c r="AM22" i="1" s="1"/>
  <c r="AF479" i="1" l="1"/>
  <c r="AF482" i="1" s="1"/>
  <c r="AF278" i="1" s="1"/>
  <c r="AF233" i="1" s="1"/>
  <c r="U459" i="1"/>
  <c r="T461" i="1"/>
  <c r="T460" i="1"/>
  <c r="S462" i="1"/>
  <c r="R393" i="1"/>
  <c r="S463" i="1"/>
  <c r="AJ429" i="1"/>
  <c r="AJ431" i="1" s="1"/>
  <c r="AK428" i="1" s="1"/>
  <c r="AG479" i="1"/>
  <c r="AG480" i="1"/>
  <c r="AE233" i="1"/>
  <c r="BI233" i="1" s="1"/>
  <c r="BI278" i="1"/>
  <c r="AE420" i="1"/>
  <c r="AE422" i="1" s="1"/>
  <c r="AF419" i="1" s="1"/>
  <c r="AH477" i="1"/>
  <c r="AI476" i="1"/>
  <c r="AH478" i="1"/>
  <c r="AF418" i="1"/>
  <c r="AF420" i="1" s="1"/>
  <c r="AF422" i="1" s="1"/>
  <c r="AG419" i="1" s="1"/>
  <c r="AG416" i="1"/>
  <c r="AA447" i="1"/>
  <c r="AA449" i="1" s="1"/>
  <c r="AB446" i="1" s="1"/>
  <c r="AB444" i="1"/>
  <c r="AB447" i="1" s="1"/>
  <c r="AC443" i="1"/>
  <c r="AO61" i="1"/>
  <c r="AO62" i="1" s="1"/>
  <c r="AP48" i="1" s="1"/>
  <c r="AP55" i="1" s="1"/>
  <c r="AP56" i="1" s="1"/>
  <c r="AM26" i="1"/>
  <c r="AJ506" i="1"/>
  <c r="AK503" i="1" s="1"/>
  <c r="AK427" i="1"/>
  <c r="AK426" i="1"/>
  <c r="AJ494" i="1"/>
  <c r="AJ496" i="1" s="1"/>
  <c r="AM1" i="1"/>
  <c r="AL421" i="1"/>
  <c r="AL481" i="1"/>
  <c r="AL505" i="1"/>
  <c r="AL500" i="1" s="1"/>
  <c r="AL501" i="1" s="1"/>
  <c r="AL489" i="1"/>
  <c r="AL448" i="1"/>
  <c r="AL456" i="1"/>
  <c r="AL451" i="1" s="1"/>
  <c r="AL430" i="1"/>
  <c r="AL425" i="1" s="1"/>
  <c r="AK502" i="1"/>
  <c r="AK501" i="1"/>
  <c r="AK453" i="1"/>
  <c r="AK452" i="1"/>
  <c r="AJ455" i="1"/>
  <c r="AJ457" i="1" s="1"/>
  <c r="AK454" i="1" s="1"/>
  <c r="U242" i="1"/>
  <c r="U368" i="1"/>
  <c r="U370" i="1" s="1"/>
  <c r="U372" i="1" s="1"/>
  <c r="U374" i="1" s="1"/>
  <c r="T276" i="1"/>
  <c r="T301" i="1" s="1"/>
  <c r="T43" i="8"/>
  <c r="T399" i="1"/>
  <c r="T397" i="1"/>
  <c r="AH472" i="1"/>
  <c r="AH473" i="1" s="1"/>
  <c r="AI470" i="1" s="1"/>
  <c r="S488" i="1"/>
  <c r="S490" i="1" s="1"/>
  <c r="S395" i="1"/>
  <c r="AI497" i="1"/>
  <c r="AI498" i="1" s="1"/>
  <c r="AJ495" i="1" s="1"/>
  <c r="AK467" i="1"/>
  <c r="AK468" i="1" s="1"/>
  <c r="AJ469" i="1"/>
  <c r="AK492" i="1"/>
  <c r="AK493" i="1" s="1"/>
  <c r="U435" i="1"/>
  <c r="U436" i="1"/>
  <c r="AJ468" i="1"/>
  <c r="S465" i="1" l="1"/>
  <c r="T462" i="1" s="1"/>
  <c r="T463" i="1"/>
  <c r="R38" i="9"/>
  <c r="R41" i="9" s="1"/>
  <c r="R402" i="1"/>
  <c r="R201" i="10" s="1"/>
  <c r="R401" i="1"/>
  <c r="U461" i="1"/>
  <c r="V459" i="1"/>
  <c r="U460" i="1"/>
  <c r="AH480" i="1"/>
  <c r="AL426" i="1"/>
  <c r="AI477" i="1"/>
  <c r="AI478" i="1"/>
  <c r="AJ476" i="1"/>
  <c r="AN1" i="1"/>
  <c r="AN448" i="1" s="1"/>
  <c r="AG482" i="1"/>
  <c r="AG418" i="1"/>
  <c r="AH416" i="1"/>
  <c r="AH417" i="1" s="1"/>
  <c r="AG417" i="1"/>
  <c r="AB449" i="1"/>
  <c r="AC446" i="1" s="1"/>
  <c r="AC445" i="1"/>
  <c r="AD443" i="1"/>
  <c r="AC444" i="1"/>
  <c r="AN456" i="1"/>
  <c r="AP61" i="1"/>
  <c r="AP62" i="1" s="1"/>
  <c r="AQ48" i="1" s="1"/>
  <c r="AN22" i="1"/>
  <c r="AN23" i="1"/>
  <c r="AN25" i="1"/>
  <c r="AK504" i="1"/>
  <c r="AK506" i="1" s="1"/>
  <c r="AL503" i="1" s="1"/>
  <c r="AL502" i="1"/>
  <c r="AL504" i="1" s="1"/>
  <c r="AL452" i="1"/>
  <c r="AL453" i="1"/>
  <c r="AL427" i="1"/>
  <c r="AK455" i="1"/>
  <c r="AK457" i="1" s="1"/>
  <c r="AL454" i="1" s="1"/>
  <c r="AM456" i="1"/>
  <c r="AM451" i="1" s="1"/>
  <c r="AM481" i="1"/>
  <c r="AM448" i="1"/>
  <c r="AM421" i="1"/>
  <c r="AM489" i="1"/>
  <c r="AM430" i="1"/>
  <c r="AM425" i="1" s="1"/>
  <c r="AM505" i="1"/>
  <c r="AM500" i="1" s="1"/>
  <c r="AK429" i="1"/>
  <c r="AK431" i="1" s="1"/>
  <c r="AL428" i="1" s="1"/>
  <c r="V241" i="1"/>
  <c r="U268" i="1"/>
  <c r="AK469" i="1"/>
  <c r="AK471" i="1" s="1"/>
  <c r="AI472" i="1"/>
  <c r="AI473" i="1" s="1"/>
  <c r="AJ470" i="1" s="1"/>
  <c r="AJ497" i="1"/>
  <c r="AJ498" i="1" s="1"/>
  <c r="AK495" i="1" s="1"/>
  <c r="S396" i="1"/>
  <c r="BF395" i="1"/>
  <c r="U438" i="1"/>
  <c r="U440" i="1" s="1"/>
  <c r="T487" i="1"/>
  <c r="T489" i="1"/>
  <c r="T484" i="1" s="1"/>
  <c r="S393" i="1"/>
  <c r="AL492" i="1"/>
  <c r="AL494" i="1" s="1"/>
  <c r="AK494" i="1"/>
  <c r="AK496" i="1" s="1"/>
  <c r="AJ471" i="1"/>
  <c r="AL467" i="1"/>
  <c r="AL468" i="1" s="1"/>
  <c r="T465" i="1" l="1"/>
  <c r="U462" i="1" s="1"/>
  <c r="AN421" i="1"/>
  <c r="AN489" i="1"/>
  <c r="U463" i="1"/>
  <c r="V460" i="1"/>
  <c r="W459" i="1"/>
  <c r="V461" i="1"/>
  <c r="AO1" i="1"/>
  <c r="AN430" i="1"/>
  <c r="AN425" i="1" s="1"/>
  <c r="AQ55" i="1"/>
  <c r="AQ56" i="1" s="1"/>
  <c r="AL429" i="1"/>
  <c r="AL431" i="1" s="1"/>
  <c r="AM428" i="1" s="1"/>
  <c r="AN451" i="1"/>
  <c r="AN452" i="1" s="1"/>
  <c r="AJ478" i="1"/>
  <c r="AK476" i="1"/>
  <c r="AJ477" i="1"/>
  <c r="AN481" i="1"/>
  <c r="AN505" i="1"/>
  <c r="AN500" i="1" s="1"/>
  <c r="AN501" i="1" s="1"/>
  <c r="AI480" i="1"/>
  <c r="AH479" i="1"/>
  <c r="AH482" i="1" s="1"/>
  <c r="AG278" i="1"/>
  <c r="AG233" i="1" s="1"/>
  <c r="AH418" i="1"/>
  <c r="AH420" i="1" s="1"/>
  <c r="AI416" i="1"/>
  <c r="AI417" i="1" s="1"/>
  <c r="AG420" i="1"/>
  <c r="AG422" i="1" s="1"/>
  <c r="AH419" i="1" s="1"/>
  <c r="AB280" i="1"/>
  <c r="AB229" i="1" s="1"/>
  <c r="AC447" i="1"/>
  <c r="AC449" i="1" s="1"/>
  <c r="AD444" i="1"/>
  <c r="AE443" i="1"/>
  <c r="AE444" i="1" s="1"/>
  <c r="AD445" i="1"/>
  <c r="AM453" i="1"/>
  <c r="AP1" i="1"/>
  <c r="AQ1" i="1" s="1"/>
  <c r="AN26" i="1"/>
  <c r="AL506" i="1"/>
  <c r="AM503" i="1" s="1"/>
  <c r="AL455" i="1"/>
  <c r="AL457" i="1" s="1"/>
  <c r="AM454" i="1" s="1"/>
  <c r="AM502" i="1"/>
  <c r="AM501" i="1"/>
  <c r="AL493" i="1"/>
  <c r="AL496" i="1" s="1"/>
  <c r="AM427" i="1"/>
  <c r="AM426" i="1"/>
  <c r="AM452" i="1"/>
  <c r="U43" i="8"/>
  <c r="U397" i="1"/>
  <c r="U399" i="1"/>
  <c r="U276" i="1"/>
  <c r="U301" i="1" s="1"/>
  <c r="V368" i="1"/>
  <c r="V370" i="1" s="1"/>
  <c r="V372" i="1" s="1"/>
  <c r="V242" i="1"/>
  <c r="AL469" i="1"/>
  <c r="AL471" i="1" s="1"/>
  <c r="AJ472" i="1"/>
  <c r="AJ473" i="1" s="1"/>
  <c r="AK470" i="1" s="1"/>
  <c r="V437" i="1"/>
  <c r="V373" i="1"/>
  <c r="AK497" i="1"/>
  <c r="AK498" i="1" s="1"/>
  <c r="AL495" i="1" s="1"/>
  <c r="S401" i="1"/>
  <c r="S402" i="1"/>
  <c r="S201" i="10" s="1"/>
  <c r="BF393" i="1"/>
  <c r="S38" i="9"/>
  <c r="S41" i="9" s="1"/>
  <c r="AM467" i="1"/>
  <c r="AM492" i="1"/>
  <c r="T486" i="1"/>
  <c r="T485" i="1"/>
  <c r="U465" i="1" l="1"/>
  <c r="V462" i="1" s="1"/>
  <c r="V463" i="1"/>
  <c r="AO505" i="1"/>
  <c r="AN453" i="1"/>
  <c r="AO481" i="1"/>
  <c r="AO489" i="1"/>
  <c r="AO430" i="1"/>
  <c r="AO456" i="1"/>
  <c r="AO451" i="1" s="1"/>
  <c r="AM455" i="1"/>
  <c r="W460" i="1"/>
  <c r="W461" i="1"/>
  <c r="X459" i="1"/>
  <c r="AO421" i="1"/>
  <c r="AO448" i="1"/>
  <c r="AR1" i="1"/>
  <c r="AQ413" i="1"/>
  <c r="AQ430" i="1"/>
  <c r="AQ448" i="1"/>
  <c r="AQ456" i="1"/>
  <c r="AQ481" i="1"/>
  <c r="AQ489" i="1"/>
  <c r="AQ505" i="1"/>
  <c r="AQ61" i="1"/>
  <c r="AQ62" i="1" s="1"/>
  <c r="AR48" i="1" s="1"/>
  <c r="AR55" i="1" s="1"/>
  <c r="AR56" i="1" s="1"/>
  <c r="AN427" i="1"/>
  <c r="AC411" i="1"/>
  <c r="AJ480" i="1"/>
  <c r="AI479" i="1"/>
  <c r="AI482" i="1" s="1"/>
  <c r="AH278" i="1"/>
  <c r="AH233" i="1" s="1"/>
  <c r="AK477" i="1"/>
  <c r="AL476" i="1"/>
  <c r="AL478" i="1" s="1"/>
  <c r="AK478" i="1"/>
  <c r="AH422" i="1"/>
  <c r="AI419" i="1" s="1"/>
  <c r="AI418" i="1"/>
  <c r="AI420" i="1" s="1"/>
  <c r="AJ416" i="1"/>
  <c r="AJ418" i="1" s="1"/>
  <c r="AD447" i="1"/>
  <c r="AD446" i="1"/>
  <c r="AC280" i="1"/>
  <c r="AC229" i="1" s="1"/>
  <c r="AE445" i="1"/>
  <c r="AE447" i="1" s="1"/>
  <c r="AF443" i="1"/>
  <c r="AF445" i="1" s="1"/>
  <c r="AO500" i="1"/>
  <c r="AO501" i="1" s="1"/>
  <c r="AP421" i="1"/>
  <c r="AP430" i="1"/>
  <c r="AP481" i="1"/>
  <c r="AP456" i="1"/>
  <c r="AP448" i="1"/>
  <c r="AP489" i="1"/>
  <c r="AP505" i="1"/>
  <c r="AM493" i="1"/>
  <c r="AN492" i="1"/>
  <c r="AN494" i="1" s="1"/>
  <c r="AM469" i="1"/>
  <c r="AN467" i="1"/>
  <c r="AN469" i="1" s="1"/>
  <c r="AN502" i="1"/>
  <c r="AN504" i="1" s="1"/>
  <c r="AO425" i="1"/>
  <c r="AO426" i="1" s="1"/>
  <c r="AN455" i="1"/>
  <c r="AN426" i="1"/>
  <c r="AO22" i="1"/>
  <c r="AO23" i="1"/>
  <c r="AO25" i="1"/>
  <c r="AM457" i="1"/>
  <c r="AN454" i="1" s="1"/>
  <c r="AM504" i="1"/>
  <c r="AM506" i="1" s="1"/>
  <c r="AN503" i="1" s="1"/>
  <c r="V374" i="1"/>
  <c r="V376" i="1" s="1"/>
  <c r="V377" i="1" s="1"/>
  <c r="V387" i="1" s="1"/>
  <c r="AM429" i="1"/>
  <c r="AM431" i="1" s="1"/>
  <c r="AN428" i="1" s="1"/>
  <c r="AM494" i="1"/>
  <c r="AM496" i="1" s="1"/>
  <c r="W241" i="1"/>
  <c r="V268" i="1"/>
  <c r="AL497" i="1"/>
  <c r="AL498" i="1" s="1"/>
  <c r="AM495" i="1" s="1"/>
  <c r="BF401" i="1"/>
  <c r="Z38" i="9"/>
  <c r="Z41" i="9" s="1"/>
  <c r="V439" i="1"/>
  <c r="V434" i="1" s="1"/>
  <c r="AK472" i="1"/>
  <c r="AK473" i="1" s="1"/>
  <c r="AL470" i="1" s="1"/>
  <c r="AM468" i="1"/>
  <c r="T488" i="1"/>
  <c r="T490" i="1" s="1"/>
  <c r="T395" i="1"/>
  <c r="AN429" i="1" l="1"/>
  <c r="AN431" i="1" s="1"/>
  <c r="AO428" i="1" s="1"/>
  <c r="V465" i="1"/>
  <c r="W462" i="1" s="1"/>
  <c r="AP500" i="1"/>
  <c r="AO453" i="1"/>
  <c r="AO452" i="1"/>
  <c r="AF444" i="1"/>
  <c r="AF447" i="1" s="1"/>
  <c r="AD449" i="1"/>
  <c r="AE446" i="1" s="1"/>
  <c r="AE449" i="1" s="1"/>
  <c r="AP451" i="1"/>
  <c r="AQ451" i="1" s="1"/>
  <c r="AQ452" i="1" s="1"/>
  <c r="W463" i="1"/>
  <c r="X461" i="1"/>
  <c r="Y459" i="1"/>
  <c r="X460" i="1"/>
  <c r="AR413" i="1"/>
  <c r="AR448" i="1"/>
  <c r="AS1" i="1"/>
  <c r="AR430" i="1"/>
  <c r="AR456" i="1"/>
  <c r="AR481" i="1"/>
  <c r="AR489" i="1"/>
  <c r="AR505" i="1"/>
  <c r="AN457" i="1"/>
  <c r="AO454" i="1" s="1"/>
  <c r="AQ500" i="1"/>
  <c r="AQ502" i="1" s="1"/>
  <c r="AR61" i="1"/>
  <c r="AR62" i="1" s="1"/>
  <c r="AS48" i="1" s="1"/>
  <c r="AC413" i="1"/>
  <c r="AK480" i="1"/>
  <c r="AI422" i="1"/>
  <c r="AJ419" i="1" s="1"/>
  <c r="AL477" i="1"/>
  <c r="AL480" i="1" s="1"/>
  <c r="AM476" i="1"/>
  <c r="AJ479" i="1"/>
  <c r="AJ482" i="1" s="1"/>
  <c r="AI278" i="1"/>
  <c r="AN493" i="1"/>
  <c r="AN496" i="1" s="1"/>
  <c r="AO502" i="1"/>
  <c r="AO504" i="1" s="1"/>
  <c r="AM471" i="1"/>
  <c r="AK416" i="1"/>
  <c r="AK417" i="1" s="1"/>
  <c r="AJ417" i="1"/>
  <c r="AJ420" i="1" s="1"/>
  <c r="AG443" i="1"/>
  <c r="AN468" i="1"/>
  <c r="AN471" i="1" s="1"/>
  <c r="AO427" i="1"/>
  <c r="AO429" i="1" s="1"/>
  <c r="AN506" i="1"/>
  <c r="AO503" i="1" s="1"/>
  <c r="AP425" i="1"/>
  <c r="AP502" i="1"/>
  <c r="AP501" i="1"/>
  <c r="AP452" i="1"/>
  <c r="AO467" i="1"/>
  <c r="AO469" i="1" s="1"/>
  <c r="AO492" i="1"/>
  <c r="AO493" i="1" s="1"/>
  <c r="AP453" i="1"/>
  <c r="AO26" i="1"/>
  <c r="V43" i="8"/>
  <c r="V276" i="1"/>
  <c r="V301" i="1" s="1"/>
  <c r="V397" i="1"/>
  <c r="V399" i="1"/>
  <c r="W368" i="1"/>
  <c r="W370" i="1" s="1"/>
  <c r="W372" i="1" s="1"/>
  <c r="W374" i="1" s="1"/>
  <c r="W376" i="1" s="1"/>
  <c r="W242" i="1"/>
  <c r="AL472" i="1"/>
  <c r="AL473" i="1" s="1"/>
  <c r="AM470" i="1" s="1"/>
  <c r="AM497" i="1"/>
  <c r="AM498" i="1" s="1"/>
  <c r="AN495" i="1" s="1"/>
  <c r="U487" i="1"/>
  <c r="U489" i="1"/>
  <c r="U484" i="1" s="1"/>
  <c r="T393" i="1"/>
  <c r="V436" i="1"/>
  <c r="V435" i="1"/>
  <c r="T396" i="1"/>
  <c r="AO455" i="1" l="1"/>
  <c r="AO457" i="1" s="1"/>
  <c r="AP454" i="1" s="1"/>
  <c r="W465" i="1"/>
  <c r="X462" i="1" s="1"/>
  <c r="AO494" i="1"/>
  <c r="AD280" i="1"/>
  <c r="AD229" i="1" s="1"/>
  <c r="X463" i="1"/>
  <c r="X465" i="1" s="1"/>
  <c r="Y462" i="1" s="1"/>
  <c r="AJ422" i="1"/>
  <c r="AK419" i="1" s="1"/>
  <c r="Y461" i="1"/>
  <c r="Z459" i="1"/>
  <c r="Y460" i="1"/>
  <c r="AT1" i="1"/>
  <c r="AS489" i="1"/>
  <c r="AS413" i="1"/>
  <c r="AS448" i="1"/>
  <c r="AS456" i="1"/>
  <c r="AQ453" i="1"/>
  <c r="AQ455" i="1" s="1"/>
  <c r="AP455" i="1"/>
  <c r="AR500" i="1"/>
  <c r="AR451" i="1"/>
  <c r="AR453" i="1" s="1"/>
  <c r="AQ501" i="1"/>
  <c r="AQ504" i="1" s="1"/>
  <c r="AP427" i="1"/>
  <c r="AQ425" i="1"/>
  <c r="AQ426" i="1" s="1"/>
  <c r="AS55" i="1"/>
  <c r="AS56" i="1" s="1"/>
  <c r="AC408" i="1"/>
  <c r="AD413" i="1"/>
  <c r="AN476" i="1"/>
  <c r="AO506" i="1"/>
  <c r="AP503" i="1" s="1"/>
  <c r="AJ278" i="1"/>
  <c r="AJ233" i="1" s="1"/>
  <c r="AK479" i="1"/>
  <c r="AK482" i="1" s="1"/>
  <c r="AM478" i="1"/>
  <c r="AI233" i="1"/>
  <c r="BJ233" i="1" s="1"/>
  <c r="BJ278" i="1"/>
  <c r="AM477" i="1"/>
  <c r="AK418" i="1"/>
  <c r="AK420" i="1" s="1"/>
  <c r="AL416" i="1"/>
  <c r="AE280" i="1"/>
  <c r="AF446" i="1"/>
  <c r="AF449" i="1" s="1"/>
  <c r="AG445" i="1"/>
  <c r="AH443" i="1"/>
  <c r="AH444" i="1" s="1"/>
  <c r="AG444" i="1"/>
  <c r="AO431" i="1"/>
  <c r="AP428" i="1" s="1"/>
  <c r="AP426" i="1"/>
  <c r="AP467" i="1"/>
  <c r="AN497" i="1"/>
  <c r="AN498" i="1" s="1"/>
  <c r="AO495" i="1" s="1"/>
  <c r="AO496" i="1"/>
  <c r="AO468" i="1"/>
  <c r="AO471" i="1" s="1"/>
  <c r="AP504" i="1"/>
  <c r="AP506" i="1" s="1"/>
  <c r="AQ503" i="1" s="1"/>
  <c r="AP492" i="1"/>
  <c r="AP22" i="1"/>
  <c r="AP25" i="1"/>
  <c r="AP23" i="1"/>
  <c r="X241" i="1"/>
  <c r="W268" i="1"/>
  <c r="W377" i="1"/>
  <c r="W387" i="1" s="1"/>
  <c r="BG376" i="1"/>
  <c r="AM472" i="1"/>
  <c r="AM473" i="1" s="1"/>
  <c r="AN470" i="1" s="1"/>
  <c r="U486" i="1"/>
  <c r="U485" i="1"/>
  <c r="V438" i="1"/>
  <c r="V440" i="1" s="1"/>
  <c r="T406" i="1"/>
  <c r="T402" i="1"/>
  <c r="T201" i="10" s="1"/>
  <c r="T401" i="1"/>
  <c r="AP457" i="1" l="1"/>
  <c r="AQ454" i="1" s="1"/>
  <c r="AP429" i="1"/>
  <c r="AP431" i="1" s="1"/>
  <c r="AQ428" i="1" s="1"/>
  <c r="AK422" i="1"/>
  <c r="AL419" i="1" s="1"/>
  <c r="AQ427" i="1"/>
  <c r="AQ429" i="1" s="1"/>
  <c r="AR452" i="1"/>
  <c r="AR455" i="1" s="1"/>
  <c r="AS451" i="1"/>
  <c r="AS452" i="1" s="1"/>
  <c r="Z461" i="1"/>
  <c r="AA459" i="1"/>
  <c r="AQ506" i="1"/>
  <c r="AR503" i="1" s="1"/>
  <c r="Y463" i="1"/>
  <c r="Y465" i="1" s="1"/>
  <c r="Z462" i="1" s="1"/>
  <c r="Z460" i="1"/>
  <c r="Z463" i="1" s="1"/>
  <c r="AQ457" i="1"/>
  <c r="AR454" i="1" s="1"/>
  <c r="AP493" i="1"/>
  <c r="AQ492" i="1"/>
  <c r="AQ494" i="1" s="1"/>
  <c r="AT489" i="1"/>
  <c r="AT413" i="1"/>
  <c r="AT448" i="1"/>
  <c r="AU1" i="1"/>
  <c r="AR501" i="1"/>
  <c r="AS500" i="1"/>
  <c r="AR502" i="1"/>
  <c r="AQ467" i="1"/>
  <c r="AQ469" i="1" s="1"/>
  <c r="AR425" i="1"/>
  <c r="AR427" i="1" s="1"/>
  <c r="AQ22" i="1"/>
  <c r="AQ23" i="1"/>
  <c r="AQ25" i="1"/>
  <c r="AS61" i="1"/>
  <c r="AS62" i="1" s="1"/>
  <c r="AT48" i="1" s="1"/>
  <c r="AC410" i="1"/>
  <c r="AC409" i="1"/>
  <c r="AD408" i="1"/>
  <c r="AE413" i="1"/>
  <c r="AL479" i="1"/>
  <c r="AL482" i="1" s="1"/>
  <c r="AK278" i="1"/>
  <c r="AK233" i="1" s="1"/>
  <c r="AM480" i="1"/>
  <c r="AN477" i="1"/>
  <c r="AO476" i="1"/>
  <c r="AO478" i="1" s="1"/>
  <c r="AN478" i="1"/>
  <c r="AM416" i="1"/>
  <c r="AM417" i="1" s="1"/>
  <c r="AL417" i="1"/>
  <c r="AL418" i="1"/>
  <c r="AG447" i="1"/>
  <c r="AG446" i="1"/>
  <c r="AF280" i="1"/>
  <c r="AF229" i="1" s="1"/>
  <c r="BI280" i="1"/>
  <c r="AE229" i="1"/>
  <c r="BI229" i="1" s="1"/>
  <c r="AH445" i="1"/>
  <c r="AH447" i="1" s="1"/>
  <c r="AI443" i="1"/>
  <c r="AI444" i="1" s="1"/>
  <c r="AP494" i="1"/>
  <c r="AP496" i="1" s="1"/>
  <c r="AP469" i="1"/>
  <c r="AN472" i="1"/>
  <c r="AN473" i="1" s="1"/>
  <c r="AO470" i="1" s="1"/>
  <c r="AO472" i="1" s="1"/>
  <c r="AO473" i="1" s="1"/>
  <c r="AP470" i="1" s="1"/>
  <c r="AO497" i="1"/>
  <c r="AO498" i="1" s="1"/>
  <c r="AP495" i="1" s="1"/>
  <c r="AP468" i="1"/>
  <c r="AP26" i="1"/>
  <c r="X368" i="1"/>
  <c r="X370" i="1" s="1"/>
  <c r="X372" i="1" s="1"/>
  <c r="X374" i="1" s="1"/>
  <c r="X242" i="1"/>
  <c r="W43" i="8"/>
  <c r="W399" i="1"/>
  <c r="W397" i="1"/>
  <c r="BG397" i="1" s="1"/>
  <c r="BG268" i="1"/>
  <c r="W276" i="1"/>
  <c r="W301" i="1" s="1"/>
  <c r="W437" i="1"/>
  <c r="W373" i="1"/>
  <c r="U488" i="1"/>
  <c r="U490" i="1" s="1"/>
  <c r="U395" i="1"/>
  <c r="AT451" i="1" l="1"/>
  <c r="AT453" i="1" s="1"/>
  <c r="AS453" i="1"/>
  <c r="AS455" i="1" s="1"/>
  <c r="AC412" i="1"/>
  <c r="AC414" i="1" s="1"/>
  <c r="AB459" i="1"/>
  <c r="AA460" i="1"/>
  <c r="AA461" i="1"/>
  <c r="Z465" i="1"/>
  <c r="AA462" i="1" s="1"/>
  <c r="AS501" i="1"/>
  <c r="AU413" i="1"/>
  <c r="AU489" i="1"/>
  <c r="AU448" i="1"/>
  <c r="AV1" i="1"/>
  <c r="AQ431" i="1"/>
  <c r="AR428" i="1" s="1"/>
  <c r="AR494" i="1"/>
  <c r="AR492" i="1"/>
  <c r="AR493" i="1" s="1"/>
  <c r="AR457" i="1"/>
  <c r="AS454" i="1" s="1"/>
  <c r="AR504" i="1"/>
  <c r="AR506" i="1" s="1"/>
  <c r="AS503" i="1" s="1"/>
  <c r="AS502" i="1"/>
  <c r="AT500" i="1"/>
  <c r="AT452" i="1"/>
  <c r="AT455" i="1" s="1"/>
  <c r="AQ493" i="1"/>
  <c r="AQ496" i="1" s="1"/>
  <c r="AM418" i="1"/>
  <c r="AM420" i="1" s="1"/>
  <c r="AR426" i="1"/>
  <c r="AR429" i="1" s="1"/>
  <c r="AR467" i="1"/>
  <c r="AR469" i="1" s="1"/>
  <c r="AQ468" i="1"/>
  <c r="AQ471" i="1" s="1"/>
  <c r="AS425" i="1"/>
  <c r="AS426" i="1" s="1"/>
  <c r="AT55" i="1"/>
  <c r="AT56" i="1" s="1"/>
  <c r="AQ26" i="1"/>
  <c r="AD411" i="1"/>
  <c r="AC291" i="1"/>
  <c r="AC234" i="1" s="1"/>
  <c r="AD409" i="1"/>
  <c r="AE408" i="1"/>
  <c r="AE409" i="1" s="1"/>
  <c r="AD410" i="1"/>
  <c r="AF413" i="1"/>
  <c r="AN480" i="1"/>
  <c r="AO477" i="1"/>
  <c r="AO480" i="1" s="1"/>
  <c r="AP476" i="1"/>
  <c r="AP478" i="1" s="1"/>
  <c r="AL278" i="1"/>
  <c r="AL233" i="1" s="1"/>
  <c r="AM479" i="1"/>
  <c r="AM482" i="1" s="1"/>
  <c r="AL420" i="1"/>
  <c r="AL422" i="1" s="1"/>
  <c r="AM419" i="1" s="1"/>
  <c r="AN416" i="1"/>
  <c r="AN418" i="1" s="1"/>
  <c r="AG449" i="1"/>
  <c r="AG280" i="1" s="1"/>
  <c r="AG229" i="1" s="1"/>
  <c r="AJ443" i="1"/>
  <c r="AJ444" i="1" s="1"/>
  <c r="AI445" i="1"/>
  <c r="AI447" i="1" s="1"/>
  <c r="AP497" i="1"/>
  <c r="AP498" i="1" s="1"/>
  <c r="AQ495" i="1" s="1"/>
  <c r="AP471" i="1"/>
  <c r="Y241" i="1"/>
  <c r="X268" i="1"/>
  <c r="BG399" i="1"/>
  <c r="AA39" i="9" s="1"/>
  <c r="BG276" i="1"/>
  <c r="BG301" i="1" s="1"/>
  <c r="W439" i="1"/>
  <c r="W434" i="1" s="1"/>
  <c r="U396" i="1"/>
  <c r="V489" i="1"/>
  <c r="V484" i="1" s="1"/>
  <c r="V487" i="1"/>
  <c r="U393" i="1"/>
  <c r="AU451" i="1" l="1"/>
  <c r="AV451" i="1" s="1"/>
  <c r="AV453" i="1" s="1"/>
  <c r="AS457" i="1"/>
  <c r="AT454" i="1" s="1"/>
  <c r="AT456" i="1" s="1"/>
  <c r="AT457" i="1" s="1"/>
  <c r="AU454" i="1" s="1"/>
  <c r="AR468" i="1"/>
  <c r="AR471" i="1" s="1"/>
  <c r="AR496" i="1"/>
  <c r="AB461" i="1"/>
  <c r="AC459" i="1"/>
  <c r="AB460" i="1"/>
  <c r="AS504" i="1"/>
  <c r="AS505" i="1" s="1"/>
  <c r="AS506" i="1" s="1"/>
  <c r="AT503" i="1" s="1"/>
  <c r="AA463" i="1"/>
  <c r="AA465" i="1" s="1"/>
  <c r="AB462" i="1" s="1"/>
  <c r="AQ476" i="1"/>
  <c r="AQ478" i="1" s="1"/>
  <c r="AU500" i="1"/>
  <c r="AV500" i="1" s="1"/>
  <c r="AT501" i="1"/>
  <c r="AT502" i="1"/>
  <c r="AQ497" i="1"/>
  <c r="AQ498" i="1" s="1"/>
  <c r="AR495" i="1" s="1"/>
  <c r="AR431" i="1"/>
  <c r="AS428" i="1" s="1"/>
  <c r="AS492" i="1"/>
  <c r="AS493" i="1" s="1"/>
  <c r="AV448" i="1"/>
  <c r="AV489" i="1"/>
  <c r="AW1" i="1"/>
  <c r="AV413" i="1"/>
  <c r="AS427" i="1"/>
  <c r="AS429" i="1" s="1"/>
  <c r="AT425" i="1"/>
  <c r="AT426" i="1" s="1"/>
  <c r="AS467" i="1"/>
  <c r="AS468" i="1" s="1"/>
  <c r="AT61" i="1"/>
  <c r="AT62" i="1" s="1"/>
  <c r="AU48" i="1" s="1"/>
  <c r="AU55" i="1" s="1"/>
  <c r="AU56" i="1" s="1"/>
  <c r="AR25" i="1"/>
  <c r="AR22" i="1"/>
  <c r="AR23" i="1"/>
  <c r="AD412" i="1"/>
  <c r="AD414" i="1" s="1"/>
  <c r="AE410" i="1"/>
  <c r="AE412" i="1" s="1"/>
  <c r="AF408" i="1"/>
  <c r="AG413" i="1"/>
  <c r="AM278" i="1"/>
  <c r="AN479" i="1"/>
  <c r="AN482" i="1" s="1"/>
  <c r="AP477" i="1"/>
  <c r="AP480" i="1" s="1"/>
  <c r="AM422" i="1"/>
  <c r="AN419" i="1" s="1"/>
  <c r="AN417" i="1"/>
  <c r="AN420" i="1" s="1"/>
  <c r="AO416" i="1"/>
  <c r="AO418" i="1" s="1"/>
  <c r="AH446" i="1"/>
  <c r="AH449" i="1" s="1"/>
  <c r="AI446" i="1" s="1"/>
  <c r="AI449" i="1" s="1"/>
  <c r="AK443" i="1"/>
  <c r="AJ445" i="1"/>
  <c r="AJ447" i="1" s="1"/>
  <c r="AP472" i="1"/>
  <c r="AP473" i="1" s="1"/>
  <c r="AQ470" i="1" s="1"/>
  <c r="AQ472" i="1" s="1"/>
  <c r="Y368" i="1"/>
  <c r="Y370" i="1" s="1"/>
  <c r="Y372" i="1" s="1"/>
  <c r="Y242" i="1"/>
  <c r="X43" i="8"/>
  <c r="X397" i="1"/>
  <c r="X399" i="1"/>
  <c r="X276" i="1"/>
  <c r="X301" i="1" s="1"/>
  <c r="V486" i="1"/>
  <c r="V485" i="1"/>
  <c r="U402" i="1"/>
  <c r="U201" i="10" s="1"/>
  <c r="U401" i="1"/>
  <c r="U406" i="1"/>
  <c r="W436" i="1"/>
  <c r="W435" i="1"/>
  <c r="AR497" i="1" l="1"/>
  <c r="AR498" i="1" s="1"/>
  <c r="AS495" i="1" s="1"/>
  <c r="AU453" i="1"/>
  <c r="AU452" i="1"/>
  <c r="AB463" i="1"/>
  <c r="AQ477" i="1"/>
  <c r="AQ480" i="1" s="1"/>
  <c r="AT427" i="1"/>
  <c r="AS430" i="1"/>
  <c r="AS431" i="1" s="1"/>
  <c r="AT428" i="1" s="1"/>
  <c r="AC460" i="1"/>
  <c r="AD459" i="1"/>
  <c r="AC461" i="1"/>
  <c r="AT429" i="1"/>
  <c r="AB465" i="1"/>
  <c r="AC462" i="1" s="1"/>
  <c r="AV452" i="1"/>
  <c r="AV455" i="1" s="1"/>
  <c r="AT504" i="1"/>
  <c r="AT505" i="1" s="1"/>
  <c r="AH280" i="1"/>
  <c r="AH229" i="1" s="1"/>
  <c r="AW489" i="1"/>
  <c r="AW451" i="1"/>
  <c r="AW453" i="1" s="1"/>
  <c r="AW413" i="1"/>
  <c r="AW448" i="1"/>
  <c r="AX1" i="1"/>
  <c r="AW500" i="1"/>
  <c r="AW502" i="1" s="1"/>
  <c r="AV501" i="1"/>
  <c r="AV502" i="1"/>
  <c r="AU501" i="1"/>
  <c r="AT492" i="1"/>
  <c r="AT493" i="1" s="1"/>
  <c r="AS494" i="1"/>
  <c r="AS496" i="1" s="1"/>
  <c r="AR476" i="1"/>
  <c r="AR478" i="1" s="1"/>
  <c r="AU502" i="1"/>
  <c r="AT467" i="1"/>
  <c r="AT468" i="1" s="1"/>
  <c r="AQ473" i="1"/>
  <c r="AR470" i="1" s="1"/>
  <c r="AS469" i="1"/>
  <c r="AS471" i="1" s="1"/>
  <c r="AU425" i="1"/>
  <c r="AU427" i="1" s="1"/>
  <c r="AU61" i="1"/>
  <c r="AU62" i="1" s="1"/>
  <c r="AV48" i="1" s="1"/>
  <c r="AR26" i="1"/>
  <c r="AE411" i="1"/>
  <c r="AE414" i="1" s="1"/>
  <c r="AD291" i="1"/>
  <c r="AD234" i="1" s="1"/>
  <c r="AF410" i="1"/>
  <c r="AG408" i="1"/>
  <c r="AF409" i="1"/>
  <c r="AH413" i="1"/>
  <c r="AO479" i="1"/>
  <c r="AO482" i="1" s="1"/>
  <c r="AN278" i="1"/>
  <c r="AN233" i="1" s="1"/>
  <c r="AN422" i="1"/>
  <c r="AO419" i="1" s="1"/>
  <c r="BK278" i="1"/>
  <c r="AM233" i="1"/>
  <c r="BK233" i="1" s="1"/>
  <c r="AO417" i="1"/>
  <c r="AO420" i="1" s="1"/>
  <c r="AP416" i="1"/>
  <c r="AK445" i="1"/>
  <c r="AL443" i="1"/>
  <c r="AJ446" i="1"/>
  <c r="AJ449" i="1" s="1"/>
  <c r="AI280" i="1"/>
  <c r="AK444" i="1"/>
  <c r="Z241" i="1"/>
  <c r="Y268" i="1"/>
  <c r="V488" i="1"/>
  <c r="V490" i="1" s="1"/>
  <c r="V395" i="1"/>
  <c r="W438" i="1"/>
  <c r="W440" i="1" s="1"/>
  <c r="AS497" i="1" l="1"/>
  <c r="AS498" i="1" s="1"/>
  <c r="AT495" i="1" s="1"/>
  <c r="AU455" i="1"/>
  <c r="AU456" i="1" s="1"/>
  <c r="AU457" i="1" s="1"/>
  <c r="AV454" i="1" s="1"/>
  <c r="AU426" i="1"/>
  <c r="AU429" i="1" s="1"/>
  <c r="AW501" i="1"/>
  <c r="AW504" i="1" s="1"/>
  <c r="AC463" i="1"/>
  <c r="AC465" i="1" s="1"/>
  <c r="AD462" i="1" s="1"/>
  <c r="AV456" i="1"/>
  <c r="AV457" i="1" s="1"/>
  <c r="AW454" i="1" s="1"/>
  <c r="AD460" i="1"/>
  <c r="AD461" i="1"/>
  <c r="AE459" i="1"/>
  <c r="AE461" i="1" s="1"/>
  <c r="AT430" i="1"/>
  <c r="AT431" i="1" s="1"/>
  <c r="AU428" i="1" s="1"/>
  <c r="AU504" i="1"/>
  <c r="AT506" i="1"/>
  <c r="AU503" i="1" s="1"/>
  <c r="AY1" i="1"/>
  <c r="AX451" i="1"/>
  <c r="AX452" i="1" s="1"/>
  <c r="AX413" i="1"/>
  <c r="AX448" i="1"/>
  <c r="AX489" i="1"/>
  <c r="AX500" i="1"/>
  <c r="AX502" i="1" s="1"/>
  <c r="AV504" i="1"/>
  <c r="AR477" i="1"/>
  <c r="AR480" i="1" s="1"/>
  <c r="AS476" i="1"/>
  <c r="AS478" i="1" s="1"/>
  <c r="AT494" i="1"/>
  <c r="AT496" i="1" s="1"/>
  <c r="AU492" i="1"/>
  <c r="AU494" i="1" s="1"/>
  <c r="AW452" i="1"/>
  <c r="AW455" i="1" s="1"/>
  <c r="AR472" i="1"/>
  <c r="AR473" i="1" s="1"/>
  <c r="AS470" i="1" s="1"/>
  <c r="AS472" i="1" s="1"/>
  <c r="AS473" i="1" s="1"/>
  <c r="AT470" i="1" s="1"/>
  <c r="AV425" i="1"/>
  <c r="AV426" i="1" s="1"/>
  <c r="AT469" i="1"/>
  <c r="AT471" i="1" s="1"/>
  <c r="AU467" i="1"/>
  <c r="AU468" i="1" s="1"/>
  <c r="AV55" i="1"/>
  <c r="AV56" i="1" s="1"/>
  <c r="AS25" i="1"/>
  <c r="AS23" i="1"/>
  <c r="AS22" i="1"/>
  <c r="AF411" i="1"/>
  <c r="AE291" i="1"/>
  <c r="AF412" i="1"/>
  <c r="AO422" i="1"/>
  <c r="AP419" i="1" s="1"/>
  <c r="AG410" i="1"/>
  <c r="AH408" i="1"/>
  <c r="AH409" i="1" s="1"/>
  <c r="AG409" i="1"/>
  <c r="AI413" i="1"/>
  <c r="AO278" i="1"/>
  <c r="AO233" i="1" s="1"/>
  <c r="AP479" i="1"/>
  <c r="AP482" i="1" s="1"/>
  <c r="AQ479" i="1" s="1"/>
  <c r="AQ482" i="1" s="1"/>
  <c r="AP418" i="1"/>
  <c r="AP417" i="1"/>
  <c r="AI229" i="1"/>
  <c r="BJ229" i="1" s="1"/>
  <c r="BJ280" i="1"/>
  <c r="AK446" i="1"/>
  <c r="AJ280" i="1"/>
  <c r="AJ229" i="1" s="1"/>
  <c r="AL445" i="1"/>
  <c r="AM443" i="1"/>
  <c r="AM445" i="1" s="1"/>
  <c r="AK447" i="1"/>
  <c r="AL444" i="1"/>
  <c r="Z368" i="1"/>
  <c r="Z370" i="1" s="1"/>
  <c r="Z372" i="1" s="1"/>
  <c r="Z374" i="1" s="1"/>
  <c r="Z242" i="1"/>
  <c r="Y43" i="8"/>
  <c r="Y399" i="1"/>
  <c r="Y397" i="1"/>
  <c r="Y276" i="1"/>
  <c r="Y301" i="1" s="1"/>
  <c r="W489" i="1"/>
  <c r="W484" i="1" s="1"/>
  <c r="W487" i="1"/>
  <c r="V393" i="1"/>
  <c r="X437" i="1"/>
  <c r="X373" i="1"/>
  <c r="V396" i="1"/>
  <c r="AD463" i="1" l="1"/>
  <c r="AD465" i="1" s="1"/>
  <c r="AE462" i="1" s="1"/>
  <c r="AL447" i="1"/>
  <c r="AU430" i="1"/>
  <c r="AU431" i="1" s="1"/>
  <c r="AV428" i="1" s="1"/>
  <c r="AU493" i="1"/>
  <c r="AU496" i="1" s="1"/>
  <c r="AS477" i="1"/>
  <c r="AS480" i="1" s="1"/>
  <c r="AT497" i="1"/>
  <c r="AT498" i="1" s="1"/>
  <c r="AU495" i="1" s="1"/>
  <c r="AU505" i="1"/>
  <c r="AU506" i="1" s="1"/>
  <c r="AV503" i="1" s="1"/>
  <c r="AV505" i="1" s="1"/>
  <c r="AV506" i="1" s="1"/>
  <c r="AW503" i="1" s="1"/>
  <c r="AF459" i="1"/>
  <c r="AE460" i="1"/>
  <c r="AE463" i="1" s="1"/>
  <c r="AF414" i="1"/>
  <c r="AX501" i="1"/>
  <c r="AX504" i="1" s="1"/>
  <c r="AW456" i="1"/>
  <c r="AW457" i="1" s="1"/>
  <c r="AX454" i="1" s="1"/>
  <c r="AQ278" i="1"/>
  <c r="AR479" i="1"/>
  <c r="AR482" i="1" s="1"/>
  <c r="BI291" i="1"/>
  <c r="AE234" i="1"/>
  <c r="BI234" i="1" s="1"/>
  <c r="AX453" i="1"/>
  <c r="AX455" i="1" s="1"/>
  <c r="AV492" i="1"/>
  <c r="AV493" i="1" s="1"/>
  <c r="AT476" i="1"/>
  <c r="AY413" i="1"/>
  <c r="AY448" i="1"/>
  <c r="AY451" i="1"/>
  <c r="AY452" i="1" s="1"/>
  <c r="AY489" i="1"/>
  <c r="AY500" i="1"/>
  <c r="AY502" i="1" s="1"/>
  <c r="AU469" i="1"/>
  <c r="AU471" i="1" s="1"/>
  <c r="AV427" i="1"/>
  <c r="AV429" i="1" s="1"/>
  <c r="AT472" i="1"/>
  <c r="AT473" i="1" s="1"/>
  <c r="AU470" i="1" s="1"/>
  <c r="AV467" i="1"/>
  <c r="AV469" i="1" s="1"/>
  <c r="AW425" i="1"/>
  <c r="AW426" i="1" s="1"/>
  <c r="AS26" i="1"/>
  <c r="AV61" i="1"/>
  <c r="AV62" i="1" s="1"/>
  <c r="AW48" i="1" s="1"/>
  <c r="AG411" i="1"/>
  <c r="AF291" i="1"/>
  <c r="AF234" i="1" s="1"/>
  <c r="AG412" i="1"/>
  <c r="AH410" i="1"/>
  <c r="AH412" i="1" s="1"/>
  <c r="AI408" i="1"/>
  <c r="AI409" i="1" s="1"/>
  <c r="AJ413" i="1"/>
  <c r="AP278" i="1"/>
  <c r="AP233" i="1" s="1"/>
  <c r="AP420" i="1"/>
  <c r="AP422" i="1" s="1"/>
  <c r="AQ419" i="1" s="1"/>
  <c r="AK449" i="1"/>
  <c r="AK280" i="1" s="1"/>
  <c r="AK229" i="1" s="1"/>
  <c r="AN443" i="1"/>
  <c r="AN444" i="1" s="1"/>
  <c r="AM444" i="1"/>
  <c r="AM447" i="1" s="1"/>
  <c r="Z268" i="1"/>
  <c r="Z397" i="1" s="1"/>
  <c r="AA241" i="1"/>
  <c r="V401" i="1"/>
  <c r="V406" i="1"/>
  <c r="V402" i="1"/>
  <c r="V201" i="10" s="1"/>
  <c r="X439" i="1"/>
  <c r="X434" i="1" s="1"/>
  <c r="W485" i="1"/>
  <c r="W486" i="1"/>
  <c r="AE465" i="1" l="1"/>
  <c r="AF462" i="1" s="1"/>
  <c r="AV430" i="1"/>
  <c r="AV431" i="1" s="1"/>
  <c r="AW428" i="1" s="1"/>
  <c r="AW427" i="1"/>
  <c r="AW429" i="1" s="1"/>
  <c r="AY501" i="1"/>
  <c r="AY504" i="1" s="1"/>
  <c r="AG414" i="1"/>
  <c r="AH411" i="1" s="1"/>
  <c r="AH414" i="1" s="1"/>
  <c r="AU497" i="1"/>
  <c r="AU498" i="1" s="1"/>
  <c r="AV495" i="1" s="1"/>
  <c r="AF461" i="1"/>
  <c r="AG459" i="1"/>
  <c r="AF460" i="1"/>
  <c r="AU472" i="1"/>
  <c r="AU473" i="1" s="1"/>
  <c r="AV470" i="1" s="1"/>
  <c r="AW505" i="1"/>
  <c r="AW506" i="1" s="1"/>
  <c r="AX503" i="1" s="1"/>
  <c r="AX505" i="1" s="1"/>
  <c r="AX506" i="1" s="1"/>
  <c r="AY503" i="1" s="1"/>
  <c r="AV494" i="1"/>
  <c r="AV496" i="1" s="1"/>
  <c r="AW492" i="1"/>
  <c r="AW493" i="1" s="1"/>
  <c r="AU476" i="1"/>
  <c r="AU477" i="1" s="1"/>
  <c r="AX456" i="1"/>
  <c r="AX457" i="1" s="1"/>
  <c r="AY454" i="1" s="1"/>
  <c r="AL446" i="1"/>
  <c r="AL449" i="1" s="1"/>
  <c r="AL280" i="1" s="1"/>
  <c r="AL229" i="1" s="1"/>
  <c r="AT477" i="1"/>
  <c r="AY453" i="1"/>
  <c r="AY455" i="1" s="1"/>
  <c r="AQ233" i="1"/>
  <c r="AR278" i="1"/>
  <c r="AR233" i="1" s="1"/>
  <c r="AS479" i="1"/>
  <c r="AN445" i="1"/>
  <c r="AN447" i="1" s="1"/>
  <c r="AT478" i="1"/>
  <c r="AT480" i="1" s="1"/>
  <c r="AQ421" i="1"/>
  <c r="AX425" i="1"/>
  <c r="AX427" i="1" s="1"/>
  <c r="AW467" i="1"/>
  <c r="AV468" i="1"/>
  <c r="AV471" i="1" s="1"/>
  <c r="AT23" i="1"/>
  <c r="AT22" i="1"/>
  <c r="AT25" i="1"/>
  <c r="AW55" i="1"/>
  <c r="AW56" i="1" s="1"/>
  <c r="AG291" i="1"/>
  <c r="AG234" i="1" s="1"/>
  <c r="AI410" i="1"/>
  <c r="AI412" i="1" s="1"/>
  <c r="AJ408" i="1"/>
  <c r="AJ409" i="1" s="1"/>
  <c r="AA242" i="1"/>
  <c r="AA268" i="1" s="1"/>
  <c r="AA368" i="1"/>
  <c r="AA370" i="1" s="1"/>
  <c r="AA372" i="1" s="1"/>
  <c r="AA374" i="1" s="1"/>
  <c r="AO443" i="1"/>
  <c r="AO444" i="1" s="1"/>
  <c r="Z399" i="1"/>
  <c r="Z43" i="8"/>
  <c r="Z276" i="1"/>
  <c r="Z301" i="1" s="1"/>
  <c r="W488" i="1"/>
  <c r="W490" i="1" s="1"/>
  <c r="W395" i="1"/>
  <c r="X436" i="1"/>
  <c r="X435" i="1"/>
  <c r="AQ416" i="1" l="1"/>
  <c r="AW430" i="1"/>
  <c r="AW431" i="1" s="1"/>
  <c r="AX428" i="1" s="1"/>
  <c r="AF463" i="1"/>
  <c r="AF465" i="1" s="1"/>
  <c r="AG462" i="1" s="1"/>
  <c r="AV497" i="1"/>
  <c r="AV498" i="1" s="1"/>
  <c r="AW495" i="1" s="1"/>
  <c r="AY456" i="1"/>
  <c r="AY457" i="1" s="1"/>
  <c r="AG460" i="1"/>
  <c r="AH459" i="1"/>
  <c r="AG461" i="1"/>
  <c r="AY505" i="1"/>
  <c r="AY506" i="1" s="1"/>
  <c r="AV476" i="1"/>
  <c r="AV478" i="1" s="1"/>
  <c r="AS481" i="1"/>
  <c r="AS482" i="1" s="1"/>
  <c r="AU478" i="1"/>
  <c r="AU480" i="1" s="1"/>
  <c r="AX492" i="1"/>
  <c r="AX494" i="1" s="1"/>
  <c r="AM446" i="1"/>
  <c r="AM449" i="1" s="1"/>
  <c r="AM280" i="1" s="1"/>
  <c r="AW494" i="1"/>
  <c r="AW496" i="1" s="1"/>
  <c r="AX426" i="1"/>
  <c r="AX467" i="1"/>
  <c r="AW468" i="1"/>
  <c r="AX429" i="1"/>
  <c r="AR421" i="1"/>
  <c r="AW469" i="1"/>
  <c r="AY425" i="1"/>
  <c r="AY426" i="1" s="1"/>
  <c r="AV472" i="1"/>
  <c r="AV473" i="1" s="1"/>
  <c r="AW470" i="1" s="1"/>
  <c r="AW61" i="1"/>
  <c r="AW62" i="1" s="1"/>
  <c r="AX48" i="1" s="1"/>
  <c r="AX55" i="1" s="1"/>
  <c r="AX56" i="1" s="1"/>
  <c r="AT26" i="1"/>
  <c r="AI411" i="1"/>
  <c r="AI414" i="1" s="1"/>
  <c r="AH291" i="1"/>
  <c r="AH234" i="1" s="1"/>
  <c r="AJ410" i="1"/>
  <c r="AJ412" i="1" s="1"/>
  <c r="AL413" i="1"/>
  <c r="BL278" i="1"/>
  <c r="BL233" i="1"/>
  <c r="AA276" i="1"/>
  <c r="AA301" i="1" s="1"/>
  <c r="AA399" i="1"/>
  <c r="D4" i="4" s="1"/>
  <c r="AA397" i="1"/>
  <c r="AP443" i="1"/>
  <c r="AO445" i="1"/>
  <c r="AO447" i="1" s="1"/>
  <c r="W396" i="1"/>
  <c r="BG395" i="1"/>
  <c r="X487" i="1"/>
  <c r="X489" i="1"/>
  <c r="X484" i="1" s="1"/>
  <c r="W393" i="1"/>
  <c r="X438" i="1"/>
  <c r="X440" i="1" s="1"/>
  <c r="AQ418" i="1" l="1"/>
  <c r="AQ417" i="1"/>
  <c r="AQ420" i="1" s="1"/>
  <c r="AQ422" i="1" s="1"/>
  <c r="AR419" i="1" s="1"/>
  <c r="AR416" i="1"/>
  <c r="AX430" i="1"/>
  <c r="AX431" i="1" s="1"/>
  <c r="AY428" i="1" s="1"/>
  <c r="AN446" i="1"/>
  <c r="AN449" i="1" s="1"/>
  <c r="AO446" i="1" s="1"/>
  <c r="AO449" i="1" s="1"/>
  <c r="AG463" i="1"/>
  <c r="AG465" i="1" s="1"/>
  <c r="AH462" i="1" s="1"/>
  <c r="AV477" i="1"/>
  <c r="AV480" i="1" s="1"/>
  <c r="AI459" i="1"/>
  <c r="AH461" i="1"/>
  <c r="AH460" i="1"/>
  <c r="AY492" i="1"/>
  <c r="AY494" i="1" s="1"/>
  <c r="AT479" i="1"/>
  <c r="AT481" i="1" s="1"/>
  <c r="AT482" i="1" s="1"/>
  <c r="AS278" i="1"/>
  <c r="AS233" i="1" s="1"/>
  <c r="AY427" i="1"/>
  <c r="AY429" i="1" s="1"/>
  <c r="AX493" i="1"/>
  <c r="AX496" i="1" s="1"/>
  <c r="AW497" i="1"/>
  <c r="AW498" i="1" s="1"/>
  <c r="AX495" i="1" s="1"/>
  <c r="AP445" i="1"/>
  <c r="AQ443" i="1"/>
  <c r="AQ445" i="1" s="1"/>
  <c r="AW476" i="1"/>
  <c r="AW477" i="1" s="1"/>
  <c r="AW471" i="1"/>
  <c r="AW472" i="1" s="1"/>
  <c r="AW473" i="1" s="1"/>
  <c r="AX470" i="1" s="1"/>
  <c r="AY467" i="1"/>
  <c r="AY468" i="1" s="1"/>
  <c r="AX469" i="1"/>
  <c r="AX468" i="1"/>
  <c r="AX61" i="1"/>
  <c r="AX62" i="1" s="1"/>
  <c r="AY48" i="1" s="1"/>
  <c r="AU22" i="1"/>
  <c r="AU23" i="1"/>
  <c r="AU25" i="1"/>
  <c r="AJ411" i="1"/>
  <c r="AJ414" i="1" s="1"/>
  <c r="AI291" i="1"/>
  <c r="AM413" i="1"/>
  <c r="AP444" i="1"/>
  <c r="AN280" i="1"/>
  <c r="AN229" i="1" s="1"/>
  <c r="AM229" i="1"/>
  <c r="BK229" i="1" s="1"/>
  <c r="BK280" i="1"/>
  <c r="Y437" i="1"/>
  <c r="Y373" i="1"/>
  <c r="Y374" i="1" s="1"/>
  <c r="BG393" i="1"/>
  <c r="W406" i="1"/>
  <c r="W401" i="1"/>
  <c r="W402" i="1"/>
  <c r="W201" i="10" s="1"/>
  <c r="X486" i="1"/>
  <c r="X485" i="1"/>
  <c r="AR418" i="1" l="1"/>
  <c r="AS416" i="1"/>
  <c r="AS417" i="1"/>
  <c r="AR417" i="1"/>
  <c r="AR420" i="1" s="1"/>
  <c r="AR422" i="1" s="1"/>
  <c r="AS419" i="1" s="1"/>
  <c r="AY430" i="1"/>
  <c r="AY431" i="1" s="1"/>
  <c r="AW478" i="1"/>
  <c r="AW480" i="1" s="1"/>
  <c r="AH463" i="1"/>
  <c r="AH465" i="1" s="1"/>
  <c r="AI462" i="1" s="1"/>
  <c r="AI461" i="1"/>
  <c r="AI460" i="1"/>
  <c r="AJ459" i="1"/>
  <c r="AX497" i="1"/>
  <c r="AX498" i="1" s="1"/>
  <c r="AY495" i="1" s="1"/>
  <c r="AT278" i="1"/>
  <c r="AT233" i="1" s="1"/>
  <c r="AU479" i="1"/>
  <c r="AU481" i="1" s="1"/>
  <c r="AU482" i="1" s="1"/>
  <c r="AP447" i="1"/>
  <c r="AR443" i="1"/>
  <c r="AR444" i="1" s="1"/>
  <c r="AY493" i="1"/>
  <c r="AY496" i="1" s="1"/>
  <c r="BJ291" i="1"/>
  <c r="AI234" i="1"/>
  <c r="BJ234" i="1" s="1"/>
  <c r="AX476" i="1"/>
  <c r="AX478" i="1" s="1"/>
  <c r="AQ444" i="1"/>
  <c r="AQ447" i="1" s="1"/>
  <c r="AX471" i="1"/>
  <c r="AX472" i="1" s="1"/>
  <c r="AX473" i="1" s="1"/>
  <c r="AY470" i="1" s="1"/>
  <c r="AY469" i="1"/>
  <c r="AY471" i="1" s="1"/>
  <c r="AY55" i="1"/>
  <c r="AY56" i="1" s="1"/>
  <c r="AU26" i="1"/>
  <c r="AK411" i="1"/>
  <c r="AJ291" i="1"/>
  <c r="AJ234" i="1" s="1"/>
  <c r="AN413" i="1"/>
  <c r="AP446" i="1"/>
  <c r="AO280" i="1"/>
  <c r="AO229" i="1" s="1"/>
  <c r="Y439" i="1"/>
  <c r="Y434" i="1" s="1"/>
  <c r="AA38" i="9"/>
  <c r="AA41" i="9" s="1"/>
  <c r="BG401" i="1"/>
  <c r="X488" i="1"/>
  <c r="X490" i="1" s="1"/>
  <c r="X395" i="1"/>
  <c r="X396" i="1" s="1"/>
  <c r="AT416" i="1" l="1"/>
  <c r="AT417" i="1" s="1"/>
  <c r="AS418" i="1"/>
  <c r="AS420" i="1" s="1"/>
  <c r="AS421" i="1" s="1"/>
  <c r="AS422" i="1" s="1"/>
  <c r="AT419" i="1" s="1"/>
  <c r="AI463" i="1"/>
  <c r="AI465" i="1" s="1"/>
  <c r="AJ462" i="1" s="1"/>
  <c r="AJ460" i="1"/>
  <c r="AK459" i="1"/>
  <c r="AJ461" i="1"/>
  <c r="AS443" i="1"/>
  <c r="AS444" i="1" s="1"/>
  <c r="AP449" i="1"/>
  <c r="AQ446" i="1" s="1"/>
  <c r="AQ449" i="1" s="1"/>
  <c r="AU278" i="1"/>
  <c r="AU233" i="1" s="1"/>
  <c r="AV479" i="1"/>
  <c r="AX477" i="1"/>
  <c r="AX480" i="1" s="1"/>
  <c r="AY476" i="1"/>
  <c r="AY478" i="1" s="1"/>
  <c r="AY497" i="1"/>
  <c r="AY498" i="1" s="1"/>
  <c r="AR445" i="1"/>
  <c r="AR447" i="1" s="1"/>
  <c r="AY472" i="1"/>
  <c r="AY473" i="1" s="1"/>
  <c r="AY61" i="1"/>
  <c r="AY62" i="1" s="1"/>
  <c r="AV25" i="1"/>
  <c r="AV22" i="1"/>
  <c r="AV23" i="1"/>
  <c r="AO413" i="1"/>
  <c r="Y436" i="1"/>
  <c r="Y435" i="1"/>
  <c r="Y489" i="1"/>
  <c r="Y484" i="1" s="1"/>
  <c r="Y487" i="1"/>
  <c r="X393" i="1"/>
  <c r="AT418" i="1" l="1"/>
  <c r="AT420" i="1" s="1"/>
  <c r="AT421" i="1" s="1"/>
  <c r="AT422" i="1" s="1"/>
  <c r="AU419" i="1" s="1"/>
  <c r="AU416" i="1"/>
  <c r="AY477" i="1"/>
  <c r="AJ463" i="1"/>
  <c r="AJ465" i="1" s="1"/>
  <c r="AK462" i="1" s="1"/>
  <c r="AL459" i="1"/>
  <c r="AK461" i="1"/>
  <c r="AK460" i="1"/>
  <c r="AQ280" i="1"/>
  <c r="AR446" i="1"/>
  <c r="AR449" i="1" s="1"/>
  <c r="AY480" i="1"/>
  <c r="AP280" i="1"/>
  <c r="AP229" i="1" s="1"/>
  <c r="AT443" i="1"/>
  <c r="AT444" i="1" s="1"/>
  <c r="AV481" i="1"/>
  <c r="AV482" i="1" s="1"/>
  <c r="AS445" i="1"/>
  <c r="AS447" i="1" s="1"/>
  <c r="AV26" i="1"/>
  <c r="AP413" i="1"/>
  <c r="BM278" i="1"/>
  <c r="BM233" i="1"/>
  <c r="Y485" i="1"/>
  <c r="Y486" i="1"/>
  <c r="Y395" i="1" s="1"/>
  <c r="Y396" i="1" s="1"/>
  <c r="X401" i="1"/>
  <c r="X406" i="1"/>
  <c r="X402" i="1"/>
  <c r="X201" i="10" s="1"/>
  <c r="Y438" i="1"/>
  <c r="Y440" i="1" s="1"/>
  <c r="AV416" i="1" l="1"/>
  <c r="AV418" i="1" s="1"/>
  <c r="AV420" i="1" s="1"/>
  <c r="AV421" i="1" s="1"/>
  <c r="AV422" i="1" s="1"/>
  <c r="AW419" i="1" s="1"/>
  <c r="AV417" i="1"/>
  <c r="AU418" i="1"/>
  <c r="AU420" i="1" s="1"/>
  <c r="AU421" i="1" s="1"/>
  <c r="AU422" i="1" s="1"/>
  <c r="AV419" i="1" s="1"/>
  <c r="AU417" i="1"/>
  <c r="AK463" i="1"/>
  <c r="AK464" i="1" s="1"/>
  <c r="AK465" i="1" s="1"/>
  <c r="AL462" i="1" s="1"/>
  <c r="AL460" i="1"/>
  <c r="AL461" i="1"/>
  <c r="AL463" i="1" s="1"/>
  <c r="AM459" i="1"/>
  <c r="AV278" i="1"/>
  <c r="AV233" i="1" s="1"/>
  <c r="AW479" i="1"/>
  <c r="AW481" i="1" s="1"/>
  <c r="AW482" i="1" s="1"/>
  <c r="AR280" i="1"/>
  <c r="AR229" i="1" s="1"/>
  <c r="AS446" i="1"/>
  <c r="AS449" i="1" s="1"/>
  <c r="AU443" i="1"/>
  <c r="AU444" i="1" s="1"/>
  <c r="AT445" i="1"/>
  <c r="AT447" i="1" s="1"/>
  <c r="AQ229" i="1"/>
  <c r="AW25" i="1"/>
  <c r="AW23" i="1"/>
  <c r="AW22" i="1"/>
  <c r="BL280" i="1"/>
  <c r="BL229" i="1"/>
  <c r="Z373" i="1"/>
  <c r="Z437" i="1"/>
  <c r="Z439" i="1" s="1"/>
  <c r="Z434" i="1" s="1"/>
  <c r="Y488" i="1"/>
  <c r="Y490" i="1" s="1"/>
  <c r="AW416" i="1" l="1"/>
  <c r="AW417" i="1"/>
  <c r="AL464" i="1"/>
  <c r="AL465" i="1" s="1"/>
  <c r="AM462" i="1" s="1"/>
  <c r="AN459" i="1"/>
  <c r="AM461" i="1"/>
  <c r="AM460" i="1"/>
  <c r="AS280" i="1"/>
  <c r="AS229" i="1" s="1"/>
  <c r="AT446" i="1"/>
  <c r="AT449" i="1" s="1"/>
  <c r="AW278" i="1"/>
  <c r="AW233" i="1" s="1"/>
  <c r="AX479" i="1"/>
  <c r="AX481" i="1" s="1"/>
  <c r="AX482" i="1" s="1"/>
  <c r="AV443" i="1"/>
  <c r="AV445" i="1" s="1"/>
  <c r="AU445" i="1"/>
  <c r="AU447" i="1" s="1"/>
  <c r="AW26" i="1"/>
  <c r="Z489" i="1"/>
  <c r="Z484" i="1" s="1"/>
  <c r="Z487" i="1"/>
  <c r="Y393" i="1"/>
  <c r="Y401" i="1" s="1"/>
  <c r="Z435" i="1"/>
  <c r="Z436" i="1"/>
  <c r="AW418" i="1" l="1"/>
  <c r="AW420" i="1" s="1"/>
  <c r="AW421" i="1" s="1"/>
  <c r="AW422" i="1" s="1"/>
  <c r="AX419" i="1" s="1"/>
  <c r="AX416" i="1"/>
  <c r="AX417" i="1"/>
  <c r="AV444" i="1"/>
  <c r="AV447" i="1" s="1"/>
  <c r="AM463" i="1"/>
  <c r="AM464" i="1" s="1"/>
  <c r="AM465" i="1" s="1"/>
  <c r="AN462" i="1" s="1"/>
  <c r="AN460" i="1"/>
  <c r="AO459" i="1"/>
  <c r="AN461" i="1"/>
  <c r="AT280" i="1"/>
  <c r="AT229" i="1" s="1"/>
  <c r="AU446" i="1"/>
  <c r="AU449" i="1" s="1"/>
  <c r="AX278" i="1"/>
  <c r="AX233" i="1" s="1"/>
  <c r="AY479" i="1"/>
  <c r="AW443" i="1"/>
  <c r="AX23" i="1"/>
  <c r="AX22" i="1"/>
  <c r="AX25" i="1"/>
  <c r="Z438" i="1"/>
  <c r="Z440" i="1" s="1"/>
  <c r="AA373" i="1" s="1"/>
  <c r="Y406" i="1"/>
  <c r="Z486" i="1"/>
  <c r="Z485" i="1"/>
  <c r="Y402" i="1"/>
  <c r="Y201" i="10" s="1"/>
  <c r="AX418" i="1" l="1"/>
  <c r="AX420" i="1" s="1"/>
  <c r="AX421" i="1" s="1"/>
  <c r="AX422" i="1" s="1"/>
  <c r="AY419" i="1" s="1"/>
  <c r="AY416" i="1"/>
  <c r="AY417" i="1" s="1"/>
  <c r="AY418" i="1"/>
  <c r="AN463" i="1"/>
  <c r="AN464" i="1" s="1"/>
  <c r="AN465" i="1" s="1"/>
  <c r="AO462" i="1" s="1"/>
  <c r="AO460" i="1"/>
  <c r="AP459" i="1"/>
  <c r="AO461" i="1"/>
  <c r="AY481" i="1"/>
  <c r="AY482" i="1" s="1"/>
  <c r="AY278" i="1" s="1"/>
  <c r="AX443" i="1"/>
  <c r="AX445" i="1" s="1"/>
  <c r="AW445" i="1"/>
  <c r="AU280" i="1"/>
  <c r="AU229" i="1" s="1"/>
  <c r="AV446" i="1"/>
  <c r="AV449" i="1" s="1"/>
  <c r="AW444" i="1"/>
  <c r="AX26" i="1"/>
  <c r="Z488" i="1"/>
  <c r="Z490" i="1" s="1"/>
  <c r="AA489" i="1" s="1"/>
  <c r="AY420" i="1" l="1"/>
  <c r="AY421" i="1" s="1"/>
  <c r="AY422" i="1" s="1"/>
  <c r="AX444" i="1"/>
  <c r="AX447" i="1" s="1"/>
  <c r="AO463" i="1"/>
  <c r="AO464" i="1" s="1"/>
  <c r="AO465" i="1" s="1"/>
  <c r="AP462" i="1" s="1"/>
  <c r="AQ459" i="1"/>
  <c r="AR459" i="1" s="1"/>
  <c r="AR461" i="1" s="1"/>
  <c r="AP460" i="1"/>
  <c r="AP461" i="1"/>
  <c r="AY233" i="1"/>
  <c r="BN233" i="1" s="1"/>
  <c r="BN278" i="1"/>
  <c r="AW446" i="1"/>
  <c r="AV280" i="1"/>
  <c r="AV229" i="1" s="1"/>
  <c r="AW447" i="1"/>
  <c r="AY443" i="1"/>
  <c r="AY445" i="1" s="1"/>
  <c r="AY22" i="1"/>
  <c r="AY26" i="1" s="1"/>
  <c r="AY23" i="1"/>
  <c r="AY25" i="1"/>
  <c r="AA487" i="1"/>
  <c r="AA484" i="1"/>
  <c r="BH232" i="1"/>
  <c r="BH281" i="1"/>
  <c r="AQ461" i="1" l="1"/>
  <c r="AR460" i="1"/>
  <c r="AR463" i="1" s="1"/>
  <c r="AS459" i="1"/>
  <c r="AS461" i="1" s="1"/>
  <c r="AP463" i="1"/>
  <c r="AP464" i="1" s="1"/>
  <c r="AP465" i="1" s="1"/>
  <c r="AQ462" i="1" s="1"/>
  <c r="AY444" i="1"/>
  <c r="AY447" i="1" s="1"/>
  <c r="AW449" i="1"/>
  <c r="AW280" i="1" s="1"/>
  <c r="AW229" i="1" s="1"/>
  <c r="AQ460" i="1"/>
  <c r="AT459" i="1"/>
  <c r="AT460" i="1" s="1"/>
  <c r="AA486" i="1"/>
  <c r="AA485" i="1"/>
  <c r="AB484" i="1"/>
  <c r="AQ463" i="1" l="1"/>
  <c r="AQ464" i="1" s="1"/>
  <c r="AQ465" i="1" s="1"/>
  <c r="AR462" i="1" s="1"/>
  <c r="AR464" i="1" s="1"/>
  <c r="AR465" i="1" s="1"/>
  <c r="AS462" i="1" s="1"/>
  <c r="AS460" i="1"/>
  <c r="AS463" i="1" s="1"/>
  <c r="AX446" i="1"/>
  <c r="AX449" i="1" s="1"/>
  <c r="AY446" i="1" s="1"/>
  <c r="AY449" i="1" s="1"/>
  <c r="AY280" i="1" s="1"/>
  <c r="AU459" i="1"/>
  <c r="AU461" i="1" s="1"/>
  <c r="AT461" i="1"/>
  <c r="AT463" i="1" s="1"/>
  <c r="AA488" i="1"/>
  <c r="AA490" i="1" s="1"/>
  <c r="AB487" i="1" s="1"/>
  <c r="AB281" i="1"/>
  <c r="AB232" i="1" s="1"/>
  <c r="AC484" i="1"/>
  <c r="AB486" i="1"/>
  <c r="AB485" i="1"/>
  <c r="AU460" i="1" l="1"/>
  <c r="AU463" i="1" s="1"/>
  <c r="AS464" i="1"/>
  <c r="AS465" i="1" s="1"/>
  <c r="AT462" i="1" s="1"/>
  <c r="AT464" i="1" s="1"/>
  <c r="AT465" i="1" s="1"/>
  <c r="AU462" i="1" s="1"/>
  <c r="AX280" i="1"/>
  <c r="AX229" i="1" s="1"/>
  <c r="AV459" i="1"/>
  <c r="AV460" i="1" s="1"/>
  <c r="AB488" i="1"/>
  <c r="AB490" i="1" s="1"/>
  <c r="AC487" i="1" s="1"/>
  <c r="AC281" i="1"/>
  <c r="AC232" i="1" s="1"/>
  <c r="AD484" i="1"/>
  <c r="AC486" i="1"/>
  <c r="AC485" i="1"/>
  <c r="AY229" i="1" l="1"/>
  <c r="AU464" i="1"/>
  <c r="AU465" i="1" s="1"/>
  <c r="AV462" i="1" s="1"/>
  <c r="AV461" i="1"/>
  <c r="AV463" i="1" s="1"/>
  <c r="AW459" i="1"/>
  <c r="AC488" i="1"/>
  <c r="AC490" i="1" s="1"/>
  <c r="AD487" i="1" s="1"/>
  <c r="AD485" i="1"/>
  <c r="AE484" i="1"/>
  <c r="AD281" i="1"/>
  <c r="AD232" i="1" s="1"/>
  <c r="AD486" i="1"/>
  <c r="AV464" i="1" l="1"/>
  <c r="AV465" i="1" s="1"/>
  <c r="AW462" i="1" s="1"/>
  <c r="AW460" i="1"/>
  <c r="AX459" i="1"/>
  <c r="AW461" i="1"/>
  <c r="AD488" i="1"/>
  <c r="AD490" i="1" s="1"/>
  <c r="AE487" i="1" s="1"/>
  <c r="AE485" i="1"/>
  <c r="AE281" i="1"/>
  <c r="AF484" i="1"/>
  <c r="AE486" i="1"/>
  <c r="AX460" i="1" l="1"/>
  <c r="AY459" i="1"/>
  <c r="AY460" i="1" s="1"/>
  <c r="AX461" i="1"/>
  <c r="AW463" i="1"/>
  <c r="AW464" i="1" s="1"/>
  <c r="AW465" i="1" s="1"/>
  <c r="AX462" i="1" s="1"/>
  <c r="AE488" i="1"/>
  <c r="AE490" i="1" s="1"/>
  <c r="AF487" i="1" s="1"/>
  <c r="AF281" i="1"/>
  <c r="AF232" i="1" s="1"/>
  <c r="AF485" i="1"/>
  <c r="AG484" i="1"/>
  <c r="AG485" i="1" s="1"/>
  <c r="BI281" i="1"/>
  <c r="AE232" i="1"/>
  <c r="BI232" i="1" s="1"/>
  <c r="AF486" i="1"/>
  <c r="BM229" i="1"/>
  <c r="BM280" i="1"/>
  <c r="AX463" i="1" l="1"/>
  <c r="AX464" i="1" s="1"/>
  <c r="AX465" i="1" s="1"/>
  <c r="AY462" i="1" s="1"/>
  <c r="AY461" i="1"/>
  <c r="AY463" i="1" s="1"/>
  <c r="AF488" i="1"/>
  <c r="AF490" i="1" s="1"/>
  <c r="AG487" i="1" s="1"/>
  <c r="AG486" i="1"/>
  <c r="AG488" i="1" s="1"/>
  <c r="AG281" i="1"/>
  <c r="AG232" i="1" s="1"/>
  <c r="AH484" i="1"/>
  <c r="AG490" i="1" l="1"/>
  <c r="AH487" i="1" s="1"/>
  <c r="AY464" i="1"/>
  <c r="AY465" i="1" s="1"/>
  <c r="AH486" i="1"/>
  <c r="AH281" i="1"/>
  <c r="AH232" i="1" s="1"/>
  <c r="AI484" i="1"/>
  <c r="AH485" i="1"/>
  <c r="AJ484" i="1" l="1"/>
  <c r="AJ485" i="1" s="1"/>
  <c r="AI281" i="1"/>
  <c r="AI485" i="1"/>
  <c r="AH488" i="1"/>
  <c r="AH490" i="1" s="1"/>
  <c r="AI487" i="1" s="1"/>
  <c r="AI486" i="1"/>
  <c r="AJ486" i="1" l="1"/>
  <c r="AJ488" i="1" s="1"/>
  <c r="AI488" i="1"/>
  <c r="AI490" i="1" s="1"/>
  <c r="AJ487" i="1" s="1"/>
  <c r="BJ281" i="1"/>
  <c r="AI232" i="1"/>
  <c r="BJ232" i="1" s="1"/>
  <c r="AK484" i="1"/>
  <c r="AJ281" i="1"/>
  <c r="AJ232" i="1" s="1"/>
  <c r="AJ490" i="1" l="1"/>
  <c r="AK487" i="1" s="1"/>
  <c r="AK486" i="1"/>
  <c r="AK485" i="1"/>
  <c r="AL484" i="1"/>
  <c r="AK281" i="1"/>
  <c r="AK232" i="1" s="1"/>
  <c r="Z5" i="10"/>
  <c r="Z7" i="10" s="1"/>
  <c r="Z76" i="10"/>
  <c r="Z78" i="10" s="1"/>
  <c r="Z126" i="10"/>
  <c r="Z127" i="10"/>
  <c r="Z128" i="10"/>
  <c r="Z129" i="10"/>
  <c r="AK488" i="1" l="1"/>
  <c r="AK490" i="1" s="1"/>
  <c r="AL487" i="1" s="1"/>
  <c r="AL281" i="1"/>
  <c r="AL232" i="1" s="1"/>
  <c r="AM484" i="1"/>
  <c r="AM485" i="1" s="1"/>
  <c r="AL486" i="1"/>
  <c r="AL485" i="1"/>
  <c r="Z6" i="10"/>
  <c r="BH21" i="1"/>
  <c r="BH27" i="1" s="1"/>
  <c r="BH28" i="1" s="1"/>
  <c r="AL488" i="1" l="1"/>
  <c r="AL490" i="1" s="1"/>
  <c r="AM487" i="1" s="1"/>
  <c r="AN484" i="1"/>
  <c r="AM281" i="1"/>
  <c r="AM486" i="1"/>
  <c r="AM488" i="1" s="1"/>
  <c r="BH14" i="1"/>
  <c r="AB31" i="1"/>
  <c r="Z57" i="10"/>
  <c r="AM490" i="1" l="1"/>
  <c r="AN487" i="1" s="1"/>
  <c r="BK281" i="1"/>
  <c r="AM232" i="1"/>
  <c r="BK232" i="1" s="1"/>
  <c r="AN485" i="1"/>
  <c r="AN281" i="1"/>
  <c r="AN232" i="1" s="1"/>
  <c r="AN486" i="1"/>
  <c r="AO484" i="1"/>
  <c r="BH84" i="1"/>
  <c r="AA35" i="8"/>
  <c r="AC35" i="8" s="1"/>
  <c r="BH85" i="1"/>
  <c r="AA36" i="8"/>
  <c r="AC36" i="8" s="1"/>
  <c r="AA75" i="10"/>
  <c r="AA77" i="10" s="1"/>
  <c r="BH17" i="1"/>
  <c r="BH73" i="1" s="1"/>
  <c r="BH16" i="1"/>
  <c r="BH72" i="1" s="1"/>
  <c r="BH70" i="1"/>
  <c r="Z109" i="10"/>
  <c r="Z110" i="10"/>
  <c r="AP484" i="1" l="1"/>
  <c r="AP485" i="1" s="1"/>
  <c r="AO486" i="1"/>
  <c r="AO485" i="1"/>
  <c r="AO281" i="1"/>
  <c r="AO232" i="1" s="1"/>
  <c r="AN488" i="1"/>
  <c r="AN490" i="1" s="1"/>
  <c r="AO487" i="1" s="1"/>
  <c r="BH82" i="1"/>
  <c r="AA33" i="8"/>
  <c r="AC33" i="8" s="1"/>
  <c r="BH178" i="1"/>
  <c r="BH177" i="1"/>
  <c r="BH159" i="1"/>
  <c r="BH158" i="1"/>
  <c r="Z64" i="1"/>
  <c r="AQ484" i="1" l="1"/>
  <c r="AO488" i="1"/>
  <c r="AO490" i="1" s="1"/>
  <c r="AP487" i="1" s="1"/>
  <c r="AP281" i="1"/>
  <c r="AP232" i="1" s="1"/>
  <c r="AP486" i="1"/>
  <c r="AP488" i="1" s="1"/>
  <c r="Z39" i="10"/>
  <c r="Z40" i="10"/>
  <c r="Z218" i="10"/>
  <c r="AP490" i="1" l="1"/>
  <c r="AQ487" i="1" s="1"/>
  <c r="AQ281" i="1"/>
  <c r="AQ232" i="1" s="1"/>
  <c r="AR484" i="1"/>
  <c r="AQ485" i="1"/>
  <c r="AQ486" i="1"/>
  <c r="Z395" i="1"/>
  <c r="Z396" i="1" s="1"/>
  <c r="AQ488" i="1" l="1"/>
  <c r="AQ490" i="1" s="1"/>
  <c r="AR487" i="1" s="1"/>
  <c r="AR281" i="1"/>
  <c r="AR232" i="1" s="1"/>
  <c r="AS484" i="1"/>
  <c r="AR486" i="1"/>
  <c r="AR485" i="1"/>
  <c r="BL232" i="1"/>
  <c r="BL281" i="1"/>
  <c r="Z131" i="1"/>
  <c r="Z130" i="1" s="1"/>
  <c r="Z393" i="1"/>
  <c r="AS281" i="1" l="1"/>
  <c r="AS232" i="1" s="1"/>
  <c r="AT484" i="1"/>
  <c r="AS486" i="1"/>
  <c r="AR488" i="1"/>
  <c r="AR490" i="1" s="1"/>
  <c r="AS487" i="1" s="1"/>
  <c r="AS485" i="1"/>
  <c r="Z406" i="1"/>
  <c r="Z402" i="1"/>
  <c r="Z401" i="1"/>
  <c r="Z127" i="1"/>
  <c r="Z132" i="1"/>
  <c r="Z185" i="1"/>
  <c r="AA437" i="1"/>
  <c r="AA439" i="1" s="1"/>
  <c r="AS488" i="1" l="1"/>
  <c r="AS490" i="1" s="1"/>
  <c r="AT487" i="1" s="1"/>
  <c r="AT486" i="1"/>
  <c r="AT281" i="1"/>
  <c r="AT232" i="1" s="1"/>
  <c r="AU484" i="1"/>
  <c r="AU486" i="1" s="1"/>
  <c r="AT485" i="1"/>
  <c r="Z186" i="1"/>
  <c r="Z170" i="1"/>
  <c r="Z27" i="8" s="1"/>
  <c r="Z182" i="1"/>
  <c r="Z29" i="8" s="1"/>
  <c r="Z128" i="1"/>
  <c r="AU281" i="1" l="1"/>
  <c r="AU232" i="1" s="1"/>
  <c r="AV484" i="1"/>
  <c r="AV486" i="1" s="1"/>
  <c r="AT488" i="1"/>
  <c r="AT490" i="1" s="1"/>
  <c r="AU487" i="1" s="1"/>
  <c r="AU485" i="1"/>
  <c r="AU488" i="1" s="1"/>
  <c r="BN229" i="1"/>
  <c r="BN280" i="1"/>
  <c r="Z147" i="10"/>
  <c r="Z148" i="10"/>
  <c r="BH235" i="1"/>
  <c r="Z201" i="10"/>
  <c r="AU490" i="1" l="1"/>
  <c r="AV487" i="1" s="1"/>
  <c r="AV485" i="1"/>
  <c r="AV488" i="1" s="1"/>
  <c r="AV281" i="1"/>
  <c r="AV232" i="1" s="1"/>
  <c r="AW484" i="1"/>
  <c r="AW485" i="1" s="1"/>
  <c r="BM281" i="1"/>
  <c r="BM232" i="1"/>
  <c r="AV490" i="1" l="1"/>
  <c r="AW487" i="1" s="1"/>
  <c r="AW490" i="1" s="1"/>
  <c r="AX487" i="1" s="1"/>
  <c r="AW486" i="1"/>
  <c r="AW488" i="1" s="1"/>
  <c r="AW281" i="1"/>
  <c r="AW232" i="1" s="1"/>
  <c r="AX484" i="1"/>
  <c r="AX281" i="1" l="1"/>
  <c r="AX232" i="1" s="1"/>
  <c r="AY484" i="1"/>
  <c r="AY281" i="1" s="1"/>
  <c r="AX485" i="1"/>
  <c r="AX486" i="1"/>
  <c r="AY232" i="1" l="1"/>
  <c r="BN232" i="1" s="1"/>
  <c r="BN281" i="1"/>
  <c r="AY486" i="1"/>
  <c r="AX488" i="1"/>
  <c r="AX490" i="1" s="1"/>
  <c r="AY487" i="1" s="1"/>
  <c r="AY485" i="1"/>
  <c r="AA5" i="10"/>
  <c r="AA7" i="10" s="1"/>
  <c r="AA76" i="10"/>
  <c r="AA78" i="10" s="1"/>
  <c r="AA126" i="10"/>
  <c r="AA127" i="10"/>
  <c r="AA128" i="10"/>
  <c r="AA129" i="10"/>
  <c r="BH15" i="1"/>
  <c r="BH71" i="1" s="1"/>
  <c r="AB42" i="1"/>
  <c r="AB41" i="1" s="1"/>
  <c r="AB32" i="1" s="1"/>
  <c r="AB21" i="1" s="1"/>
  <c r="AB337" i="1" s="1"/>
  <c r="AB341" i="1" s="1"/>
  <c r="AA34" i="8"/>
  <c r="AC34" i="8" s="1"/>
  <c r="AY488" i="1" l="1"/>
  <c r="AY490" i="1" s="1"/>
  <c r="BH18" i="1"/>
  <c r="F4" i="24" s="1"/>
  <c r="AA6" i="10"/>
  <c r="BH83" i="1"/>
  <c r="BH86" i="1" s="1"/>
  <c r="BH92" i="1"/>
  <c r="BH97" i="1"/>
  <c r="BH95" i="1"/>
  <c r="BH93" i="1"/>
  <c r="AB14" i="1"/>
  <c r="AB17" i="1"/>
  <c r="AC31" i="1"/>
  <c r="AB16" i="1"/>
  <c r="AB124" i="1" s="1"/>
  <c r="AB27" i="1"/>
  <c r="AB28" i="1" s="1"/>
  <c r="AC30" i="1"/>
  <c r="BH19" i="1" l="1"/>
  <c r="AN21" i="8" s="1"/>
  <c r="BH74" i="1"/>
  <c r="BH87" i="1"/>
  <c r="AA11" i="8"/>
  <c r="BH90" i="1"/>
  <c r="BH176" i="1"/>
  <c r="BH94" i="1"/>
  <c r="BH91" i="1"/>
  <c r="BH211" i="1"/>
  <c r="BH269" i="1"/>
  <c r="BH105" i="1"/>
  <c r="BH106" i="1" s="1"/>
  <c r="BH173" i="1"/>
  <c r="BH327" i="1"/>
  <c r="BH328" i="1" s="1"/>
  <c r="AB72" i="1"/>
  <c r="AB70" i="1"/>
  <c r="AB82" i="1"/>
  <c r="AB159" i="1" s="1"/>
  <c r="AB73" i="1"/>
  <c r="AB85" i="1"/>
  <c r="AA17" i="8" l="1"/>
  <c r="AC17" i="8" s="1"/>
  <c r="AA20" i="8"/>
  <c r="AC20" i="8" s="1"/>
  <c r="BH206" i="1"/>
  <c r="BH110" i="1"/>
  <c r="BH180" i="1"/>
  <c r="BH216" i="1"/>
  <c r="BH283" i="1"/>
  <c r="AE11" i="8"/>
  <c r="AA12" i="8"/>
  <c r="AA13" i="8"/>
  <c r="AC11" i="8"/>
  <c r="BH96" i="1"/>
  <c r="BH100" i="1" s="1"/>
  <c r="BH102" i="1" s="1"/>
  <c r="AA30" i="8"/>
  <c r="BH223" i="1"/>
  <c r="AA57" i="10"/>
  <c r="BH321" i="1"/>
  <c r="AB178" i="1"/>
  <c r="AB158" i="1"/>
  <c r="AB177" i="1"/>
  <c r="AA14" i="8" l="1"/>
  <c r="AO77" i="8"/>
  <c r="AC13" i="8"/>
  <c r="AE13" i="8"/>
  <c r="AC12" i="8"/>
  <c r="AE12" i="8"/>
  <c r="BH322" i="1"/>
  <c r="BH330" i="1"/>
  <c r="F6" i="24"/>
  <c r="AN23" i="8"/>
  <c r="BH224" i="1"/>
  <c r="BH103" i="1"/>
  <c r="BH108" i="1"/>
  <c r="BH335" i="1"/>
  <c r="BH313" i="1"/>
  <c r="BH262" i="1"/>
  <c r="AA31" i="8"/>
  <c r="AC31" i="8" s="1"/>
  <c r="AC30" i="8"/>
  <c r="AA64" i="1" l="1"/>
  <c r="AB64" i="1" s="1"/>
  <c r="AC64" i="1" s="1"/>
  <c r="BH113" i="1"/>
  <c r="BH340" i="1"/>
  <c r="AA39" i="8"/>
  <c r="AC39" i="8" s="1"/>
  <c r="AA109" i="10"/>
  <c r="AA19" i="8"/>
  <c r="AA15" i="8"/>
  <c r="AC15" i="8" s="1"/>
  <c r="AA16" i="8"/>
  <c r="AC16" i="8" s="1"/>
  <c r="AC14" i="8"/>
  <c r="BH174" i="1" l="1"/>
  <c r="AA39" i="10"/>
  <c r="AA40" i="10"/>
  <c r="BH114" i="1"/>
  <c r="AN22" i="8"/>
  <c r="F5" i="24"/>
  <c r="AA22" i="8"/>
  <c r="AC19" i="8"/>
  <c r="AA110" i="10"/>
  <c r="AA40" i="8"/>
  <c r="AC40" i="8" s="1"/>
  <c r="BH338" i="1"/>
  <c r="AD64" i="1"/>
  <c r="AE64" i="1" l="1"/>
  <c r="AA23" i="8"/>
  <c r="AC22" i="8"/>
  <c r="AE22" i="8"/>
  <c r="AC23" i="8" l="1"/>
  <c r="AE23" i="8"/>
  <c r="AF64" i="1"/>
  <c r="AG64" i="1" l="1"/>
  <c r="AH64" i="1" s="1"/>
  <c r="AI64" i="1" l="1"/>
  <c r="AJ64" i="1" s="1"/>
  <c r="AK64" i="1" s="1"/>
  <c r="AL64" i="1" l="1"/>
  <c r="AM64" i="1" l="1"/>
  <c r="AN64" i="1" l="1"/>
  <c r="AO64" i="1" l="1"/>
  <c r="AP64" i="1" l="1"/>
  <c r="AQ64" i="1" s="1"/>
  <c r="AR64" i="1" l="1"/>
  <c r="AS64" i="1" s="1"/>
  <c r="AA24" i="8"/>
  <c r="AE24" i="8" s="1"/>
  <c r="BH116" i="1"/>
  <c r="BH117" i="1"/>
  <c r="BH118" i="1"/>
  <c r="AA25" i="8"/>
  <c r="AC25" i="8" s="1"/>
  <c r="AA218" i="10"/>
  <c r="BH204" i="1"/>
  <c r="BH121" i="1" l="1"/>
  <c r="BH126" i="1" s="1"/>
  <c r="AT64" i="1"/>
  <c r="BH157" i="1"/>
  <c r="BH161" i="1" s="1"/>
  <c r="BH203" i="1"/>
  <c r="BH219" i="1" s="1"/>
  <c r="BH254" i="1" s="1"/>
  <c r="AC24" i="8"/>
  <c r="AU64" i="1" l="1"/>
  <c r="AA434" i="1"/>
  <c r="AA435" i="1" s="1"/>
  <c r="AA26" i="8"/>
  <c r="AC26" i="8" s="1"/>
  <c r="BH169" i="1"/>
  <c r="BH376" i="1"/>
  <c r="AV64" i="1" l="1"/>
  <c r="AA436" i="1"/>
  <c r="AA395" i="1" s="1"/>
  <c r="AA396" i="1" s="1"/>
  <c r="AB396" i="1" s="1"/>
  <c r="AC396" i="1" s="1"/>
  <c r="AD396" i="1" s="1"/>
  <c r="AE396" i="1" s="1"/>
  <c r="AF396" i="1" s="1"/>
  <c r="AG396" i="1" s="1"/>
  <c r="AH396" i="1" s="1"/>
  <c r="AI396" i="1" s="1"/>
  <c r="AJ396" i="1" s="1"/>
  <c r="AK396" i="1" s="1"/>
  <c r="AL396" i="1" s="1"/>
  <c r="AM396" i="1" s="1"/>
  <c r="AN396" i="1" s="1"/>
  <c r="AO396" i="1" s="1"/>
  <c r="AP396" i="1" s="1"/>
  <c r="AQ396" i="1" s="1"/>
  <c r="AR396" i="1" s="1"/>
  <c r="AS396" i="1" s="1"/>
  <c r="AT396" i="1" s="1"/>
  <c r="AU396" i="1" s="1"/>
  <c r="AV396" i="1" s="1"/>
  <c r="AW396" i="1" s="1"/>
  <c r="AX396" i="1" s="1"/>
  <c r="AY396" i="1" s="1"/>
  <c r="AN24" i="8"/>
  <c r="AA28" i="8"/>
  <c r="AC28" i="8" s="1"/>
  <c r="BH181" i="1"/>
  <c r="BH236" i="1"/>
  <c r="AW64" i="1" l="1"/>
  <c r="AX64" i="1" s="1"/>
  <c r="AA438" i="1"/>
  <c r="AA440" i="1" s="1"/>
  <c r="BH294" i="1"/>
  <c r="AA132" i="1"/>
  <c r="D6" i="4" s="1"/>
  <c r="AA185" i="1"/>
  <c r="AA186" i="1" s="1"/>
  <c r="AA148" i="10" s="1"/>
  <c r="BH381" i="1"/>
  <c r="BH132" i="1" s="1"/>
  <c r="BH128" i="1" s="1"/>
  <c r="BH395" i="1"/>
  <c r="BH394" i="1"/>
  <c r="AA131" i="1"/>
  <c r="BH380" i="1"/>
  <c r="E29" i="4" l="1"/>
  <c r="E22" i="4"/>
  <c r="D22" i="4"/>
  <c r="F29" i="4"/>
  <c r="D29" i="4"/>
  <c r="F22" i="4"/>
  <c r="AY64" i="1"/>
  <c r="AB373" i="1"/>
  <c r="AA393" i="1"/>
  <c r="BH295" i="1"/>
  <c r="AA170" i="1"/>
  <c r="AA182" i="1"/>
  <c r="BH282" i="1"/>
  <c r="AB235" i="1"/>
  <c r="AA147" i="10"/>
  <c r="BH185" i="1"/>
  <c r="BH186" i="1" s="1"/>
  <c r="AB437" i="1"/>
  <c r="BH383" i="1"/>
  <c r="BH131" i="1"/>
  <c r="BH384" i="1"/>
  <c r="AA128" i="1"/>
  <c r="AA130" i="1"/>
  <c r="AA127" i="1"/>
  <c r="AA406" i="1" l="1"/>
  <c r="AA402" i="1"/>
  <c r="AA401" i="1"/>
  <c r="BH187" i="1"/>
  <c r="BH279" i="1"/>
  <c r="BH289" i="1" s="1"/>
  <c r="BH299" i="1" s="1"/>
  <c r="BH393" i="1"/>
  <c r="BH401" i="1" s="1"/>
  <c r="BH228" i="1"/>
  <c r="BH238" i="1" s="1"/>
  <c r="BH240" i="1" s="1"/>
  <c r="BH242" i="1" s="1"/>
  <c r="BI241" i="1" s="1"/>
  <c r="AA29" i="8"/>
  <c r="AE29" i="8" s="1"/>
  <c r="BH182" i="1"/>
  <c r="BH130" i="1"/>
  <c r="BH127" i="1"/>
  <c r="AA27" i="8"/>
  <c r="BH170" i="1"/>
  <c r="AC187" i="1"/>
  <c r="AD187" i="1" l="1"/>
  <c r="AE187" i="1" s="1"/>
  <c r="AC27" i="8"/>
  <c r="AE27" i="8"/>
  <c r="AB241" i="1"/>
  <c r="AB368" i="1" s="1"/>
  <c r="AN25" i="8"/>
  <c r="AA43" i="8" l="1"/>
  <c r="AC43" i="8" s="1"/>
  <c r="BH268" i="1"/>
  <c r="BH397" i="1"/>
  <c r="AA201" i="10"/>
  <c r="BH263" i="1"/>
  <c r="BH266" i="1"/>
  <c r="BH314" i="1"/>
  <c r="BH315" i="1" s="1"/>
  <c r="AK413" i="1"/>
  <c r="AK408" i="1" s="1"/>
  <c r="BH399" i="1" l="1"/>
  <c r="BH276" i="1"/>
  <c r="BH301" i="1" s="1"/>
  <c r="AK410" i="1"/>
  <c r="AK409" i="1"/>
  <c r="AL408" i="1"/>
  <c r="AL410" i="1" s="1"/>
  <c r="AK412" i="1" l="1"/>
  <c r="AK414" i="1" s="1"/>
  <c r="AL411" i="1" s="1"/>
  <c r="AM408" i="1"/>
  <c r="AL409" i="1"/>
  <c r="AL412" i="1" s="1"/>
  <c r="AL414" i="1" l="1"/>
  <c r="AM411" i="1" s="1"/>
  <c r="AK291" i="1"/>
  <c r="AK234" i="1" s="1"/>
  <c r="AN408" i="1"/>
  <c r="AN409" i="1" s="1"/>
  <c r="AM409" i="1"/>
  <c r="AM410" i="1"/>
  <c r="AM412" i="1" l="1"/>
  <c r="AM414" i="1" s="1"/>
  <c r="AN411" i="1" s="1"/>
  <c r="AL291" i="1"/>
  <c r="AL234" i="1" s="1"/>
  <c r="AO408" i="1"/>
  <c r="AO410" i="1" s="1"/>
  <c r="AN410" i="1"/>
  <c r="AN412" i="1" s="1"/>
  <c r="AM291" i="1" l="1"/>
  <c r="BK291" i="1" s="1"/>
  <c r="AN414" i="1"/>
  <c r="AO411" i="1" s="1"/>
  <c r="AN291" i="1"/>
  <c r="AP408" i="1"/>
  <c r="AO409" i="1"/>
  <c r="AO412" i="1" s="1"/>
  <c r="AN234" i="1" l="1"/>
  <c r="AM234" i="1"/>
  <c r="BK234" i="1" s="1"/>
  <c r="AO414" i="1"/>
  <c r="AO291" i="1" s="1"/>
  <c r="AO234" i="1" s="1"/>
  <c r="AQ408" i="1"/>
  <c r="AP410" i="1"/>
  <c r="AP409" i="1"/>
  <c r="AP411" i="1" l="1"/>
  <c r="AR408" i="1"/>
  <c r="AQ409" i="1"/>
  <c r="AQ410" i="1"/>
  <c r="AP412" i="1"/>
  <c r="AP414" i="1" s="1"/>
  <c r="AQ411" i="1" s="1"/>
  <c r="AQ412" i="1" l="1"/>
  <c r="AQ414" i="1" s="1"/>
  <c r="AQ291" i="1" s="1"/>
  <c r="AS408" i="1"/>
  <c r="AS410" i="1" s="1"/>
  <c r="AR410" i="1"/>
  <c r="AR409" i="1"/>
  <c r="AP291" i="1"/>
  <c r="AP234" i="1" s="1"/>
  <c r="AQ234" i="1" l="1"/>
  <c r="BL234" i="1" s="1"/>
  <c r="AR411" i="1"/>
  <c r="AR412" i="1"/>
  <c r="AR414" i="1" s="1"/>
  <c r="AT408" i="1"/>
  <c r="AS409" i="1"/>
  <c r="AS412" i="1" s="1"/>
  <c r="BL291" i="1"/>
  <c r="AS411" i="1" l="1"/>
  <c r="AS414" i="1" s="1"/>
  <c r="AR291" i="1"/>
  <c r="AR234" i="1" s="1"/>
  <c r="AT409" i="1"/>
  <c r="AU408" i="1"/>
  <c r="AU410" i="1" s="1"/>
  <c r="AT410" i="1"/>
  <c r="AU409" i="1" l="1"/>
  <c r="AU412" i="1" s="1"/>
  <c r="AT412" i="1"/>
  <c r="AT411" i="1"/>
  <c r="AT414" i="1" s="1"/>
  <c r="AS291" i="1"/>
  <c r="AS234" i="1" s="1"/>
  <c r="AV408" i="1"/>
  <c r="AV410" i="1" s="1"/>
  <c r="AU411" i="1" l="1"/>
  <c r="AU414" i="1" s="1"/>
  <c r="AT291" i="1"/>
  <c r="AT234" i="1" s="1"/>
  <c r="AV409" i="1"/>
  <c r="AV412" i="1" s="1"/>
  <c r="AW408" i="1"/>
  <c r="AW410" i="1" s="1"/>
  <c r="AX408" i="1" l="1"/>
  <c r="AW409" i="1"/>
  <c r="AW412" i="1" s="1"/>
  <c r="AU291" i="1"/>
  <c r="AV411" i="1"/>
  <c r="AV414" i="1" s="1"/>
  <c r="AV291" i="1" l="1"/>
  <c r="AV234" i="1" s="1"/>
  <c r="AW411" i="1"/>
  <c r="AW414" i="1" s="1"/>
  <c r="AX410" i="1"/>
  <c r="AY408" i="1"/>
  <c r="AY409" i="1" s="1"/>
  <c r="AX409" i="1"/>
  <c r="AU234" i="1"/>
  <c r="BM234" i="1" s="1"/>
  <c r="BM291" i="1"/>
  <c r="AX412" i="1" l="1"/>
  <c r="AY410" i="1"/>
  <c r="AY412" i="1" s="1"/>
  <c r="AX411" i="1"/>
  <c r="AW291" i="1"/>
  <c r="AW234" i="1" s="1"/>
  <c r="AX414" i="1" l="1"/>
  <c r="AX291" i="1" s="1"/>
  <c r="AX234" i="1" s="1"/>
  <c r="AY411" i="1" l="1"/>
  <c r="AY414" i="1" s="1"/>
  <c r="AY291" i="1" s="1"/>
  <c r="AY234" i="1" s="1"/>
  <c r="BN234" i="1" s="1"/>
  <c r="X351" i="1"/>
  <c r="Y351" i="1"/>
  <c r="Z351" i="1"/>
  <c r="AA351" i="1"/>
  <c r="AB351" i="1" s="1"/>
  <c r="BN291" i="1" l="1"/>
  <c r="AC351" i="1"/>
  <c r="AD351" i="1" s="1"/>
  <c r="AE351" i="1" l="1"/>
  <c r="AF351" i="1" l="1"/>
  <c r="AG351" i="1" l="1"/>
  <c r="AH351" i="1" l="1"/>
  <c r="AI351" i="1" l="1"/>
  <c r="AJ351" i="1" l="1"/>
  <c r="AK351" i="1" l="1"/>
  <c r="AL351" i="1" l="1"/>
  <c r="AM351" i="1" l="1"/>
  <c r="AN351" i="1" l="1"/>
  <c r="AO351" i="1" l="1"/>
  <c r="AP351" i="1" l="1"/>
  <c r="AQ351" i="1" l="1"/>
  <c r="AR351" i="1" l="1"/>
  <c r="AS351" i="1" l="1"/>
  <c r="AT351" i="1" l="1"/>
  <c r="AU351" i="1" l="1"/>
  <c r="AV351" i="1" l="1"/>
  <c r="AW351" i="1" l="1"/>
  <c r="AX351" i="1" l="1"/>
  <c r="AY351" i="1" l="1"/>
  <c r="BJ124" i="1" l="1"/>
  <c r="BK124" i="1"/>
  <c r="BL124" i="1"/>
  <c r="BM124" i="1"/>
  <c r="BN124" i="1"/>
  <c r="D8" i="5" l="1"/>
  <c r="E8" i="5"/>
  <c r="F8" i="5"/>
  <c r="G8" i="5"/>
  <c r="H8" i="5"/>
  <c r="I8" i="5"/>
  <c r="J8" i="5"/>
  <c r="K8" i="5"/>
  <c r="L8" i="5"/>
  <c r="M8" i="5"/>
  <c r="N8" i="5"/>
  <c r="O8" i="5"/>
  <c r="Q8" i="5"/>
  <c r="R8" i="5"/>
  <c r="S8" i="5"/>
  <c r="T8" i="5"/>
  <c r="U8" i="5"/>
  <c r="V8" i="5"/>
  <c r="W8" i="5"/>
  <c r="E9" i="5"/>
  <c r="F9" i="5"/>
  <c r="G9" i="5"/>
  <c r="H9" i="5"/>
  <c r="I9" i="5"/>
  <c r="J9" i="5"/>
  <c r="K9" i="5"/>
  <c r="L9" i="5"/>
  <c r="M9" i="5"/>
  <c r="N9" i="5"/>
  <c r="O9" i="5"/>
  <c r="R9" i="5"/>
  <c r="S9" i="5"/>
  <c r="T9" i="5"/>
  <c r="U9" i="5"/>
  <c r="V9" i="5"/>
  <c r="W9" i="5"/>
  <c r="D11" i="5"/>
  <c r="E11" i="5"/>
  <c r="F11" i="5"/>
  <c r="G11" i="5"/>
  <c r="H11" i="5"/>
  <c r="I11" i="5"/>
  <c r="J11" i="5"/>
  <c r="K11" i="5"/>
  <c r="L11" i="5"/>
  <c r="M11" i="5"/>
  <c r="N11" i="5"/>
  <c r="O11" i="5"/>
  <c r="Q11" i="5"/>
  <c r="R11" i="5"/>
  <c r="S11" i="5"/>
  <c r="T11" i="5"/>
  <c r="U11" i="5"/>
  <c r="V11" i="5"/>
  <c r="W11" i="5"/>
  <c r="D13" i="5"/>
  <c r="E13" i="5"/>
  <c r="F13" i="5"/>
  <c r="G13" i="5"/>
  <c r="H13" i="5"/>
  <c r="I13" i="5"/>
  <c r="J13" i="5"/>
  <c r="K13" i="5"/>
  <c r="L13" i="5"/>
  <c r="M13" i="5"/>
  <c r="N13" i="5"/>
  <c r="O13" i="5"/>
  <c r="Q13" i="5"/>
  <c r="R13" i="5"/>
  <c r="S13" i="5"/>
  <c r="T13" i="5"/>
  <c r="U13" i="5"/>
  <c r="V13" i="5"/>
  <c r="W13" i="5"/>
  <c r="D14" i="5"/>
  <c r="E14" i="5"/>
  <c r="F14" i="5"/>
  <c r="G14" i="5"/>
  <c r="H14" i="5"/>
  <c r="I14" i="5"/>
  <c r="J14" i="5"/>
  <c r="K14" i="5"/>
  <c r="L14" i="5"/>
  <c r="M14" i="5"/>
  <c r="N14" i="5"/>
  <c r="O14" i="5"/>
  <c r="Q14" i="5"/>
  <c r="R14" i="5"/>
  <c r="S14" i="5"/>
  <c r="T14" i="5"/>
  <c r="U14" i="5"/>
  <c r="V14" i="5"/>
  <c r="W14" i="5"/>
  <c r="D16" i="5"/>
  <c r="E16" i="5"/>
  <c r="F16" i="5"/>
  <c r="G16" i="5"/>
  <c r="H16" i="5"/>
  <c r="I16" i="5"/>
  <c r="J16" i="5"/>
  <c r="K16" i="5"/>
  <c r="L16" i="5"/>
  <c r="M16" i="5"/>
  <c r="N16" i="5"/>
  <c r="O16" i="5"/>
  <c r="S16" i="5"/>
  <c r="T16" i="5"/>
  <c r="U16" i="5"/>
  <c r="V16" i="5"/>
  <c r="W16" i="5"/>
  <c r="D17" i="5"/>
  <c r="E17" i="5"/>
  <c r="F17" i="5"/>
  <c r="G17" i="5"/>
  <c r="H17" i="5"/>
  <c r="I17" i="5"/>
  <c r="J17" i="5"/>
  <c r="K17" i="5"/>
  <c r="L17" i="5"/>
  <c r="M17" i="5"/>
  <c r="N17" i="5"/>
  <c r="O17" i="5"/>
  <c r="S17" i="5"/>
  <c r="T17" i="5"/>
  <c r="U17" i="5"/>
  <c r="V17" i="5"/>
  <c r="W17" i="5"/>
  <c r="D19" i="5"/>
  <c r="E19" i="5"/>
  <c r="F19" i="5"/>
  <c r="G19" i="5"/>
  <c r="H19" i="5"/>
  <c r="I19" i="5"/>
  <c r="J19" i="5"/>
  <c r="K19" i="5"/>
  <c r="L19" i="5"/>
  <c r="M19" i="5"/>
  <c r="N19" i="5"/>
  <c r="O19" i="5"/>
  <c r="S19" i="5"/>
  <c r="T19" i="5"/>
  <c r="U19" i="5"/>
  <c r="V19" i="5"/>
  <c r="W19" i="5"/>
  <c r="F21" i="5"/>
  <c r="G21" i="5"/>
  <c r="H21" i="5"/>
  <c r="I21" i="5"/>
  <c r="J21" i="5"/>
  <c r="K21" i="5"/>
  <c r="L21" i="5"/>
  <c r="M21" i="5"/>
  <c r="N21" i="5"/>
  <c r="O21" i="5"/>
  <c r="S21" i="5"/>
  <c r="T21" i="5"/>
  <c r="U21" i="5"/>
  <c r="V21" i="5"/>
  <c r="W21" i="5"/>
  <c r="D23" i="5"/>
  <c r="E23" i="5"/>
  <c r="F23" i="5"/>
  <c r="G23" i="5"/>
  <c r="H23" i="5"/>
  <c r="I23" i="5"/>
  <c r="J23" i="5"/>
  <c r="K23" i="5"/>
  <c r="L23" i="5"/>
  <c r="M23" i="5"/>
  <c r="N23" i="5"/>
  <c r="O23" i="5"/>
  <c r="S23" i="5"/>
  <c r="T23" i="5"/>
  <c r="U23" i="5"/>
  <c r="V23" i="5"/>
  <c r="W23" i="5"/>
  <c r="F25" i="5"/>
  <c r="G25" i="5"/>
  <c r="H25" i="5"/>
  <c r="I25" i="5"/>
  <c r="J25" i="5"/>
  <c r="K25" i="5"/>
  <c r="L25" i="5"/>
  <c r="M25" i="5"/>
  <c r="N25" i="5"/>
  <c r="O25" i="5"/>
  <c r="S25" i="5"/>
  <c r="T25" i="5"/>
  <c r="U25" i="5"/>
  <c r="V25" i="5"/>
  <c r="W25" i="5"/>
  <c r="E27" i="5"/>
  <c r="F27" i="5"/>
  <c r="G27" i="5"/>
  <c r="H27" i="5"/>
  <c r="I27" i="5"/>
  <c r="J27" i="5"/>
  <c r="K27" i="5"/>
  <c r="L27" i="5"/>
  <c r="M27" i="5"/>
  <c r="N27" i="5"/>
  <c r="O27" i="5"/>
  <c r="S27" i="5"/>
  <c r="T27" i="5"/>
  <c r="U27" i="5"/>
  <c r="V27" i="5"/>
  <c r="W27" i="5"/>
  <c r="F29" i="5"/>
  <c r="G29" i="5"/>
  <c r="H29" i="5"/>
  <c r="I29" i="5"/>
  <c r="J29" i="5"/>
  <c r="K29" i="5"/>
  <c r="L29" i="5"/>
  <c r="M29" i="5"/>
  <c r="N29" i="5"/>
  <c r="O29" i="5"/>
  <c r="S29" i="5"/>
  <c r="T29" i="5"/>
  <c r="U29" i="5"/>
  <c r="V29" i="5"/>
  <c r="W29" i="5"/>
  <c r="X8" i="5"/>
  <c r="Y8" i="5"/>
  <c r="X9" i="5"/>
  <c r="Y9" i="5"/>
  <c r="X11" i="5"/>
  <c r="Y11" i="5"/>
  <c r="X13" i="5"/>
  <c r="Y13" i="5"/>
  <c r="X14" i="5"/>
  <c r="Y14" i="5"/>
  <c r="X16" i="5"/>
  <c r="Y16" i="5"/>
  <c r="X17" i="5"/>
  <c r="Y17" i="5"/>
  <c r="X19" i="5"/>
  <c r="Y19" i="5"/>
  <c r="X21" i="5"/>
  <c r="Y21" i="5"/>
  <c r="X23" i="5"/>
  <c r="Y23" i="5"/>
  <c r="X25" i="5"/>
  <c r="Y25" i="5"/>
  <c r="X27" i="5"/>
  <c r="Y27" i="5"/>
  <c r="X29" i="5"/>
  <c r="Y29" i="5"/>
  <c r="D39" i="5"/>
  <c r="E39" i="5"/>
  <c r="F39" i="5"/>
  <c r="G39" i="5"/>
  <c r="H39" i="5"/>
  <c r="I39" i="5"/>
  <c r="J39" i="5"/>
  <c r="K39" i="5"/>
  <c r="L39" i="5"/>
  <c r="M39" i="5"/>
  <c r="N39" i="5"/>
  <c r="O39" i="5"/>
  <c r="Q39" i="5"/>
  <c r="R39" i="5"/>
  <c r="S39" i="5"/>
  <c r="T39" i="5"/>
  <c r="U39" i="5"/>
  <c r="V39" i="5"/>
  <c r="W39" i="5"/>
  <c r="X39" i="5"/>
  <c r="Y39" i="5"/>
  <c r="E40" i="5"/>
  <c r="F40" i="5"/>
  <c r="G40" i="5"/>
  <c r="H40" i="5"/>
  <c r="I40" i="5"/>
  <c r="J40" i="5"/>
  <c r="K40" i="5"/>
  <c r="L40" i="5"/>
  <c r="M40" i="5"/>
  <c r="N40" i="5"/>
  <c r="O40" i="5"/>
  <c r="R40" i="5"/>
  <c r="S40" i="5"/>
  <c r="T40" i="5"/>
  <c r="U40" i="5"/>
  <c r="V40" i="5"/>
  <c r="W40" i="5"/>
  <c r="X40" i="5"/>
  <c r="Y40" i="5"/>
  <c r="D42" i="5"/>
  <c r="E42" i="5"/>
  <c r="F42" i="5"/>
  <c r="G42" i="5"/>
  <c r="H42" i="5"/>
  <c r="I42" i="5"/>
  <c r="J42" i="5"/>
  <c r="K42" i="5"/>
  <c r="L42" i="5"/>
  <c r="M42" i="5"/>
  <c r="N42" i="5"/>
  <c r="O42" i="5"/>
  <c r="Q42" i="5"/>
  <c r="R42" i="5"/>
  <c r="S42" i="5"/>
  <c r="T42" i="5"/>
  <c r="U42" i="5"/>
  <c r="V42" i="5"/>
  <c r="W42" i="5"/>
  <c r="X42" i="5"/>
  <c r="Y42" i="5"/>
  <c r="Q43" i="5"/>
  <c r="R43" i="5"/>
  <c r="D45" i="5"/>
  <c r="E45" i="5"/>
  <c r="F45" i="5"/>
  <c r="G45" i="5"/>
  <c r="H45" i="5"/>
  <c r="I45" i="5"/>
  <c r="J45" i="5"/>
  <c r="K45" i="5"/>
  <c r="L45" i="5"/>
  <c r="M45" i="5"/>
  <c r="N45" i="5"/>
  <c r="O45" i="5"/>
  <c r="Q45" i="5"/>
  <c r="R45" i="5"/>
  <c r="S45" i="5"/>
  <c r="T45" i="5"/>
  <c r="U45" i="5"/>
  <c r="V45" i="5"/>
  <c r="W45" i="5"/>
  <c r="X45" i="5"/>
  <c r="Y45" i="5"/>
  <c r="D46" i="5"/>
  <c r="E46" i="5"/>
  <c r="F46" i="5"/>
  <c r="G46" i="5"/>
  <c r="H46" i="5"/>
  <c r="I46" i="5"/>
  <c r="J46" i="5"/>
  <c r="K46" i="5"/>
  <c r="L46" i="5"/>
  <c r="M46" i="5"/>
  <c r="N46" i="5"/>
  <c r="O46" i="5"/>
  <c r="Q46" i="5"/>
  <c r="R46" i="5"/>
  <c r="S46" i="5"/>
  <c r="T46" i="5"/>
  <c r="U46" i="5"/>
  <c r="V46" i="5"/>
  <c r="W46" i="5"/>
  <c r="X46" i="5"/>
  <c r="Y46" i="5"/>
  <c r="D48" i="5"/>
  <c r="E48" i="5"/>
  <c r="F48" i="5"/>
  <c r="G48" i="5"/>
  <c r="H48" i="5"/>
  <c r="I48" i="5"/>
  <c r="J48" i="5"/>
  <c r="K48" i="5"/>
  <c r="L48" i="5"/>
  <c r="M48" i="5"/>
  <c r="N48" i="5"/>
  <c r="O48" i="5"/>
  <c r="S48" i="5"/>
  <c r="T48" i="5"/>
  <c r="U48" i="5"/>
  <c r="V48" i="5"/>
  <c r="W48" i="5"/>
  <c r="X48" i="5"/>
  <c r="Y48" i="5"/>
  <c r="D49" i="5"/>
  <c r="E49" i="5"/>
  <c r="F49" i="5"/>
  <c r="G49" i="5"/>
  <c r="H49" i="5"/>
  <c r="I49" i="5"/>
  <c r="J49" i="5"/>
  <c r="K49" i="5"/>
  <c r="L49" i="5"/>
  <c r="M49" i="5"/>
  <c r="N49" i="5"/>
  <c r="O49" i="5"/>
  <c r="S49" i="5"/>
  <c r="T49" i="5"/>
  <c r="U49" i="5"/>
  <c r="V49" i="5"/>
  <c r="W49" i="5"/>
  <c r="X49" i="5"/>
  <c r="Y49" i="5"/>
  <c r="D51" i="5"/>
  <c r="E51" i="5"/>
  <c r="F51" i="5"/>
  <c r="G51" i="5"/>
  <c r="H51" i="5"/>
  <c r="I51" i="5"/>
  <c r="J51" i="5"/>
  <c r="K51" i="5"/>
  <c r="L51" i="5"/>
  <c r="M51" i="5"/>
  <c r="N51" i="5"/>
  <c r="O51" i="5"/>
  <c r="S51" i="5"/>
  <c r="T51" i="5"/>
  <c r="U51" i="5"/>
  <c r="V51" i="5"/>
  <c r="W51" i="5"/>
  <c r="X51" i="5"/>
  <c r="Y51" i="5"/>
  <c r="F53" i="5"/>
  <c r="G53" i="5"/>
  <c r="H53" i="5"/>
  <c r="I53" i="5"/>
  <c r="J53" i="5"/>
  <c r="K53" i="5"/>
  <c r="L53" i="5"/>
  <c r="M53" i="5"/>
  <c r="N53" i="5"/>
  <c r="O53" i="5"/>
  <c r="S53" i="5"/>
  <c r="T53" i="5"/>
  <c r="U53" i="5"/>
  <c r="V53" i="5"/>
  <c r="W53" i="5"/>
  <c r="X53" i="5"/>
  <c r="Y53" i="5"/>
  <c r="D55" i="5"/>
  <c r="E55" i="5"/>
  <c r="F55" i="5"/>
  <c r="G55" i="5"/>
  <c r="H55" i="5"/>
  <c r="I55" i="5"/>
  <c r="J55" i="5"/>
  <c r="K55" i="5"/>
  <c r="L55" i="5"/>
  <c r="M55" i="5"/>
  <c r="N55" i="5"/>
  <c r="O55" i="5"/>
  <c r="S55" i="5"/>
  <c r="T55" i="5"/>
  <c r="U55" i="5"/>
  <c r="V55" i="5"/>
  <c r="W55" i="5"/>
  <c r="X55" i="5"/>
  <c r="Y55" i="5"/>
  <c r="F57" i="5"/>
  <c r="G57" i="5"/>
  <c r="H57" i="5"/>
  <c r="I57" i="5"/>
  <c r="J57" i="5"/>
  <c r="K57" i="5"/>
  <c r="L57" i="5"/>
  <c r="M57" i="5"/>
  <c r="N57" i="5"/>
  <c r="O57" i="5"/>
  <c r="S57" i="5"/>
  <c r="T57" i="5"/>
  <c r="U57" i="5"/>
  <c r="V57" i="5"/>
  <c r="W57" i="5"/>
  <c r="X57" i="5"/>
  <c r="Y57" i="5"/>
  <c r="E59" i="5"/>
  <c r="F59" i="5"/>
  <c r="G59" i="5"/>
  <c r="H59" i="5"/>
  <c r="I59" i="5"/>
  <c r="J59" i="5"/>
  <c r="K59" i="5"/>
  <c r="L59" i="5"/>
  <c r="M59" i="5"/>
  <c r="N59" i="5"/>
  <c r="O59" i="5"/>
  <c r="S59" i="5"/>
  <c r="T59" i="5"/>
  <c r="U59" i="5"/>
  <c r="V59" i="5"/>
  <c r="W59" i="5"/>
  <c r="X59" i="5"/>
  <c r="Y59" i="5"/>
  <c r="F61" i="5"/>
  <c r="G61" i="5"/>
  <c r="H61" i="5"/>
  <c r="I61" i="5"/>
  <c r="J61" i="5"/>
  <c r="K61" i="5"/>
  <c r="L61" i="5"/>
  <c r="M61" i="5"/>
  <c r="N61" i="5"/>
  <c r="O61" i="5"/>
  <c r="S61" i="5"/>
  <c r="T61" i="5"/>
  <c r="U61" i="5"/>
  <c r="V61" i="5"/>
  <c r="W61" i="5"/>
  <c r="X61" i="5"/>
  <c r="Y61" i="5"/>
  <c r="D71" i="5"/>
  <c r="E71" i="5"/>
  <c r="F71" i="5"/>
  <c r="G71" i="5"/>
  <c r="H71" i="5"/>
  <c r="I71" i="5"/>
  <c r="J71" i="5"/>
  <c r="K71" i="5"/>
  <c r="L71" i="5"/>
  <c r="M71" i="5"/>
  <c r="N71" i="5"/>
  <c r="O71" i="5"/>
  <c r="Q71" i="5"/>
  <c r="R71" i="5"/>
  <c r="S71" i="5"/>
  <c r="T71" i="5"/>
  <c r="U71" i="5"/>
  <c r="V71" i="5"/>
  <c r="W71" i="5"/>
  <c r="X71" i="5"/>
  <c r="Y71" i="5"/>
  <c r="E72" i="5"/>
  <c r="F72" i="5"/>
  <c r="G72" i="5"/>
  <c r="H72" i="5"/>
  <c r="I72" i="5"/>
  <c r="J72" i="5"/>
  <c r="K72" i="5"/>
  <c r="L72" i="5"/>
  <c r="M72" i="5"/>
  <c r="N72" i="5"/>
  <c r="O72" i="5"/>
  <c r="R72" i="5"/>
  <c r="S72" i="5"/>
  <c r="T72" i="5"/>
  <c r="U72" i="5"/>
  <c r="V72" i="5"/>
  <c r="W72" i="5"/>
  <c r="X72" i="5"/>
  <c r="Y72" i="5"/>
  <c r="D74" i="5"/>
  <c r="E74" i="5"/>
  <c r="F74" i="5"/>
  <c r="G74" i="5"/>
  <c r="H74" i="5"/>
  <c r="I74" i="5"/>
  <c r="J74" i="5"/>
  <c r="K74" i="5"/>
  <c r="L74" i="5"/>
  <c r="M74" i="5"/>
  <c r="N74" i="5"/>
  <c r="O74" i="5"/>
  <c r="Q74" i="5"/>
  <c r="R74" i="5"/>
  <c r="S74" i="5"/>
  <c r="T74" i="5"/>
  <c r="U74" i="5"/>
  <c r="V74" i="5"/>
  <c r="W74" i="5"/>
  <c r="X74" i="5"/>
  <c r="Y74" i="5"/>
  <c r="D76" i="5"/>
  <c r="E76" i="5"/>
  <c r="F76" i="5"/>
  <c r="G76" i="5"/>
  <c r="H76" i="5"/>
  <c r="I76" i="5"/>
  <c r="J76" i="5"/>
  <c r="K76" i="5"/>
  <c r="L76" i="5"/>
  <c r="M76" i="5"/>
  <c r="N76" i="5"/>
  <c r="O76" i="5"/>
  <c r="Q76" i="5"/>
  <c r="R76" i="5"/>
  <c r="S76" i="5"/>
  <c r="T76" i="5"/>
  <c r="U76" i="5"/>
  <c r="V76" i="5"/>
  <c r="W76" i="5"/>
  <c r="X76" i="5"/>
  <c r="Y76" i="5"/>
  <c r="D77" i="5"/>
  <c r="E77" i="5"/>
  <c r="F77" i="5"/>
  <c r="G77" i="5"/>
  <c r="H77" i="5"/>
  <c r="I77" i="5"/>
  <c r="J77" i="5"/>
  <c r="K77" i="5"/>
  <c r="L77" i="5"/>
  <c r="M77" i="5"/>
  <c r="N77" i="5"/>
  <c r="O77" i="5"/>
  <c r="Q77" i="5"/>
  <c r="R77" i="5"/>
  <c r="S77" i="5"/>
  <c r="T77" i="5"/>
  <c r="U77" i="5"/>
  <c r="V77" i="5"/>
  <c r="W77" i="5"/>
  <c r="X77" i="5"/>
  <c r="Y77" i="5"/>
  <c r="D79" i="5"/>
  <c r="E79" i="5"/>
  <c r="F79" i="5"/>
  <c r="G79" i="5"/>
  <c r="H79" i="5"/>
  <c r="I79" i="5"/>
  <c r="J79" i="5"/>
  <c r="K79" i="5"/>
  <c r="L79" i="5"/>
  <c r="M79" i="5"/>
  <c r="N79" i="5"/>
  <c r="O79" i="5"/>
  <c r="S79" i="5"/>
  <c r="T79" i="5"/>
  <c r="U79" i="5"/>
  <c r="V79" i="5"/>
  <c r="W79" i="5"/>
  <c r="X79" i="5"/>
  <c r="Y79" i="5"/>
  <c r="D80" i="5"/>
  <c r="E80" i="5"/>
  <c r="F80" i="5"/>
  <c r="G80" i="5"/>
  <c r="H80" i="5"/>
  <c r="I80" i="5"/>
  <c r="J80" i="5"/>
  <c r="K80" i="5"/>
  <c r="L80" i="5"/>
  <c r="M80" i="5"/>
  <c r="N80" i="5"/>
  <c r="O80" i="5"/>
  <c r="S80" i="5"/>
  <c r="T80" i="5"/>
  <c r="U80" i="5"/>
  <c r="V80" i="5"/>
  <c r="W80" i="5"/>
  <c r="X80" i="5"/>
  <c r="Y80" i="5"/>
  <c r="D82" i="5"/>
  <c r="E82" i="5"/>
  <c r="F82" i="5"/>
  <c r="G82" i="5"/>
  <c r="H82" i="5"/>
  <c r="I82" i="5"/>
  <c r="J82" i="5"/>
  <c r="K82" i="5"/>
  <c r="L82" i="5"/>
  <c r="M82" i="5"/>
  <c r="N82" i="5"/>
  <c r="O82" i="5"/>
  <c r="S82" i="5"/>
  <c r="T82" i="5"/>
  <c r="U82" i="5"/>
  <c r="V82" i="5"/>
  <c r="W82" i="5"/>
  <c r="X82" i="5"/>
  <c r="Y82" i="5"/>
  <c r="F84" i="5"/>
  <c r="G84" i="5"/>
  <c r="H84" i="5"/>
  <c r="I84" i="5"/>
  <c r="J84" i="5"/>
  <c r="K84" i="5"/>
  <c r="L84" i="5"/>
  <c r="M84" i="5"/>
  <c r="N84" i="5"/>
  <c r="O84" i="5"/>
  <c r="S84" i="5"/>
  <c r="T84" i="5"/>
  <c r="U84" i="5"/>
  <c r="V84" i="5"/>
  <c r="W84" i="5"/>
  <c r="X84" i="5"/>
  <c r="Y84" i="5"/>
  <c r="D86" i="5"/>
  <c r="E86" i="5"/>
  <c r="F86" i="5"/>
  <c r="G86" i="5"/>
  <c r="H86" i="5"/>
  <c r="I86" i="5"/>
  <c r="J86" i="5"/>
  <c r="K86" i="5"/>
  <c r="L86" i="5"/>
  <c r="M86" i="5"/>
  <c r="N86" i="5"/>
  <c r="O86" i="5"/>
  <c r="S86" i="5"/>
  <c r="T86" i="5"/>
  <c r="U86" i="5"/>
  <c r="V86" i="5"/>
  <c r="W86" i="5"/>
  <c r="X86" i="5"/>
  <c r="Y86" i="5"/>
  <c r="F88" i="5"/>
  <c r="G88" i="5"/>
  <c r="H88" i="5"/>
  <c r="I88" i="5"/>
  <c r="J88" i="5"/>
  <c r="K88" i="5"/>
  <c r="L88" i="5"/>
  <c r="M88" i="5"/>
  <c r="N88" i="5"/>
  <c r="O88" i="5"/>
  <c r="S88" i="5"/>
  <c r="T88" i="5"/>
  <c r="U88" i="5"/>
  <c r="V88" i="5"/>
  <c r="W88" i="5"/>
  <c r="X88" i="5"/>
  <c r="Y88" i="5"/>
  <c r="E90" i="5"/>
  <c r="F90" i="5"/>
  <c r="G90" i="5"/>
  <c r="H90" i="5"/>
  <c r="I90" i="5"/>
  <c r="J90" i="5"/>
  <c r="K90" i="5"/>
  <c r="L90" i="5"/>
  <c r="M90" i="5"/>
  <c r="N90" i="5"/>
  <c r="O90" i="5"/>
  <c r="S90" i="5"/>
  <c r="T90" i="5"/>
  <c r="U90" i="5"/>
  <c r="V90" i="5"/>
  <c r="W90" i="5"/>
  <c r="X90" i="5"/>
  <c r="Y90" i="5"/>
  <c r="F92" i="5"/>
  <c r="G92" i="5"/>
  <c r="H92" i="5"/>
  <c r="I92" i="5"/>
  <c r="J92" i="5"/>
  <c r="K92" i="5"/>
  <c r="L92" i="5"/>
  <c r="M92" i="5"/>
  <c r="N92" i="5"/>
  <c r="O92" i="5"/>
  <c r="S92" i="5"/>
  <c r="T92" i="5"/>
  <c r="U92" i="5"/>
  <c r="V92" i="5"/>
  <c r="W92" i="5"/>
  <c r="X92" i="5"/>
  <c r="Y92" i="5"/>
  <c r="AL12" i="8"/>
  <c r="AL13" i="8"/>
  <c r="AL14" i="8"/>
  <c r="AL15" i="8"/>
  <c r="AL16" i="8"/>
  <c r="AC14" i="1"/>
  <c r="AD14" i="1"/>
  <c r="AE14" i="1"/>
  <c r="AF14" i="1"/>
  <c r="AG14" i="1"/>
  <c r="AH14" i="1"/>
  <c r="AI14" i="1"/>
  <c r="AJ14" i="1"/>
  <c r="AK14" i="1"/>
  <c r="AL14" i="1"/>
  <c r="AM14" i="1"/>
  <c r="AN14" i="1"/>
  <c r="AO14" i="1"/>
  <c r="AP14" i="1"/>
  <c r="AQ14" i="1"/>
  <c r="AR14" i="1"/>
  <c r="AS14" i="1"/>
  <c r="AT14" i="1"/>
  <c r="AU14" i="1"/>
  <c r="AV14" i="1"/>
  <c r="AW14" i="1"/>
  <c r="AX14" i="1"/>
  <c r="AY14" i="1"/>
  <c r="BI14" i="1"/>
  <c r="BJ14" i="1"/>
  <c r="BK14" i="1"/>
  <c r="BL14" i="1"/>
  <c r="BM14" i="1"/>
  <c r="BN14" i="1"/>
  <c r="AB15" i="1"/>
  <c r="AC15" i="1"/>
  <c r="AD15" i="1"/>
  <c r="AE15" i="1"/>
  <c r="AF15" i="1"/>
  <c r="AG15" i="1"/>
  <c r="AH15" i="1"/>
  <c r="AI15" i="1"/>
  <c r="AJ15" i="1"/>
  <c r="AK15" i="1"/>
  <c r="AL15" i="1"/>
  <c r="AM15" i="1"/>
  <c r="AN15" i="1"/>
  <c r="AO15" i="1"/>
  <c r="AP15" i="1"/>
  <c r="AQ15" i="1"/>
  <c r="AR15" i="1"/>
  <c r="AS15" i="1"/>
  <c r="AT15" i="1"/>
  <c r="AU15" i="1"/>
  <c r="AV15" i="1"/>
  <c r="AW15" i="1"/>
  <c r="AX15" i="1"/>
  <c r="AY15" i="1"/>
  <c r="BI15" i="1"/>
  <c r="BJ15" i="1"/>
  <c r="BK15" i="1"/>
  <c r="BL15" i="1"/>
  <c r="BM15" i="1"/>
  <c r="BN15" i="1"/>
  <c r="AC16" i="1"/>
  <c r="AD16" i="1"/>
  <c r="AE16" i="1"/>
  <c r="AF16" i="1"/>
  <c r="AG16" i="1"/>
  <c r="AH16" i="1"/>
  <c r="AI16" i="1"/>
  <c r="AJ16" i="1"/>
  <c r="AK16" i="1"/>
  <c r="AL16" i="1"/>
  <c r="AM16" i="1"/>
  <c r="AN16" i="1"/>
  <c r="AO16" i="1"/>
  <c r="AP16" i="1"/>
  <c r="AQ16" i="1"/>
  <c r="AR16" i="1"/>
  <c r="AS16" i="1"/>
  <c r="AT16" i="1"/>
  <c r="AU16" i="1"/>
  <c r="AV16" i="1"/>
  <c r="AW16" i="1"/>
  <c r="AX16" i="1"/>
  <c r="AY16" i="1"/>
  <c r="BI16" i="1"/>
  <c r="BJ16" i="1"/>
  <c r="BK16" i="1"/>
  <c r="BL16" i="1"/>
  <c r="BM16" i="1"/>
  <c r="BN16" i="1"/>
  <c r="AC17" i="1"/>
  <c r="AD17" i="1"/>
  <c r="AE17" i="1"/>
  <c r="AF17" i="1"/>
  <c r="AG17" i="1"/>
  <c r="AH17" i="1"/>
  <c r="AI17" i="1"/>
  <c r="AJ17" i="1"/>
  <c r="AK17" i="1"/>
  <c r="AL17" i="1"/>
  <c r="AM17" i="1"/>
  <c r="AN17" i="1"/>
  <c r="AO17" i="1"/>
  <c r="AP17" i="1"/>
  <c r="AQ17" i="1"/>
  <c r="AR17" i="1"/>
  <c r="AS17" i="1"/>
  <c r="AT17" i="1"/>
  <c r="AU17" i="1"/>
  <c r="AV17" i="1"/>
  <c r="AW17" i="1"/>
  <c r="AX17" i="1"/>
  <c r="AY17" i="1"/>
  <c r="BI17" i="1"/>
  <c r="BJ17" i="1"/>
  <c r="BK17" i="1"/>
  <c r="BL17" i="1"/>
  <c r="BM17" i="1"/>
  <c r="BN17" i="1"/>
  <c r="AB18" i="1"/>
  <c r="AC18" i="1"/>
  <c r="AD18" i="1"/>
  <c r="AE18" i="1"/>
  <c r="AF18" i="1"/>
  <c r="AG18" i="1"/>
  <c r="AH18" i="1"/>
  <c r="AI18" i="1"/>
  <c r="AJ18" i="1"/>
  <c r="AK18" i="1"/>
  <c r="AL18" i="1"/>
  <c r="AM18" i="1"/>
  <c r="AN18" i="1"/>
  <c r="AO18" i="1"/>
  <c r="AP18" i="1"/>
  <c r="AQ18" i="1"/>
  <c r="AR18" i="1"/>
  <c r="AS18" i="1"/>
  <c r="AT18" i="1"/>
  <c r="AU18" i="1"/>
  <c r="AV18" i="1"/>
  <c r="AW18" i="1"/>
  <c r="AX18" i="1"/>
  <c r="AY18" i="1"/>
  <c r="BI18" i="1"/>
  <c r="BJ18" i="1"/>
  <c r="BK18" i="1"/>
  <c r="BL18" i="1"/>
  <c r="BM18" i="1"/>
  <c r="BN18" i="1"/>
  <c r="AB19" i="1"/>
  <c r="AC19" i="1"/>
  <c r="AD19" i="1"/>
  <c r="AE19" i="1"/>
  <c r="AF19" i="1"/>
  <c r="AG19" i="1"/>
  <c r="AH19" i="1"/>
  <c r="AI19" i="1"/>
  <c r="AJ19" i="1"/>
  <c r="AK19" i="1"/>
  <c r="AL19" i="1"/>
  <c r="AM19" i="1"/>
  <c r="AN19" i="1"/>
  <c r="AO19" i="1"/>
  <c r="AP19" i="1"/>
  <c r="AQ19" i="1"/>
  <c r="AR19" i="1"/>
  <c r="AS19" i="1"/>
  <c r="AT19" i="1"/>
  <c r="AU19" i="1"/>
  <c r="AV19" i="1"/>
  <c r="AW19" i="1"/>
  <c r="AX19" i="1"/>
  <c r="AY19" i="1"/>
  <c r="BI19" i="1"/>
  <c r="BJ19" i="1"/>
  <c r="BK19" i="1"/>
  <c r="BL19" i="1"/>
  <c r="BM19" i="1"/>
  <c r="BN19" i="1"/>
  <c r="AC21" i="1"/>
  <c r="AD21" i="1"/>
  <c r="AE21" i="1"/>
  <c r="AF21" i="1"/>
  <c r="AG21" i="1"/>
  <c r="AH21" i="1"/>
  <c r="AI21" i="1"/>
  <c r="AJ21" i="1"/>
  <c r="AK21" i="1"/>
  <c r="AL21" i="1"/>
  <c r="AM21" i="1"/>
  <c r="AN21" i="1"/>
  <c r="AO21" i="1"/>
  <c r="AP21" i="1"/>
  <c r="AQ21" i="1"/>
  <c r="AR21" i="1"/>
  <c r="AS21" i="1"/>
  <c r="AT21" i="1"/>
  <c r="AU21" i="1"/>
  <c r="AV21" i="1"/>
  <c r="AW21" i="1"/>
  <c r="AX21" i="1"/>
  <c r="AY21" i="1"/>
  <c r="BI21" i="1"/>
  <c r="BJ21" i="1"/>
  <c r="BK21" i="1"/>
  <c r="BL21" i="1"/>
  <c r="BM21" i="1"/>
  <c r="BN21" i="1"/>
  <c r="AC27" i="1"/>
  <c r="AD27" i="1"/>
  <c r="AE27" i="1"/>
  <c r="AF27" i="1"/>
  <c r="AG27" i="1"/>
  <c r="AH27" i="1"/>
  <c r="AI27" i="1"/>
  <c r="AJ27" i="1"/>
  <c r="AK27" i="1"/>
  <c r="AL27" i="1"/>
  <c r="AM27" i="1"/>
  <c r="AN27" i="1"/>
  <c r="AO27" i="1"/>
  <c r="AP27" i="1"/>
  <c r="AQ27" i="1"/>
  <c r="AR27" i="1"/>
  <c r="AS27" i="1"/>
  <c r="AT27" i="1"/>
  <c r="AU27" i="1"/>
  <c r="AV27" i="1"/>
  <c r="AW27" i="1"/>
  <c r="AX27" i="1"/>
  <c r="AY27" i="1"/>
  <c r="BI27" i="1"/>
  <c r="BJ27" i="1"/>
  <c r="BK27" i="1"/>
  <c r="BL27" i="1"/>
  <c r="BM27" i="1"/>
  <c r="BN27" i="1"/>
  <c r="AC28" i="1"/>
  <c r="AD28" i="1"/>
  <c r="AE28" i="1"/>
  <c r="AF28" i="1"/>
  <c r="AG28" i="1"/>
  <c r="AH28" i="1"/>
  <c r="AI28" i="1"/>
  <c r="AJ28" i="1"/>
  <c r="AK28" i="1"/>
  <c r="AL28" i="1"/>
  <c r="AM28" i="1"/>
  <c r="AN28" i="1"/>
  <c r="AO28" i="1"/>
  <c r="AP28" i="1"/>
  <c r="AQ28" i="1"/>
  <c r="AR28" i="1"/>
  <c r="AS28" i="1"/>
  <c r="AT28" i="1"/>
  <c r="AU28" i="1"/>
  <c r="AV28" i="1"/>
  <c r="AW28" i="1"/>
  <c r="AX28" i="1"/>
  <c r="AY28" i="1"/>
  <c r="BI28" i="1"/>
  <c r="BJ28" i="1"/>
  <c r="BK28" i="1"/>
  <c r="BL28" i="1"/>
  <c r="BM28" i="1"/>
  <c r="BN28" i="1"/>
  <c r="AD30" i="1"/>
  <c r="AE30" i="1"/>
  <c r="AF30" i="1"/>
  <c r="AG30" i="1"/>
  <c r="AH30" i="1"/>
  <c r="AI30" i="1"/>
  <c r="AJ30" i="1"/>
  <c r="AK30" i="1"/>
  <c r="AL30" i="1"/>
  <c r="AM30" i="1"/>
  <c r="AN30" i="1"/>
  <c r="AO30" i="1"/>
  <c r="AP30" i="1"/>
  <c r="AQ30" i="1"/>
  <c r="AR30" i="1"/>
  <c r="AS30" i="1"/>
  <c r="AT30" i="1"/>
  <c r="AU30" i="1"/>
  <c r="AV30" i="1"/>
  <c r="AW30" i="1"/>
  <c r="AX30" i="1"/>
  <c r="AY30" i="1"/>
  <c r="AD31" i="1"/>
  <c r="AE31" i="1"/>
  <c r="AF31" i="1"/>
  <c r="AG31" i="1"/>
  <c r="AH31" i="1"/>
  <c r="AI31" i="1"/>
  <c r="AJ31" i="1"/>
  <c r="AK31" i="1"/>
  <c r="AL31" i="1"/>
  <c r="AM31" i="1"/>
  <c r="AN31" i="1"/>
  <c r="AO31" i="1"/>
  <c r="AP31" i="1"/>
  <c r="AQ31" i="1"/>
  <c r="AR31" i="1"/>
  <c r="AS31" i="1"/>
  <c r="AT31" i="1"/>
  <c r="AU31" i="1"/>
  <c r="AV31" i="1"/>
  <c r="AW31" i="1"/>
  <c r="AX31" i="1"/>
  <c r="AY31" i="1"/>
  <c r="AC32" i="1"/>
  <c r="AD32" i="1"/>
  <c r="AE32" i="1"/>
  <c r="AF32" i="1"/>
  <c r="AG32" i="1"/>
  <c r="AH32" i="1"/>
  <c r="AI32" i="1"/>
  <c r="AJ32" i="1"/>
  <c r="AK32" i="1"/>
  <c r="AL32" i="1"/>
  <c r="AM32" i="1"/>
  <c r="AN32" i="1"/>
  <c r="AO32" i="1"/>
  <c r="AP32" i="1"/>
  <c r="AQ32" i="1"/>
  <c r="AR32" i="1"/>
  <c r="AS32" i="1"/>
  <c r="AT32" i="1"/>
  <c r="AU32" i="1"/>
  <c r="AV32" i="1"/>
  <c r="AW32" i="1"/>
  <c r="AX32" i="1"/>
  <c r="AY32" i="1"/>
  <c r="AC41" i="1"/>
  <c r="AD41" i="1"/>
  <c r="AE41" i="1"/>
  <c r="AF41" i="1"/>
  <c r="AG41" i="1"/>
  <c r="AH41" i="1"/>
  <c r="AI41" i="1"/>
  <c r="AJ41" i="1"/>
  <c r="AK41" i="1"/>
  <c r="AL41" i="1"/>
  <c r="AM41" i="1"/>
  <c r="AN41" i="1"/>
  <c r="AO41" i="1"/>
  <c r="AP41" i="1"/>
  <c r="AQ41" i="1"/>
  <c r="AR41" i="1"/>
  <c r="AS41" i="1"/>
  <c r="AT41" i="1"/>
  <c r="AU41" i="1"/>
  <c r="AV41" i="1"/>
  <c r="AW41" i="1"/>
  <c r="AX41" i="1"/>
  <c r="AY41" i="1"/>
  <c r="AC42" i="1"/>
  <c r="AD42" i="1"/>
  <c r="AE42" i="1"/>
  <c r="AF42" i="1"/>
  <c r="AG42" i="1"/>
  <c r="AH42" i="1"/>
  <c r="AI42" i="1"/>
  <c r="AJ42" i="1"/>
  <c r="AK42" i="1"/>
  <c r="AL42" i="1"/>
  <c r="AM42" i="1"/>
  <c r="AN42" i="1"/>
  <c r="AO42" i="1"/>
  <c r="AP42" i="1"/>
  <c r="AQ42" i="1"/>
  <c r="AR42" i="1"/>
  <c r="AS42" i="1"/>
  <c r="AT42" i="1"/>
  <c r="AU42" i="1"/>
  <c r="AV42" i="1"/>
  <c r="AW42" i="1"/>
  <c r="AX42" i="1"/>
  <c r="AY42" i="1"/>
  <c r="AC70" i="1"/>
  <c r="AD70" i="1"/>
  <c r="AE70" i="1"/>
  <c r="AF70" i="1"/>
  <c r="AG70" i="1"/>
  <c r="AH70" i="1"/>
  <c r="AI70" i="1"/>
  <c r="AJ70" i="1"/>
  <c r="AK70" i="1"/>
  <c r="AL70" i="1"/>
  <c r="AM70" i="1"/>
  <c r="AN70" i="1"/>
  <c r="AO70" i="1"/>
  <c r="AP70" i="1"/>
  <c r="AQ70" i="1"/>
  <c r="AR70" i="1"/>
  <c r="AS70" i="1"/>
  <c r="AT70" i="1"/>
  <c r="AU70" i="1"/>
  <c r="AV70" i="1"/>
  <c r="AW70" i="1"/>
  <c r="AX70" i="1"/>
  <c r="AY70" i="1"/>
  <c r="BI70" i="1"/>
  <c r="BJ70" i="1"/>
  <c r="BK70" i="1"/>
  <c r="BL70" i="1"/>
  <c r="BM70" i="1"/>
  <c r="BN70" i="1"/>
  <c r="AB71" i="1"/>
  <c r="AC71" i="1"/>
  <c r="AD71" i="1"/>
  <c r="AE71" i="1"/>
  <c r="AF71" i="1"/>
  <c r="AG71" i="1"/>
  <c r="AH71" i="1"/>
  <c r="AI71" i="1"/>
  <c r="AJ71" i="1"/>
  <c r="AK71" i="1"/>
  <c r="AL71" i="1"/>
  <c r="AM71" i="1"/>
  <c r="AN71" i="1"/>
  <c r="AO71" i="1"/>
  <c r="AP71" i="1"/>
  <c r="AQ71" i="1"/>
  <c r="AR71" i="1"/>
  <c r="AS71" i="1"/>
  <c r="AT71" i="1"/>
  <c r="AU71" i="1"/>
  <c r="AV71" i="1"/>
  <c r="AW71" i="1"/>
  <c r="AX71" i="1"/>
  <c r="AY71" i="1"/>
  <c r="BI71" i="1"/>
  <c r="BJ71" i="1"/>
  <c r="BK71" i="1"/>
  <c r="BL71" i="1"/>
  <c r="BM71" i="1"/>
  <c r="BN71" i="1"/>
  <c r="AC72" i="1"/>
  <c r="AD72" i="1"/>
  <c r="AE72" i="1"/>
  <c r="BI72" i="1"/>
  <c r="AC73" i="1"/>
  <c r="AD73" i="1"/>
  <c r="AE73" i="1"/>
  <c r="AF73" i="1"/>
  <c r="AG73" i="1"/>
  <c r="AH73" i="1"/>
  <c r="AI73" i="1"/>
  <c r="AJ73" i="1"/>
  <c r="AK73" i="1"/>
  <c r="AL73" i="1"/>
  <c r="AM73" i="1"/>
  <c r="AN73" i="1"/>
  <c r="AO73" i="1"/>
  <c r="AP73" i="1"/>
  <c r="AQ73" i="1"/>
  <c r="AR73" i="1"/>
  <c r="AS73" i="1"/>
  <c r="AT73" i="1"/>
  <c r="AU73" i="1"/>
  <c r="AV73" i="1"/>
  <c r="AW73" i="1"/>
  <c r="AX73" i="1"/>
  <c r="AY73" i="1"/>
  <c r="BI73" i="1"/>
  <c r="BJ73" i="1"/>
  <c r="BK73" i="1"/>
  <c r="BL73" i="1"/>
  <c r="BM73" i="1"/>
  <c r="BN73" i="1"/>
  <c r="AB74" i="1"/>
  <c r="AC74" i="1"/>
  <c r="AD74" i="1"/>
  <c r="AE74" i="1"/>
  <c r="AF74" i="1"/>
  <c r="AG74" i="1"/>
  <c r="AH74" i="1"/>
  <c r="AI74" i="1"/>
  <c r="AJ74" i="1"/>
  <c r="AK74" i="1"/>
  <c r="AL74" i="1"/>
  <c r="AM74" i="1"/>
  <c r="AN74" i="1"/>
  <c r="AO74" i="1"/>
  <c r="AP74" i="1"/>
  <c r="AQ74" i="1"/>
  <c r="AR74" i="1"/>
  <c r="AS74" i="1"/>
  <c r="AT74" i="1"/>
  <c r="AU74" i="1"/>
  <c r="AV74" i="1"/>
  <c r="AW74" i="1"/>
  <c r="AX74" i="1"/>
  <c r="AY74" i="1"/>
  <c r="BI74" i="1"/>
  <c r="BJ74" i="1"/>
  <c r="BK74" i="1"/>
  <c r="BL74" i="1"/>
  <c r="BM74" i="1"/>
  <c r="BN74" i="1"/>
  <c r="AC82" i="1"/>
  <c r="AD82" i="1"/>
  <c r="AE82" i="1"/>
  <c r="AF82" i="1"/>
  <c r="AG82" i="1"/>
  <c r="AH82" i="1"/>
  <c r="AI82" i="1"/>
  <c r="AJ82" i="1"/>
  <c r="AK82" i="1"/>
  <c r="AL82" i="1"/>
  <c r="AM82" i="1"/>
  <c r="AN82" i="1"/>
  <c r="AO82" i="1"/>
  <c r="AP82" i="1"/>
  <c r="AQ82" i="1"/>
  <c r="AR82" i="1"/>
  <c r="AS82" i="1"/>
  <c r="AT82" i="1"/>
  <c r="AU82" i="1"/>
  <c r="AV82" i="1"/>
  <c r="AW82" i="1"/>
  <c r="AX82" i="1"/>
  <c r="AY82" i="1"/>
  <c r="BI82" i="1"/>
  <c r="BJ82" i="1"/>
  <c r="BK82" i="1"/>
  <c r="BL82" i="1"/>
  <c r="BM82" i="1"/>
  <c r="BN82" i="1"/>
  <c r="AB83" i="1"/>
  <c r="AC83" i="1"/>
  <c r="AD83" i="1"/>
  <c r="AE83" i="1"/>
  <c r="AF83" i="1"/>
  <c r="AG83" i="1"/>
  <c r="AH83" i="1"/>
  <c r="AI83" i="1"/>
  <c r="AJ83" i="1"/>
  <c r="AK83" i="1"/>
  <c r="AL83" i="1"/>
  <c r="AM83" i="1"/>
  <c r="AN83" i="1"/>
  <c r="AO83" i="1"/>
  <c r="AP83" i="1"/>
  <c r="AQ83" i="1"/>
  <c r="AR83" i="1"/>
  <c r="AS83" i="1"/>
  <c r="AT83" i="1"/>
  <c r="AU83" i="1"/>
  <c r="AV83" i="1"/>
  <c r="AW83" i="1"/>
  <c r="AX83" i="1"/>
  <c r="AY83" i="1"/>
  <c r="BI83" i="1"/>
  <c r="BJ83" i="1"/>
  <c r="BK83" i="1"/>
  <c r="BL83" i="1"/>
  <c r="BM83" i="1"/>
  <c r="BN83" i="1"/>
  <c r="AC85" i="1"/>
  <c r="AD85" i="1"/>
  <c r="AE85" i="1"/>
  <c r="AF85" i="1"/>
  <c r="AG85" i="1"/>
  <c r="AH85" i="1"/>
  <c r="AI85" i="1"/>
  <c r="AJ85" i="1"/>
  <c r="AK85" i="1"/>
  <c r="AL85" i="1"/>
  <c r="AM85" i="1"/>
  <c r="AN85" i="1"/>
  <c r="AO85" i="1"/>
  <c r="AP85" i="1"/>
  <c r="AQ85" i="1"/>
  <c r="AR85" i="1"/>
  <c r="AS85" i="1"/>
  <c r="AT85" i="1"/>
  <c r="AU85" i="1"/>
  <c r="AV85" i="1"/>
  <c r="AW85" i="1"/>
  <c r="AX85" i="1"/>
  <c r="AY85" i="1"/>
  <c r="BI85" i="1"/>
  <c r="BJ85" i="1"/>
  <c r="BK85" i="1"/>
  <c r="BL85" i="1"/>
  <c r="BM85" i="1"/>
  <c r="BN85" i="1"/>
  <c r="AB86" i="1"/>
  <c r="AC86" i="1"/>
  <c r="AD86" i="1"/>
  <c r="AE86" i="1"/>
  <c r="AF86" i="1"/>
  <c r="AG86" i="1"/>
  <c r="AH86" i="1"/>
  <c r="AI86" i="1"/>
  <c r="AJ86" i="1"/>
  <c r="AK86" i="1"/>
  <c r="AL86" i="1"/>
  <c r="AM86" i="1"/>
  <c r="AN86" i="1"/>
  <c r="AO86" i="1"/>
  <c r="AP86" i="1"/>
  <c r="AQ86" i="1"/>
  <c r="AR86" i="1"/>
  <c r="AS86" i="1"/>
  <c r="AT86" i="1"/>
  <c r="AU86" i="1"/>
  <c r="AV86" i="1"/>
  <c r="AW86" i="1"/>
  <c r="AX86" i="1"/>
  <c r="AY86" i="1"/>
  <c r="BI86" i="1"/>
  <c r="BJ86" i="1"/>
  <c r="BK86" i="1"/>
  <c r="BL86" i="1"/>
  <c r="BM86" i="1"/>
  <c r="BN86" i="1"/>
  <c r="AB87" i="1"/>
  <c r="AC87" i="1"/>
  <c r="AD87" i="1"/>
  <c r="AE87" i="1"/>
  <c r="AF87" i="1"/>
  <c r="AG87" i="1"/>
  <c r="AH87" i="1"/>
  <c r="AI87" i="1"/>
  <c r="AJ87" i="1"/>
  <c r="AK87" i="1"/>
  <c r="AL87" i="1"/>
  <c r="AM87" i="1"/>
  <c r="AN87" i="1"/>
  <c r="AO87" i="1"/>
  <c r="AP87" i="1"/>
  <c r="AQ87" i="1"/>
  <c r="AR87" i="1"/>
  <c r="AS87" i="1"/>
  <c r="AT87" i="1"/>
  <c r="AU87" i="1"/>
  <c r="AV87" i="1"/>
  <c r="AW87" i="1"/>
  <c r="AX87" i="1"/>
  <c r="AY87" i="1"/>
  <c r="BI87" i="1"/>
  <c r="BJ87" i="1"/>
  <c r="BK87" i="1"/>
  <c r="BL87" i="1"/>
  <c r="BM87" i="1"/>
  <c r="BN87" i="1"/>
  <c r="AB90" i="1"/>
  <c r="AC90" i="1"/>
  <c r="AD90" i="1"/>
  <c r="AE90" i="1"/>
  <c r="AF90" i="1"/>
  <c r="AG90" i="1"/>
  <c r="AH90" i="1"/>
  <c r="AI90" i="1"/>
  <c r="AJ90" i="1"/>
  <c r="AK90" i="1"/>
  <c r="AL90" i="1"/>
  <c r="AM90" i="1"/>
  <c r="AN90" i="1"/>
  <c r="AO90" i="1"/>
  <c r="AP90" i="1"/>
  <c r="AQ90" i="1"/>
  <c r="AR90" i="1"/>
  <c r="AS90" i="1"/>
  <c r="AT90" i="1"/>
  <c r="AU90" i="1"/>
  <c r="AV90" i="1"/>
  <c r="AW90" i="1"/>
  <c r="AX90" i="1"/>
  <c r="AY90" i="1"/>
  <c r="BI90" i="1"/>
  <c r="BJ90" i="1"/>
  <c r="BK90" i="1"/>
  <c r="BL90" i="1"/>
  <c r="BM90" i="1"/>
  <c r="BN90" i="1"/>
  <c r="AB91" i="1"/>
  <c r="AC91" i="1"/>
  <c r="AD91" i="1"/>
  <c r="AE91" i="1"/>
  <c r="AF91" i="1"/>
  <c r="AG91" i="1"/>
  <c r="AH91" i="1"/>
  <c r="AI91" i="1"/>
  <c r="AJ91" i="1"/>
  <c r="AK91" i="1"/>
  <c r="AL91" i="1"/>
  <c r="AM91" i="1"/>
  <c r="AN91" i="1"/>
  <c r="AO91" i="1"/>
  <c r="AP91" i="1"/>
  <c r="AQ91" i="1"/>
  <c r="AR91" i="1"/>
  <c r="AS91" i="1"/>
  <c r="AT91" i="1"/>
  <c r="AU91" i="1"/>
  <c r="AV91" i="1"/>
  <c r="AW91" i="1"/>
  <c r="AX91" i="1"/>
  <c r="AY91" i="1"/>
  <c r="BI91" i="1"/>
  <c r="BJ91" i="1"/>
  <c r="BK91" i="1"/>
  <c r="BL91" i="1"/>
  <c r="BM91" i="1"/>
  <c r="BN91" i="1"/>
  <c r="AB92" i="1"/>
  <c r="AC92" i="1"/>
  <c r="AD92" i="1"/>
  <c r="AE92" i="1"/>
  <c r="AF92" i="1"/>
  <c r="AG92" i="1"/>
  <c r="AH92" i="1"/>
  <c r="AI92" i="1"/>
  <c r="AJ92" i="1"/>
  <c r="AK92" i="1"/>
  <c r="AL92" i="1"/>
  <c r="AM92" i="1"/>
  <c r="AN92" i="1"/>
  <c r="AO92" i="1"/>
  <c r="AP92" i="1"/>
  <c r="AQ92" i="1"/>
  <c r="AR92" i="1"/>
  <c r="AS92" i="1"/>
  <c r="AT92" i="1"/>
  <c r="AU92" i="1"/>
  <c r="AV92" i="1"/>
  <c r="AW92" i="1"/>
  <c r="AX92" i="1"/>
  <c r="AY92" i="1"/>
  <c r="BI92" i="1"/>
  <c r="BJ92" i="1"/>
  <c r="BK92" i="1"/>
  <c r="BL92" i="1"/>
  <c r="BM92" i="1"/>
  <c r="BN92" i="1"/>
  <c r="AB93" i="1"/>
  <c r="AC93" i="1"/>
  <c r="AD93" i="1"/>
  <c r="AE93" i="1"/>
  <c r="AF93" i="1"/>
  <c r="AG93" i="1"/>
  <c r="AH93" i="1"/>
  <c r="AI93" i="1"/>
  <c r="AJ93" i="1"/>
  <c r="AK93" i="1"/>
  <c r="AL93" i="1"/>
  <c r="AM93" i="1"/>
  <c r="AN93" i="1"/>
  <c r="AO93" i="1"/>
  <c r="AP93" i="1"/>
  <c r="AQ93" i="1"/>
  <c r="AR93" i="1"/>
  <c r="AS93" i="1"/>
  <c r="AT93" i="1"/>
  <c r="AU93" i="1"/>
  <c r="AV93" i="1"/>
  <c r="AW93" i="1"/>
  <c r="AX93" i="1"/>
  <c r="AY93" i="1"/>
  <c r="BI93" i="1"/>
  <c r="BJ93" i="1"/>
  <c r="BK93" i="1"/>
  <c r="BL93" i="1"/>
  <c r="BM93" i="1"/>
  <c r="BN93" i="1"/>
  <c r="AB94" i="1"/>
  <c r="AC94" i="1"/>
  <c r="AD94" i="1"/>
  <c r="AE94" i="1"/>
  <c r="AF94" i="1"/>
  <c r="AG94" i="1"/>
  <c r="AH94" i="1"/>
  <c r="AI94" i="1"/>
  <c r="AJ94" i="1"/>
  <c r="AK94" i="1"/>
  <c r="AL94" i="1"/>
  <c r="AM94" i="1"/>
  <c r="AN94" i="1"/>
  <c r="AO94" i="1"/>
  <c r="AP94" i="1"/>
  <c r="AQ94" i="1"/>
  <c r="AR94" i="1"/>
  <c r="AS94" i="1"/>
  <c r="AT94" i="1"/>
  <c r="AU94" i="1"/>
  <c r="AV94" i="1"/>
  <c r="AW94" i="1"/>
  <c r="AX94" i="1"/>
  <c r="AY94" i="1"/>
  <c r="BI94" i="1"/>
  <c r="BJ94" i="1"/>
  <c r="BK94" i="1"/>
  <c r="BL94" i="1"/>
  <c r="BM94" i="1"/>
  <c r="BN94" i="1"/>
  <c r="AB95" i="1"/>
  <c r="AC95" i="1"/>
  <c r="AD95" i="1"/>
  <c r="AE95" i="1"/>
  <c r="AF95" i="1"/>
  <c r="AG95" i="1"/>
  <c r="AH95" i="1"/>
  <c r="AI95" i="1"/>
  <c r="AJ95" i="1"/>
  <c r="AK95" i="1"/>
  <c r="AL95" i="1"/>
  <c r="AM95" i="1"/>
  <c r="AN95" i="1"/>
  <c r="AO95" i="1"/>
  <c r="AP95" i="1"/>
  <c r="AQ95" i="1"/>
  <c r="AR95" i="1"/>
  <c r="AS95" i="1"/>
  <c r="AT95" i="1"/>
  <c r="AU95" i="1"/>
  <c r="AV95" i="1"/>
  <c r="AW95" i="1"/>
  <c r="AX95" i="1"/>
  <c r="AY95" i="1"/>
  <c r="BI95" i="1"/>
  <c r="BJ95" i="1"/>
  <c r="BK95" i="1"/>
  <c r="BL95" i="1"/>
  <c r="BM95" i="1"/>
  <c r="BN95" i="1"/>
  <c r="AB96" i="1"/>
  <c r="AC96" i="1"/>
  <c r="AD96" i="1"/>
  <c r="AE96" i="1"/>
  <c r="AF96" i="1"/>
  <c r="AG96" i="1"/>
  <c r="AH96" i="1"/>
  <c r="AI96" i="1"/>
  <c r="AJ96" i="1"/>
  <c r="AK96" i="1"/>
  <c r="AL96" i="1"/>
  <c r="AM96" i="1"/>
  <c r="AN96" i="1"/>
  <c r="AO96" i="1"/>
  <c r="AP96" i="1"/>
  <c r="AQ96" i="1"/>
  <c r="AR96" i="1"/>
  <c r="AS96" i="1"/>
  <c r="AT96" i="1"/>
  <c r="AU96" i="1"/>
  <c r="AV96" i="1"/>
  <c r="AW96" i="1"/>
  <c r="AX96" i="1"/>
  <c r="AY96" i="1"/>
  <c r="BI96" i="1"/>
  <c r="BJ96" i="1"/>
  <c r="BK96" i="1"/>
  <c r="BL96" i="1"/>
  <c r="BM96" i="1"/>
  <c r="BN96" i="1"/>
  <c r="AB97" i="1"/>
  <c r="AC97" i="1"/>
  <c r="AD97" i="1"/>
  <c r="AE97" i="1"/>
  <c r="AF97" i="1"/>
  <c r="AG97" i="1"/>
  <c r="AH97" i="1"/>
  <c r="AI97" i="1"/>
  <c r="AJ97" i="1"/>
  <c r="AK97" i="1"/>
  <c r="AL97" i="1"/>
  <c r="AM97" i="1"/>
  <c r="AN97" i="1"/>
  <c r="AO97" i="1"/>
  <c r="AP97" i="1"/>
  <c r="AQ97" i="1"/>
  <c r="AR97" i="1"/>
  <c r="AS97" i="1"/>
  <c r="AT97" i="1"/>
  <c r="AU97" i="1"/>
  <c r="AV97" i="1"/>
  <c r="AW97" i="1"/>
  <c r="AX97" i="1"/>
  <c r="AY97" i="1"/>
  <c r="BI97" i="1"/>
  <c r="BJ97" i="1"/>
  <c r="BK97" i="1"/>
  <c r="BL97" i="1"/>
  <c r="BM97" i="1"/>
  <c r="BN97"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BI100" i="1"/>
  <c r="BJ100" i="1"/>
  <c r="BK100" i="1"/>
  <c r="BL100" i="1"/>
  <c r="BM100" i="1"/>
  <c r="BN100" i="1"/>
  <c r="AB102" i="1"/>
  <c r="AC102" i="1"/>
  <c r="AD102" i="1"/>
  <c r="AE102" i="1"/>
  <c r="AF102" i="1"/>
  <c r="AG102" i="1"/>
  <c r="AH102" i="1"/>
  <c r="AI102" i="1"/>
  <c r="AJ102" i="1"/>
  <c r="AK102" i="1"/>
  <c r="AL102" i="1"/>
  <c r="AM102" i="1"/>
  <c r="AN102" i="1"/>
  <c r="AO102" i="1"/>
  <c r="AP102" i="1"/>
  <c r="AQ102" i="1"/>
  <c r="AR102" i="1"/>
  <c r="AS102" i="1"/>
  <c r="AT102" i="1"/>
  <c r="AU102" i="1"/>
  <c r="AV102" i="1"/>
  <c r="AW102" i="1"/>
  <c r="AX102" i="1"/>
  <c r="AY102" i="1"/>
  <c r="BI102" i="1"/>
  <c r="BJ102" i="1"/>
  <c r="BK102" i="1"/>
  <c r="BL102" i="1"/>
  <c r="BM102" i="1"/>
  <c r="BN102" i="1"/>
  <c r="AB103" i="1"/>
  <c r="AC103" i="1"/>
  <c r="AD103" i="1"/>
  <c r="AE103" i="1"/>
  <c r="AF103" i="1"/>
  <c r="AG103" i="1"/>
  <c r="AH103" i="1"/>
  <c r="AI103" i="1"/>
  <c r="AJ103" i="1"/>
  <c r="AK103" i="1"/>
  <c r="AL103" i="1"/>
  <c r="AM103" i="1"/>
  <c r="AN103" i="1"/>
  <c r="AO103" i="1"/>
  <c r="AP103" i="1"/>
  <c r="AQ103" i="1"/>
  <c r="AR103" i="1"/>
  <c r="AS103" i="1"/>
  <c r="AT103" i="1"/>
  <c r="AU103" i="1"/>
  <c r="AV103" i="1"/>
  <c r="AW103" i="1"/>
  <c r="AX103" i="1"/>
  <c r="AY103" i="1"/>
  <c r="BI103" i="1"/>
  <c r="BJ103" i="1"/>
  <c r="BK103" i="1"/>
  <c r="BL103" i="1"/>
  <c r="BM103" i="1"/>
  <c r="BN103"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BI105" i="1"/>
  <c r="BJ105" i="1"/>
  <c r="BK105" i="1"/>
  <c r="BL105" i="1"/>
  <c r="BM105" i="1"/>
  <c r="BN105"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BI106" i="1"/>
  <c r="BJ106" i="1"/>
  <c r="BK106" i="1"/>
  <c r="BL106" i="1"/>
  <c r="BM106" i="1"/>
  <c r="BN106"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BI108" i="1"/>
  <c r="BJ108" i="1"/>
  <c r="BK108" i="1"/>
  <c r="BL108" i="1"/>
  <c r="BM108" i="1"/>
  <c r="BN108"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BI110" i="1"/>
  <c r="BJ110" i="1"/>
  <c r="BK110" i="1"/>
  <c r="BL110" i="1"/>
  <c r="BM110" i="1"/>
  <c r="BN110"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BI113" i="1"/>
  <c r="BJ113" i="1"/>
  <c r="BK113" i="1"/>
  <c r="BL113" i="1"/>
  <c r="BM113" i="1"/>
  <c r="BN113"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BI114" i="1"/>
  <c r="BJ114" i="1"/>
  <c r="BK114" i="1"/>
  <c r="BL114" i="1"/>
  <c r="BM114" i="1"/>
  <c r="BN114" i="1"/>
  <c r="AB116" i="1"/>
  <c r="AC116" i="1"/>
  <c r="AD116" i="1"/>
  <c r="AE116" i="1"/>
  <c r="AF116" i="1"/>
  <c r="AG116" i="1"/>
  <c r="AH116" i="1"/>
  <c r="AI116" i="1"/>
  <c r="AJ116" i="1"/>
  <c r="AK116" i="1"/>
  <c r="AL116" i="1"/>
  <c r="AM116" i="1"/>
  <c r="AN116" i="1"/>
  <c r="AO116" i="1"/>
  <c r="AP116" i="1"/>
  <c r="AQ116" i="1"/>
  <c r="AR116" i="1"/>
  <c r="AS116" i="1"/>
  <c r="AT116" i="1"/>
  <c r="AU116" i="1"/>
  <c r="AV116" i="1"/>
  <c r="AW116" i="1"/>
  <c r="AX116" i="1"/>
  <c r="AY116" i="1"/>
  <c r="BI116" i="1"/>
  <c r="BJ116" i="1"/>
  <c r="BK116" i="1"/>
  <c r="BL116" i="1"/>
  <c r="BM116" i="1"/>
  <c r="BN116" i="1"/>
  <c r="AB117" i="1"/>
  <c r="AC117" i="1"/>
  <c r="AD117" i="1"/>
  <c r="AE117" i="1"/>
  <c r="AF117" i="1"/>
  <c r="AG117" i="1"/>
  <c r="AH117" i="1"/>
  <c r="AI117" i="1"/>
  <c r="AJ117" i="1"/>
  <c r="AK117" i="1"/>
  <c r="AL117" i="1"/>
  <c r="AM117" i="1"/>
  <c r="AN117" i="1"/>
  <c r="AO117" i="1"/>
  <c r="AP117" i="1"/>
  <c r="AQ117" i="1"/>
  <c r="AR117" i="1"/>
  <c r="AS117" i="1"/>
  <c r="AT117" i="1"/>
  <c r="AU117" i="1"/>
  <c r="AV117" i="1"/>
  <c r="AW117" i="1"/>
  <c r="AX117" i="1"/>
  <c r="AY117" i="1"/>
  <c r="BI117" i="1"/>
  <c r="BJ117" i="1"/>
  <c r="BK117" i="1"/>
  <c r="BL117" i="1"/>
  <c r="BM117" i="1"/>
  <c r="BN117"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BI118" i="1"/>
  <c r="BJ118" i="1"/>
  <c r="BK118" i="1"/>
  <c r="BL118" i="1"/>
  <c r="BM118" i="1"/>
  <c r="BN118"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BI121" i="1"/>
  <c r="BJ121" i="1"/>
  <c r="BK121" i="1"/>
  <c r="BL121" i="1"/>
  <c r="BM121" i="1"/>
  <c r="BN121" i="1"/>
  <c r="AC124" i="1"/>
  <c r="AD124" i="1"/>
  <c r="AE124" i="1"/>
  <c r="BI124"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BI126" i="1"/>
  <c r="BJ126" i="1"/>
  <c r="BK126" i="1"/>
  <c r="BL126" i="1"/>
  <c r="BM126" i="1"/>
  <c r="BN126"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BI127" i="1"/>
  <c r="BJ127" i="1"/>
  <c r="BK127" i="1"/>
  <c r="BL127" i="1"/>
  <c r="BM127" i="1"/>
  <c r="BN127"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BI128" i="1"/>
  <c r="BJ128" i="1"/>
  <c r="BK128" i="1"/>
  <c r="BL128" i="1"/>
  <c r="BM128" i="1"/>
  <c r="BN128" i="1"/>
  <c r="AB130" i="1"/>
  <c r="AC130" i="1"/>
  <c r="AD130" i="1"/>
  <c r="AE130" i="1"/>
  <c r="AF130" i="1"/>
  <c r="AG130" i="1"/>
  <c r="AH130" i="1"/>
  <c r="AI130" i="1"/>
  <c r="AJ130" i="1"/>
  <c r="AK130" i="1"/>
  <c r="AL130" i="1"/>
  <c r="AM130" i="1"/>
  <c r="AN130" i="1"/>
  <c r="AO130" i="1"/>
  <c r="AP130" i="1"/>
  <c r="AQ130" i="1"/>
  <c r="AR130" i="1"/>
  <c r="AS130" i="1"/>
  <c r="AT130" i="1"/>
  <c r="AU130" i="1"/>
  <c r="AV130" i="1"/>
  <c r="AW130" i="1"/>
  <c r="AX130" i="1"/>
  <c r="AY130" i="1"/>
  <c r="BI130" i="1"/>
  <c r="BJ130" i="1"/>
  <c r="BK130" i="1"/>
  <c r="BL130" i="1"/>
  <c r="BM130" i="1"/>
  <c r="BN130"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BI131" i="1"/>
  <c r="BJ131" i="1"/>
  <c r="BK131" i="1"/>
  <c r="BL131" i="1"/>
  <c r="BM131" i="1"/>
  <c r="BN131"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BI132" i="1"/>
  <c r="BJ132" i="1"/>
  <c r="BK132" i="1"/>
  <c r="BL132" i="1"/>
  <c r="BM132" i="1"/>
  <c r="BN132" i="1"/>
  <c r="AB157" i="1"/>
  <c r="AC157" i="1"/>
  <c r="AD157" i="1"/>
  <c r="AE157" i="1"/>
  <c r="AF157" i="1"/>
  <c r="AG157" i="1"/>
  <c r="AH157" i="1"/>
  <c r="AI157" i="1"/>
  <c r="AJ157" i="1"/>
  <c r="AK157" i="1"/>
  <c r="AL157" i="1"/>
  <c r="AM157" i="1"/>
  <c r="AN157" i="1"/>
  <c r="AO157" i="1"/>
  <c r="AP157" i="1"/>
  <c r="AQ157" i="1"/>
  <c r="AR157" i="1"/>
  <c r="AS157" i="1"/>
  <c r="AT157" i="1"/>
  <c r="AU157" i="1"/>
  <c r="AV157" i="1"/>
  <c r="AW157" i="1"/>
  <c r="AX157" i="1"/>
  <c r="AY157" i="1"/>
  <c r="BI157" i="1"/>
  <c r="BJ157" i="1"/>
  <c r="BK157" i="1"/>
  <c r="BL157" i="1"/>
  <c r="BM157" i="1"/>
  <c r="BN157"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BI158" i="1"/>
  <c r="BJ158" i="1"/>
  <c r="BK158" i="1"/>
  <c r="BL158" i="1"/>
  <c r="BM158" i="1"/>
  <c r="BN158"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BI159" i="1"/>
  <c r="BJ159" i="1"/>
  <c r="BK159" i="1"/>
  <c r="BL159" i="1"/>
  <c r="BM159" i="1"/>
  <c r="BN159"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BI161" i="1"/>
  <c r="BJ161" i="1"/>
  <c r="BK161" i="1"/>
  <c r="BL161" i="1"/>
  <c r="BM161" i="1"/>
  <c r="BN161"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BI169" i="1"/>
  <c r="BJ169" i="1"/>
  <c r="BK169" i="1"/>
  <c r="BL169" i="1"/>
  <c r="BM169" i="1"/>
  <c r="BN169"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BI170" i="1"/>
  <c r="BJ170" i="1"/>
  <c r="BK170" i="1"/>
  <c r="BL170" i="1"/>
  <c r="BM170" i="1"/>
  <c r="BN170"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BI173" i="1"/>
  <c r="BJ173" i="1"/>
  <c r="BK173" i="1"/>
  <c r="BL173" i="1"/>
  <c r="BM173" i="1"/>
  <c r="BN173"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BI174" i="1"/>
  <c r="BJ174" i="1"/>
  <c r="BK174" i="1"/>
  <c r="BL174" i="1"/>
  <c r="BM174" i="1"/>
  <c r="BN174"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BI176" i="1"/>
  <c r="BJ176" i="1"/>
  <c r="BK176" i="1"/>
  <c r="BL176" i="1"/>
  <c r="BM176" i="1"/>
  <c r="BN176"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BI177" i="1"/>
  <c r="BJ177" i="1"/>
  <c r="BK177" i="1"/>
  <c r="BL177" i="1"/>
  <c r="BM177" i="1"/>
  <c r="BN177"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BI178" i="1"/>
  <c r="BJ178" i="1"/>
  <c r="BK178" i="1"/>
  <c r="BL178" i="1"/>
  <c r="BM178" i="1"/>
  <c r="BN178"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BI180" i="1"/>
  <c r="BJ180" i="1"/>
  <c r="BK180" i="1"/>
  <c r="BL180" i="1"/>
  <c r="BM180" i="1"/>
  <c r="BN180"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BI181" i="1"/>
  <c r="BJ181" i="1"/>
  <c r="BK181" i="1"/>
  <c r="BL181" i="1"/>
  <c r="BM181" i="1"/>
  <c r="BN181"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BI182" i="1"/>
  <c r="BJ182" i="1"/>
  <c r="BK182" i="1"/>
  <c r="BL182" i="1"/>
  <c r="BM182" i="1"/>
  <c r="BN182"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BI185" i="1"/>
  <c r="BJ185" i="1"/>
  <c r="BK185" i="1"/>
  <c r="BL185" i="1"/>
  <c r="BM185" i="1"/>
  <c r="BN185"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BI186" i="1"/>
  <c r="BJ186" i="1"/>
  <c r="BK186" i="1"/>
  <c r="BL186" i="1"/>
  <c r="BM186" i="1"/>
  <c r="BN186" i="1"/>
  <c r="AF187" i="1"/>
  <c r="AG187" i="1"/>
  <c r="AH187" i="1"/>
  <c r="AI187" i="1"/>
  <c r="AJ187" i="1"/>
  <c r="AK187" i="1"/>
  <c r="AL187" i="1"/>
  <c r="AM187" i="1"/>
  <c r="AN187" i="1"/>
  <c r="AO187" i="1"/>
  <c r="AP187" i="1"/>
  <c r="AQ187" i="1"/>
  <c r="AR187" i="1"/>
  <c r="AS187" i="1"/>
  <c r="AT187" i="1"/>
  <c r="AU187" i="1"/>
  <c r="AV187" i="1"/>
  <c r="AW187" i="1"/>
  <c r="AX187" i="1"/>
  <c r="AY187" i="1"/>
  <c r="BI187" i="1"/>
  <c r="BJ187" i="1"/>
  <c r="BK187" i="1"/>
  <c r="BL187" i="1"/>
  <c r="BM187" i="1"/>
  <c r="BN187"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BI203" i="1"/>
  <c r="BJ203" i="1"/>
  <c r="BK203" i="1"/>
  <c r="BL203" i="1"/>
  <c r="BM203" i="1"/>
  <c r="BN203"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BI204" i="1"/>
  <c r="BJ204" i="1"/>
  <c r="BK204" i="1"/>
  <c r="BL204" i="1"/>
  <c r="BM204" i="1"/>
  <c r="BN204" i="1"/>
  <c r="AB206" i="1"/>
  <c r="AC206" i="1"/>
  <c r="AD206" i="1"/>
  <c r="AE206" i="1"/>
  <c r="AF206" i="1"/>
  <c r="AG206" i="1"/>
  <c r="AH206" i="1"/>
  <c r="AI206" i="1"/>
  <c r="AJ206" i="1"/>
  <c r="AK206" i="1"/>
  <c r="AL206" i="1"/>
  <c r="AM206" i="1"/>
  <c r="AN206" i="1"/>
  <c r="AO206" i="1"/>
  <c r="AP206" i="1"/>
  <c r="AQ206" i="1"/>
  <c r="AR206" i="1"/>
  <c r="AS206" i="1"/>
  <c r="AT206" i="1"/>
  <c r="AU206" i="1"/>
  <c r="AV206" i="1"/>
  <c r="AW206" i="1"/>
  <c r="AX206" i="1"/>
  <c r="AY206" i="1"/>
  <c r="BI206" i="1"/>
  <c r="BJ206" i="1"/>
  <c r="BK206" i="1"/>
  <c r="BL206" i="1"/>
  <c r="BM206" i="1"/>
  <c r="BN206" i="1"/>
  <c r="AB211" i="1"/>
  <c r="AC211" i="1"/>
  <c r="AD211" i="1"/>
  <c r="AE211" i="1"/>
  <c r="AF211" i="1"/>
  <c r="AG211" i="1"/>
  <c r="AH211" i="1"/>
  <c r="AI211" i="1"/>
  <c r="AJ211" i="1"/>
  <c r="AK211" i="1"/>
  <c r="AL211" i="1"/>
  <c r="AM211" i="1"/>
  <c r="AN211" i="1"/>
  <c r="AO211" i="1"/>
  <c r="AP211" i="1"/>
  <c r="AQ211" i="1"/>
  <c r="AR211" i="1"/>
  <c r="AS211" i="1"/>
  <c r="AT211" i="1"/>
  <c r="AU211" i="1"/>
  <c r="AV211" i="1"/>
  <c r="AW211" i="1"/>
  <c r="AX211" i="1"/>
  <c r="AY211" i="1"/>
  <c r="BI211" i="1"/>
  <c r="BJ211" i="1"/>
  <c r="BK211" i="1"/>
  <c r="BL211" i="1"/>
  <c r="BM211" i="1"/>
  <c r="BN211" i="1"/>
  <c r="AB216" i="1"/>
  <c r="AC216" i="1"/>
  <c r="AD216" i="1"/>
  <c r="AE216" i="1"/>
  <c r="AF216" i="1"/>
  <c r="AG216" i="1"/>
  <c r="AH216" i="1"/>
  <c r="AI216" i="1"/>
  <c r="AJ216" i="1"/>
  <c r="AK216" i="1"/>
  <c r="AL216" i="1"/>
  <c r="AM216" i="1"/>
  <c r="AN216" i="1"/>
  <c r="AO216" i="1"/>
  <c r="AP216" i="1"/>
  <c r="AQ216" i="1"/>
  <c r="AR216" i="1"/>
  <c r="AS216" i="1"/>
  <c r="AT216" i="1"/>
  <c r="AU216" i="1"/>
  <c r="AV216" i="1"/>
  <c r="AW216" i="1"/>
  <c r="AX216" i="1"/>
  <c r="AY216" i="1"/>
  <c r="BI216" i="1"/>
  <c r="BJ216" i="1"/>
  <c r="BK216" i="1"/>
  <c r="BL216" i="1"/>
  <c r="BM216" i="1"/>
  <c r="BN216" i="1"/>
  <c r="AB219" i="1"/>
  <c r="AC219" i="1"/>
  <c r="AD219" i="1"/>
  <c r="AE219" i="1"/>
  <c r="AF219" i="1"/>
  <c r="AG219" i="1"/>
  <c r="AH219" i="1"/>
  <c r="AI219" i="1"/>
  <c r="AJ219" i="1"/>
  <c r="AK219" i="1"/>
  <c r="AL219" i="1"/>
  <c r="AM219" i="1"/>
  <c r="AN219" i="1"/>
  <c r="AO219" i="1"/>
  <c r="AP219" i="1"/>
  <c r="AQ219" i="1"/>
  <c r="AR219" i="1"/>
  <c r="AS219" i="1"/>
  <c r="AT219" i="1"/>
  <c r="AU219" i="1"/>
  <c r="AV219" i="1"/>
  <c r="AW219" i="1"/>
  <c r="AX219" i="1"/>
  <c r="AY219" i="1"/>
  <c r="BI219" i="1"/>
  <c r="BJ219" i="1"/>
  <c r="BK219" i="1"/>
  <c r="BL219" i="1"/>
  <c r="BM219" i="1"/>
  <c r="BN219" i="1"/>
  <c r="AB223" i="1"/>
  <c r="AC223" i="1"/>
  <c r="AD223" i="1"/>
  <c r="AE223" i="1"/>
  <c r="AF223" i="1"/>
  <c r="AG223" i="1"/>
  <c r="AH223" i="1"/>
  <c r="AI223" i="1"/>
  <c r="AJ223" i="1"/>
  <c r="AK223" i="1"/>
  <c r="AL223" i="1"/>
  <c r="AM223" i="1"/>
  <c r="AN223" i="1"/>
  <c r="AO223" i="1"/>
  <c r="AP223" i="1"/>
  <c r="AQ223" i="1"/>
  <c r="AR223" i="1"/>
  <c r="AS223" i="1"/>
  <c r="AT223" i="1"/>
  <c r="AU223" i="1"/>
  <c r="AV223" i="1"/>
  <c r="AW223" i="1"/>
  <c r="AX223" i="1"/>
  <c r="AY223" i="1"/>
  <c r="BI223" i="1"/>
  <c r="BJ223" i="1"/>
  <c r="BK223" i="1"/>
  <c r="BL223" i="1"/>
  <c r="BM223" i="1"/>
  <c r="BN223" i="1"/>
  <c r="AB224" i="1"/>
  <c r="AC224" i="1"/>
  <c r="AD224" i="1"/>
  <c r="AE224" i="1"/>
  <c r="AF224" i="1"/>
  <c r="AG224" i="1"/>
  <c r="AH224" i="1"/>
  <c r="AI224" i="1"/>
  <c r="AJ224" i="1"/>
  <c r="AK224" i="1"/>
  <c r="AL224" i="1"/>
  <c r="AM224" i="1"/>
  <c r="AN224" i="1"/>
  <c r="AO224" i="1"/>
  <c r="AP224" i="1"/>
  <c r="AQ224" i="1"/>
  <c r="AR224" i="1"/>
  <c r="AS224" i="1"/>
  <c r="AT224" i="1"/>
  <c r="AU224" i="1"/>
  <c r="AV224" i="1"/>
  <c r="AW224" i="1"/>
  <c r="AX224" i="1"/>
  <c r="AY224" i="1"/>
  <c r="BI224" i="1"/>
  <c r="BJ224" i="1"/>
  <c r="BK224" i="1"/>
  <c r="BL224" i="1"/>
  <c r="BM224" i="1"/>
  <c r="BN224" i="1"/>
  <c r="AB228" i="1"/>
  <c r="AC228" i="1"/>
  <c r="AD228" i="1"/>
  <c r="AE228" i="1"/>
  <c r="AF228" i="1"/>
  <c r="AG228" i="1"/>
  <c r="AH228" i="1"/>
  <c r="AI228" i="1"/>
  <c r="AJ228" i="1"/>
  <c r="AK228" i="1"/>
  <c r="AL228" i="1"/>
  <c r="AM228" i="1"/>
  <c r="AN228" i="1"/>
  <c r="AO228" i="1"/>
  <c r="AP228" i="1"/>
  <c r="AQ228" i="1"/>
  <c r="AR228" i="1"/>
  <c r="AS228" i="1"/>
  <c r="AT228" i="1"/>
  <c r="AU228" i="1"/>
  <c r="AV228" i="1"/>
  <c r="AW228" i="1"/>
  <c r="AX228" i="1"/>
  <c r="AY228" i="1"/>
  <c r="BI228" i="1"/>
  <c r="BJ228" i="1"/>
  <c r="BK228" i="1"/>
  <c r="BL228" i="1"/>
  <c r="BM228" i="1"/>
  <c r="BN228" i="1"/>
  <c r="AC235" i="1"/>
  <c r="AD235" i="1"/>
  <c r="AE235" i="1"/>
  <c r="AF235" i="1"/>
  <c r="AG235" i="1"/>
  <c r="AH235" i="1"/>
  <c r="AI235" i="1"/>
  <c r="AJ235" i="1"/>
  <c r="AK235" i="1"/>
  <c r="AL235" i="1"/>
  <c r="AM235" i="1"/>
  <c r="AN235" i="1"/>
  <c r="AO235" i="1"/>
  <c r="AP235" i="1"/>
  <c r="AQ235" i="1"/>
  <c r="AR235" i="1"/>
  <c r="AS235" i="1"/>
  <c r="AT235" i="1"/>
  <c r="AU235" i="1"/>
  <c r="AV235" i="1"/>
  <c r="AW235" i="1"/>
  <c r="AX235" i="1"/>
  <c r="AY235" i="1"/>
  <c r="BI235" i="1"/>
  <c r="BJ235" i="1"/>
  <c r="BK235" i="1"/>
  <c r="BL235" i="1"/>
  <c r="BM235" i="1"/>
  <c r="BN235" i="1"/>
  <c r="AB236" i="1"/>
  <c r="AC236" i="1"/>
  <c r="AD236" i="1"/>
  <c r="AE236" i="1"/>
  <c r="AF236" i="1"/>
  <c r="AG236" i="1"/>
  <c r="AH236" i="1"/>
  <c r="AI236" i="1"/>
  <c r="AJ236" i="1"/>
  <c r="AK236" i="1"/>
  <c r="AL236" i="1"/>
  <c r="AM236" i="1"/>
  <c r="AN236" i="1"/>
  <c r="AO236" i="1"/>
  <c r="AP236" i="1"/>
  <c r="AQ236" i="1"/>
  <c r="AR236" i="1"/>
  <c r="AS236" i="1"/>
  <c r="AT236" i="1"/>
  <c r="AU236" i="1"/>
  <c r="AV236" i="1"/>
  <c r="AW236" i="1"/>
  <c r="AX236" i="1"/>
  <c r="AY236" i="1"/>
  <c r="BI236" i="1"/>
  <c r="BJ236" i="1"/>
  <c r="BK236" i="1"/>
  <c r="BL236" i="1"/>
  <c r="BM236" i="1"/>
  <c r="BN236" i="1"/>
  <c r="AB238" i="1"/>
  <c r="AC238" i="1"/>
  <c r="AD238" i="1"/>
  <c r="AE238" i="1"/>
  <c r="AF238" i="1"/>
  <c r="AG238" i="1"/>
  <c r="AH238" i="1"/>
  <c r="AI238" i="1"/>
  <c r="AJ238" i="1"/>
  <c r="AK238" i="1"/>
  <c r="AL238" i="1"/>
  <c r="AM238" i="1"/>
  <c r="AN238" i="1"/>
  <c r="AO238" i="1"/>
  <c r="AP238" i="1"/>
  <c r="AQ238" i="1"/>
  <c r="AR238" i="1"/>
  <c r="AS238" i="1"/>
  <c r="AT238" i="1"/>
  <c r="AU238" i="1"/>
  <c r="AV238" i="1"/>
  <c r="AW238" i="1"/>
  <c r="AX238" i="1"/>
  <c r="AY238" i="1"/>
  <c r="BI238" i="1"/>
  <c r="BJ238" i="1"/>
  <c r="BK238" i="1"/>
  <c r="BL238" i="1"/>
  <c r="BM238" i="1"/>
  <c r="BN238" i="1"/>
  <c r="AB240" i="1"/>
  <c r="AC240" i="1"/>
  <c r="AD240" i="1"/>
  <c r="AE240" i="1"/>
  <c r="AF240" i="1"/>
  <c r="AG240" i="1"/>
  <c r="AH240" i="1"/>
  <c r="AI240" i="1"/>
  <c r="AJ240" i="1"/>
  <c r="AK240" i="1"/>
  <c r="AL240" i="1"/>
  <c r="AM240" i="1"/>
  <c r="AN240" i="1"/>
  <c r="AO240" i="1"/>
  <c r="AP240" i="1"/>
  <c r="AQ240" i="1"/>
  <c r="AR240" i="1"/>
  <c r="AS240" i="1"/>
  <c r="AT240" i="1"/>
  <c r="AU240" i="1"/>
  <c r="AV240" i="1"/>
  <c r="AW240" i="1"/>
  <c r="AX240" i="1"/>
  <c r="AY240" i="1"/>
  <c r="BI240" i="1"/>
  <c r="BJ240" i="1"/>
  <c r="BK240" i="1"/>
  <c r="BL240" i="1"/>
  <c r="BM240" i="1"/>
  <c r="BN240" i="1"/>
  <c r="AC241" i="1"/>
  <c r="AD241" i="1"/>
  <c r="AE241" i="1"/>
  <c r="AF241" i="1"/>
  <c r="AG241" i="1"/>
  <c r="AH241" i="1"/>
  <c r="AI241" i="1"/>
  <c r="AJ241" i="1"/>
  <c r="AK241" i="1"/>
  <c r="AL241" i="1"/>
  <c r="AM241" i="1"/>
  <c r="AN241" i="1"/>
  <c r="AO241" i="1"/>
  <c r="AP241" i="1"/>
  <c r="AQ241" i="1"/>
  <c r="AR241" i="1"/>
  <c r="AS241" i="1"/>
  <c r="AT241" i="1"/>
  <c r="AU241" i="1"/>
  <c r="AV241" i="1"/>
  <c r="AW241" i="1"/>
  <c r="AX241" i="1"/>
  <c r="AY241" i="1"/>
  <c r="BJ241" i="1"/>
  <c r="BK241" i="1"/>
  <c r="BL241" i="1"/>
  <c r="BM241" i="1"/>
  <c r="BN241" i="1"/>
  <c r="AB242" i="1"/>
  <c r="AC242" i="1"/>
  <c r="AD242" i="1"/>
  <c r="AE242" i="1"/>
  <c r="AF242" i="1"/>
  <c r="AG242" i="1"/>
  <c r="AH242" i="1"/>
  <c r="AI242" i="1"/>
  <c r="AJ242" i="1"/>
  <c r="AK242" i="1"/>
  <c r="AL242" i="1"/>
  <c r="AM242" i="1"/>
  <c r="AN242" i="1"/>
  <c r="AO242" i="1"/>
  <c r="AP242" i="1"/>
  <c r="AQ242" i="1"/>
  <c r="AR242" i="1"/>
  <c r="AS242" i="1"/>
  <c r="AT242" i="1"/>
  <c r="AU242" i="1"/>
  <c r="AV242" i="1"/>
  <c r="AW242" i="1"/>
  <c r="AX242" i="1"/>
  <c r="AY242" i="1"/>
  <c r="BI242" i="1"/>
  <c r="BJ242" i="1"/>
  <c r="BK242" i="1"/>
  <c r="BL242" i="1"/>
  <c r="BM242" i="1"/>
  <c r="BN242" i="1"/>
  <c r="AB254" i="1"/>
  <c r="AC254" i="1"/>
  <c r="AD254" i="1"/>
  <c r="AE254" i="1"/>
  <c r="AF254" i="1"/>
  <c r="AG254" i="1"/>
  <c r="AH254" i="1"/>
  <c r="AI254" i="1"/>
  <c r="AJ254" i="1"/>
  <c r="AK254" i="1"/>
  <c r="AL254" i="1"/>
  <c r="AM254" i="1"/>
  <c r="AN254" i="1"/>
  <c r="AO254" i="1"/>
  <c r="AP254" i="1"/>
  <c r="AQ254" i="1"/>
  <c r="AR254" i="1"/>
  <c r="AS254" i="1"/>
  <c r="AT254" i="1"/>
  <c r="AU254" i="1"/>
  <c r="AV254" i="1"/>
  <c r="AW254" i="1"/>
  <c r="AX254" i="1"/>
  <c r="AY254" i="1"/>
  <c r="BI254" i="1"/>
  <c r="BJ254" i="1"/>
  <c r="BK254" i="1"/>
  <c r="BL254" i="1"/>
  <c r="BM254" i="1"/>
  <c r="BN254" i="1"/>
  <c r="AB262" i="1"/>
  <c r="AC262" i="1"/>
  <c r="AD262" i="1"/>
  <c r="AE262" i="1"/>
  <c r="AF262" i="1"/>
  <c r="AG262" i="1"/>
  <c r="AH262" i="1"/>
  <c r="AI262" i="1"/>
  <c r="AJ262" i="1"/>
  <c r="AK262" i="1"/>
  <c r="AL262" i="1"/>
  <c r="AM262" i="1"/>
  <c r="AN262" i="1"/>
  <c r="AO262" i="1"/>
  <c r="AP262" i="1"/>
  <c r="AQ262" i="1"/>
  <c r="AR262" i="1"/>
  <c r="AS262" i="1"/>
  <c r="AT262" i="1"/>
  <c r="AU262" i="1"/>
  <c r="AV262" i="1"/>
  <c r="AW262" i="1"/>
  <c r="AX262" i="1"/>
  <c r="AY262" i="1"/>
  <c r="BI262" i="1"/>
  <c r="BJ262" i="1"/>
  <c r="BK262" i="1"/>
  <c r="BL262" i="1"/>
  <c r="BM262" i="1"/>
  <c r="BN262" i="1"/>
  <c r="AB263" i="1"/>
  <c r="AC263" i="1"/>
  <c r="AD263" i="1"/>
  <c r="AE263" i="1"/>
  <c r="AF263" i="1"/>
  <c r="AG263" i="1"/>
  <c r="AH263" i="1"/>
  <c r="AI263" i="1"/>
  <c r="AJ263" i="1"/>
  <c r="AK263" i="1"/>
  <c r="AL263" i="1"/>
  <c r="AM263" i="1"/>
  <c r="AN263" i="1"/>
  <c r="AO263" i="1"/>
  <c r="AP263" i="1"/>
  <c r="AQ263" i="1"/>
  <c r="AR263" i="1"/>
  <c r="AS263" i="1"/>
  <c r="AT263" i="1"/>
  <c r="AU263" i="1"/>
  <c r="AV263" i="1"/>
  <c r="AW263" i="1"/>
  <c r="AX263" i="1"/>
  <c r="AY263" i="1"/>
  <c r="BI263" i="1"/>
  <c r="BJ263" i="1"/>
  <c r="BK263" i="1"/>
  <c r="BL263" i="1"/>
  <c r="BM263" i="1"/>
  <c r="BN263" i="1"/>
  <c r="AB266" i="1"/>
  <c r="AC266" i="1"/>
  <c r="AD266" i="1"/>
  <c r="AE266" i="1"/>
  <c r="AF266" i="1"/>
  <c r="AG266" i="1"/>
  <c r="AH266" i="1"/>
  <c r="AI266" i="1"/>
  <c r="AJ266" i="1"/>
  <c r="AK266" i="1"/>
  <c r="AL266" i="1"/>
  <c r="AM266" i="1"/>
  <c r="AN266" i="1"/>
  <c r="AO266" i="1"/>
  <c r="AP266" i="1"/>
  <c r="AQ266" i="1"/>
  <c r="AR266" i="1"/>
  <c r="AS266" i="1"/>
  <c r="AT266" i="1"/>
  <c r="AU266" i="1"/>
  <c r="AV266" i="1"/>
  <c r="AW266" i="1"/>
  <c r="AX266" i="1"/>
  <c r="AY266" i="1"/>
  <c r="BI266" i="1"/>
  <c r="BJ266" i="1"/>
  <c r="BK266" i="1"/>
  <c r="BL266" i="1"/>
  <c r="BM266" i="1"/>
  <c r="BN266" i="1"/>
  <c r="AB268" i="1"/>
  <c r="AC268" i="1"/>
  <c r="AD268" i="1"/>
  <c r="AE268" i="1"/>
  <c r="AF268" i="1"/>
  <c r="AG268" i="1"/>
  <c r="AH268" i="1"/>
  <c r="AI268" i="1"/>
  <c r="AJ268" i="1"/>
  <c r="AK268" i="1"/>
  <c r="AL268" i="1"/>
  <c r="AM268" i="1"/>
  <c r="AN268" i="1"/>
  <c r="AO268" i="1"/>
  <c r="AP268" i="1"/>
  <c r="AQ268" i="1"/>
  <c r="AR268" i="1"/>
  <c r="AS268" i="1"/>
  <c r="AT268" i="1"/>
  <c r="AU268" i="1"/>
  <c r="AV268" i="1"/>
  <c r="AW268" i="1"/>
  <c r="AX268" i="1"/>
  <c r="AY268" i="1"/>
  <c r="BI268" i="1"/>
  <c r="BJ268" i="1"/>
  <c r="BK268" i="1"/>
  <c r="BL268" i="1"/>
  <c r="BM268" i="1"/>
  <c r="BN268" i="1"/>
  <c r="AB269" i="1"/>
  <c r="AC269" i="1"/>
  <c r="AD269" i="1"/>
  <c r="AE269" i="1"/>
  <c r="AF269" i="1"/>
  <c r="AG269" i="1"/>
  <c r="AH269" i="1"/>
  <c r="AI269" i="1"/>
  <c r="AJ269" i="1"/>
  <c r="AK269" i="1"/>
  <c r="AL269" i="1"/>
  <c r="AM269" i="1"/>
  <c r="AN269" i="1"/>
  <c r="AO269" i="1"/>
  <c r="AP269" i="1"/>
  <c r="AQ269" i="1"/>
  <c r="AR269" i="1"/>
  <c r="AS269" i="1"/>
  <c r="AT269" i="1"/>
  <c r="AU269" i="1"/>
  <c r="AV269" i="1"/>
  <c r="AW269" i="1"/>
  <c r="AX269" i="1"/>
  <c r="AY269" i="1"/>
  <c r="BI269" i="1"/>
  <c r="BJ269" i="1"/>
  <c r="BK269" i="1"/>
  <c r="BL269" i="1"/>
  <c r="BM269" i="1"/>
  <c r="BN269" i="1"/>
  <c r="AB276" i="1"/>
  <c r="AC276" i="1"/>
  <c r="AD276" i="1"/>
  <c r="AE276" i="1"/>
  <c r="AF276" i="1"/>
  <c r="AG276" i="1"/>
  <c r="AH276" i="1"/>
  <c r="AI276" i="1"/>
  <c r="AJ276" i="1"/>
  <c r="AK276" i="1"/>
  <c r="AL276" i="1"/>
  <c r="AM276" i="1"/>
  <c r="AN276" i="1"/>
  <c r="AO276" i="1"/>
  <c r="AP276" i="1"/>
  <c r="AQ276" i="1"/>
  <c r="AR276" i="1"/>
  <c r="AS276" i="1"/>
  <c r="AT276" i="1"/>
  <c r="AU276" i="1"/>
  <c r="AV276" i="1"/>
  <c r="AW276" i="1"/>
  <c r="AX276" i="1"/>
  <c r="AY276" i="1"/>
  <c r="BI276" i="1"/>
  <c r="BJ276" i="1"/>
  <c r="BK276" i="1"/>
  <c r="BL276" i="1"/>
  <c r="BM276" i="1"/>
  <c r="BN276" i="1"/>
  <c r="AB279" i="1"/>
  <c r="AC279" i="1"/>
  <c r="AD279" i="1"/>
  <c r="AE279" i="1"/>
  <c r="AF279" i="1"/>
  <c r="AG279" i="1"/>
  <c r="AH279" i="1"/>
  <c r="AI279" i="1"/>
  <c r="AJ279" i="1"/>
  <c r="AK279" i="1"/>
  <c r="AL279" i="1"/>
  <c r="AM279" i="1"/>
  <c r="AN279" i="1"/>
  <c r="AO279" i="1"/>
  <c r="AP279" i="1"/>
  <c r="AQ279" i="1"/>
  <c r="AR279" i="1"/>
  <c r="AS279" i="1"/>
  <c r="AT279" i="1"/>
  <c r="AU279" i="1"/>
  <c r="AV279" i="1"/>
  <c r="AW279" i="1"/>
  <c r="AX279" i="1"/>
  <c r="AY279" i="1"/>
  <c r="BI279" i="1"/>
  <c r="BJ279" i="1"/>
  <c r="BK279" i="1"/>
  <c r="BL279" i="1"/>
  <c r="BM279" i="1"/>
  <c r="BN279" i="1"/>
  <c r="AB282" i="1"/>
  <c r="AC282" i="1"/>
  <c r="AD282" i="1"/>
  <c r="AE282" i="1"/>
  <c r="AF282" i="1"/>
  <c r="AG282" i="1"/>
  <c r="AH282" i="1"/>
  <c r="AI282" i="1"/>
  <c r="AJ282" i="1"/>
  <c r="AK282" i="1"/>
  <c r="AL282" i="1"/>
  <c r="AM282" i="1"/>
  <c r="AN282" i="1"/>
  <c r="AO282" i="1"/>
  <c r="AP282" i="1"/>
  <c r="AQ282" i="1"/>
  <c r="AR282" i="1"/>
  <c r="AS282" i="1"/>
  <c r="AT282" i="1"/>
  <c r="AU282" i="1"/>
  <c r="AV282" i="1"/>
  <c r="AW282" i="1"/>
  <c r="AX282" i="1"/>
  <c r="AY282" i="1"/>
  <c r="BI282" i="1"/>
  <c r="BJ282" i="1"/>
  <c r="BK282" i="1"/>
  <c r="BL282" i="1"/>
  <c r="BM282" i="1"/>
  <c r="BN282" i="1"/>
  <c r="AB283" i="1"/>
  <c r="AC283" i="1"/>
  <c r="AD283" i="1"/>
  <c r="AE283" i="1"/>
  <c r="AF283" i="1"/>
  <c r="AG283" i="1"/>
  <c r="AH283" i="1"/>
  <c r="AI283" i="1"/>
  <c r="AJ283" i="1"/>
  <c r="AK283" i="1"/>
  <c r="AL283" i="1"/>
  <c r="AM283" i="1"/>
  <c r="AN283" i="1"/>
  <c r="AO283" i="1"/>
  <c r="AP283" i="1"/>
  <c r="AQ283" i="1"/>
  <c r="AR283" i="1"/>
  <c r="AS283" i="1"/>
  <c r="AT283" i="1"/>
  <c r="AU283" i="1"/>
  <c r="AV283" i="1"/>
  <c r="AW283" i="1"/>
  <c r="AX283" i="1"/>
  <c r="AY283" i="1"/>
  <c r="BI283" i="1"/>
  <c r="BJ283" i="1"/>
  <c r="BK283" i="1"/>
  <c r="BL283" i="1"/>
  <c r="BM283" i="1"/>
  <c r="BN283" i="1"/>
  <c r="AB289" i="1"/>
  <c r="AC289" i="1"/>
  <c r="AD289" i="1"/>
  <c r="AE289" i="1"/>
  <c r="AF289" i="1"/>
  <c r="AG289" i="1"/>
  <c r="AH289" i="1"/>
  <c r="AI289" i="1"/>
  <c r="AJ289" i="1"/>
  <c r="AK289" i="1"/>
  <c r="AL289" i="1"/>
  <c r="AM289" i="1"/>
  <c r="AN289" i="1"/>
  <c r="AO289" i="1"/>
  <c r="AP289" i="1"/>
  <c r="AQ289" i="1"/>
  <c r="AR289" i="1"/>
  <c r="AS289" i="1"/>
  <c r="AT289" i="1"/>
  <c r="AU289" i="1"/>
  <c r="AV289" i="1"/>
  <c r="AW289" i="1"/>
  <c r="AX289" i="1"/>
  <c r="AY289" i="1"/>
  <c r="BI289" i="1"/>
  <c r="BJ289" i="1"/>
  <c r="BK289" i="1"/>
  <c r="BL289" i="1"/>
  <c r="BM289" i="1"/>
  <c r="BN289" i="1"/>
  <c r="AB294" i="1"/>
  <c r="AC294" i="1"/>
  <c r="AD294" i="1"/>
  <c r="AE294" i="1"/>
  <c r="AF294" i="1"/>
  <c r="AG294" i="1"/>
  <c r="AH294" i="1"/>
  <c r="AI294" i="1"/>
  <c r="AJ294" i="1"/>
  <c r="AK294" i="1"/>
  <c r="AL294" i="1"/>
  <c r="AM294" i="1"/>
  <c r="AN294" i="1"/>
  <c r="AO294" i="1"/>
  <c r="AP294" i="1"/>
  <c r="AQ294" i="1"/>
  <c r="AR294" i="1"/>
  <c r="AS294" i="1"/>
  <c r="AT294" i="1"/>
  <c r="AU294" i="1"/>
  <c r="AV294" i="1"/>
  <c r="AW294" i="1"/>
  <c r="AX294" i="1"/>
  <c r="AY294" i="1"/>
  <c r="BI294" i="1"/>
  <c r="BJ294" i="1"/>
  <c r="BK294" i="1"/>
  <c r="BL294" i="1"/>
  <c r="BM294" i="1"/>
  <c r="BN294" i="1"/>
  <c r="AB295" i="1"/>
  <c r="AC295" i="1"/>
  <c r="AD295" i="1"/>
  <c r="AE295" i="1"/>
  <c r="AF295" i="1"/>
  <c r="AG295" i="1"/>
  <c r="AH295" i="1"/>
  <c r="AI295" i="1"/>
  <c r="AJ295" i="1"/>
  <c r="AK295" i="1"/>
  <c r="AL295" i="1"/>
  <c r="AM295" i="1"/>
  <c r="AN295" i="1"/>
  <c r="AO295" i="1"/>
  <c r="AP295" i="1"/>
  <c r="AQ295" i="1"/>
  <c r="AR295" i="1"/>
  <c r="AS295" i="1"/>
  <c r="AT295" i="1"/>
  <c r="AU295" i="1"/>
  <c r="AV295" i="1"/>
  <c r="AW295" i="1"/>
  <c r="AX295" i="1"/>
  <c r="AY295" i="1"/>
  <c r="BI295" i="1"/>
  <c r="BJ295" i="1"/>
  <c r="BK295" i="1"/>
  <c r="BL295" i="1"/>
  <c r="BM295" i="1"/>
  <c r="BN295" i="1"/>
  <c r="AB299" i="1"/>
  <c r="AC299" i="1"/>
  <c r="AD299" i="1"/>
  <c r="AE299" i="1"/>
  <c r="AF299" i="1"/>
  <c r="AG299" i="1"/>
  <c r="AH299" i="1"/>
  <c r="AI299" i="1"/>
  <c r="AJ299" i="1"/>
  <c r="AK299" i="1"/>
  <c r="AL299" i="1"/>
  <c r="AM299" i="1"/>
  <c r="AN299" i="1"/>
  <c r="AO299" i="1"/>
  <c r="AP299" i="1"/>
  <c r="AQ299" i="1"/>
  <c r="AR299" i="1"/>
  <c r="AS299" i="1"/>
  <c r="AT299" i="1"/>
  <c r="AU299" i="1"/>
  <c r="AV299" i="1"/>
  <c r="AW299" i="1"/>
  <c r="AX299" i="1"/>
  <c r="AY299" i="1"/>
  <c r="BI299" i="1"/>
  <c r="BJ299" i="1"/>
  <c r="BK299" i="1"/>
  <c r="BL299" i="1"/>
  <c r="BM299" i="1"/>
  <c r="BN299" i="1"/>
  <c r="AB301" i="1"/>
  <c r="AC301" i="1"/>
  <c r="AD301" i="1"/>
  <c r="AE301" i="1"/>
  <c r="AF301" i="1"/>
  <c r="AG301" i="1"/>
  <c r="AH301" i="1"/>
  <c r="AI301" i="1"/>
  <c r="AJ301" i="1"/>
  <c r="AK301" i="1"/>
  <c r="AL301" i="1"/>
  <c r="AM301" i="1"/>
  <c r="AN301" i="1"/>
  <c r="AO301" i="1"/>
  <c r="AP301" i="1"/>
  <c r="AQ301" i="1"/>
  <c r="AR301" i="1"/>
  <c r="AS301" i="1"/>
  <c r="AT301" i="1"/>
  <c r="AU301" i="1"/>
  <c r="AV301" i="1"/>
  <c r="AW301" i="1"/>
  <c r="AX301" i="1"/>
  <c r="AY301" i="1"/>
  <c r="BI301" i="1"/>
  <c r="BJ301" i="1"/>
  <c r="BK301" i="1"/>
  <c r="BL301" i="1"/>
  <c r="BM301" i="1"/>
  <c r="BN301" i="1"/>
  <c r="AB313" i="1"/>
  <c r="AC313" i="1"/>
  <c r="AD313" i="1"/>
  <c r="AE313" i="1"/>
  <c r="AF313" i="1"/>
  <c r="AG313" i="1"/>
  <c r="AH313" i="1"/>
  <c r="AI313" i="1"/>
  <c r="AJ313" i="1"/>
  <c r="AK313" i="1"/>
  <c r="AL313" i="1"/>
  <c r="AM313" i="1"/>
  <c r="AN313" i="1"/>
  <c r="AO313" i="1"/>
  <c r="AP313" i="1"/>
  <c r="AQ313" i="1"/>
  <c r="AR313" i="1"/>
  <c r="AS313" i="1"/>
  <c r="AT313" i="1"/>
  <c r="AU313" i="1"/>
  <c r="AV313" i="1"/>
  <c r="AW313" i="1"/>
  <c r="AX313" i="1"/>
  <c r="AY313" i="1"/>
  <c r="BI313" i="1"/>
  <c r="BJ313" i="1"/>
  <c r="BK313" i="1"/>
  <c r="BL313" i="1"/>
  <c r="BM313" i="1"/>
  <c r="BN313" i="1"/>
  <c r="AB314" i="1"/>
  <c r="AC314" i="1"/>
  <c r="AD314" i="1"/>
  <c r="AE314" i="1"/>
  <c r="AF314" i="1"/>
  <c r="AG314" i="1"/>
  <c r="AH314" i="1"/>
  <c r="AI314" i="1"/>
  <c r="AJ314" i="1"/>
  <c r="AK314" i="1"/>
  <c r="AL314" i="1"/>
  <c r="AM314" i="1"/>
  <c r="AN314" i="1"/>
  <c r="AO314" i="1"/>
  <c r="AP314" i="1"/>
  <c r="AQ314" i="1"/>
  <c r="AR314" i="1"/>
  <c r="AS314" i="1"/>
  <c r="AT314" i="1"/>
  <c r="AU314" i="1"/>
  <c r="AV314" i="1"/>
  <c r="AW314" i="1"/>
  <c r="AX314" i="1"/>
  <c r="AY314" i="1"/>
  <c r="BI314" i="1"/>
  <c r="BJ314" i="1"/>
  <c r="BK314" i="1"/>
  <c r="BL314" i="1"/>
  <c r="BM314" i="1"/>
  <c r="BN314" i="1"/>
  <c r="AB315" i="1"/>
  <c r="AC315" i="1"/>
  <c r="AD315" i="1"/>
  <c r="AE315" i="1"/>
  <c r="AF315" i="1"/>
  <c r="AG315" i="1"/>
  <c r="AH315" i="1"/>
  <c r="AI315" i="1"/>
  <c r="AJ315" i="1"/>
  <c r="AK315" i="1"/>
  <c r="AL315" i="1"/>
  <c r="AM315" i="1"/>
  <c r="AN315" i="1"/>
  <c r="AO315" i="1"/>
  <c r="AP315" i="1"/>
  <c r="AQ315" i="1"/>
  <c r="AR315" i="1"/>
  <c r="AS315" i="1"/>
  <c r="AT315" i="1"/>
  <c r="AU315" i="1"/>
  <c r="AV315" i="1"/>
  <c r="AW315" i="1"/>
  <c r="AX315" i="1"/>
  <c r="AY315" i="1"/>
  <c r="BI315" i="1"/>
  <c r="BJ315" i="1"/>
  <c r="BK315" i="1"/>
  <c r="BL315" i="1"/>
  <c r="BM315" i="1"/>
  <c r="BN315" i="1"/>
  <c r="AB319" i="1"/>
  <c r="AC319" i="1"/>
  <c r="AD319" i="1"/>
  <c r="AE319" i="1"/>
  <c r="AF319" i="1"/>
  <c r="AG319" i="1"/>
  <c r="AH319" i="1"/>
  <c r="AI319" i="1"/>
  <c r="AJ319" i="1"/>
  <c r="AK319" i="1"/>
  <c r="AL319" i="1"/>
  <c r="AM319" i="1"/>
  <c r="AN319" i="1"/>
  <c r="AO319" i="1"/>
  <c r="AP319" i="1"/>
  <c r="AQ319" i="1"/>
  <c r="AR319" i="1"/>
  <c r="AS319" i="1"/>
  <c r="AT319" i="1"/>
  <c r="AU319" i="1"/>
  <c r="AV319" i="1"/>
  <c r="AW319" i="1"/>
  <c r="AX319" i="1"/>
  <c r="AY319" i="1"/>
  <c r="AB321" i="1"/>
  <c r="AC321" i="1"/>
  <c r="AD321" i="1"/>
  <c r="AE321" i="1"/>
  <c r="AF321" i="1"/>
  <c r="AG321" i="1"/>
  <c r="AH321" i="1"/>
  <c r="AI321" i="1"/>
  <c r="AJ321" i="1"/>
  <c r="AK321" i="1"/>
  <c r="AL321" i="1"/>
  <c r="AM321" i="1"/>
  <c r="AN321" i="1"/>
  <c r="AO321" i="1"/>
  <c r="AP321" i="1"/>
  <c r="AQ321" i="1"/>
  <c r="AR321" i="1"/>
  <c r="AS321" i="1"/>
  <c r="AT321" i="1"/>
  <c r="AU321" i="1"/>
  <c r="AV321" i="1"/>
  <c r="AW321" i="1"/>
  <c r="AX321" i="1"/>
  <c r="AY321" i="1"/>
  <c r="BI321" i="1"/>
  <c r="BJ321" i="1"/>
  <c r="BK321" i="1"/>
  <c r="BL321" i="1"/>
  <c r="BM321" i="1"/>
  <c r="BN321" i="1"/>
  <c r="BI322" i="1"/>
  <c r="BJ322" i="1"/>
  <c r="BK322" i="1"/>
  <c r="BL322" i="1"/>
  <c r="BM322" i="1"/>
  <c r="BN322" i="1"/>
  <c r="AB327" i="1"/>
  <c r="AC327" i="1"/>
  <c r="AD327" i="1"/>
  <c r="AE327" i="1"/>
  <c r="AF327" i="1"/>
  <c r="AG327" i="1"/>
  <c r="AH327" i="1"/>
  <c r="AI327" i="1"/>
  <c r="AJ327" i="1"/>
  <c r="AK327" i="1"/>
  <c r="AL327" i="1"/>
  <c r="AM327" i="1"/>
  <c r="AN327" i="1"/>
  <c r="AO327" i="1"/>
  <c r="AP327" i="1"/>
  <c r="AQ327" i="1"/>
  <c r="AR327" i="1"/>
  <c r="AS327" i="1"/>
  <c r="AT327" i="1"/>
  <c r="AU327" i="1"/>
  <c r="AV327" i="1"/>
  <c r="AW327" i="1"/>
  <c r="AX327" i="1"/>
  <c r="AY327" i="1"/>
  <c r="BI327" i="1"/>
  <c r="BJ327" i="1"/>
  <c r="BK327" i="1"/>
  <c r="BL327" i="1"/>
  <c r="BM327" i="1"/>
  <c r="BN327" i="1"/>
  <c r="BI328" i="1"/>
  <c r="BJ328" i="1"/>
  <c r="BK328" i="1"/>
  <c r="BL328" i="1"/>
  <c r="BM328" i="1"/>
  <c r="BN328" i="1"/>
  <c r="AB330" i="1"/>
  <c r="AC330" i="1"/>
  <c r="AD330" i="1"/>
  <c r="AE330" i="1"/>
  <c r="AF330" i="1"/>
  <c r="AG330" i="1"/>
  <c r="AH330" i="1"/>
  <c r="AI330" i="1"/>
  <c r="AJ330" i="1"/>
  <c r="AK330" i="1"/>
  <c r="AL330" i="1"/>
  <c r="AM330" i="1"/>
  <c r="AN330" i="1"/>
  <c r="AO330" i="1"/>
  <c r="AP330" i="1"/>
  <c r="AQ330" i="1"/>
  <c r="AR330" i="1"/>
  <c r="AS330" i="1"/>
  <c r="AT330" i="1"/>
  <c r="AU330" i="1"/>
  <c r="AV330" i="1"/>
  <c r="AW330" i="1"/>
  <c r="AX330" i="1"/>
  <c r="AY330" i="1"/>
  <c r="BI330" i="1"/>
  <c r="BJ330" i="1"/>
  <c r="BK330" i="1"/>
  <c r="BL330" i="1"/>
  <c r="BM330" i="1"/>
  <c r="BN330" i="1"/>
  <c r="AB333" i="1"/>
  <c r="AC333" i="1"/>
  <c r="AD333" i="1"/>
  <c r="AE333" i="1"/>
  <c r="AF333" i="1"/>
  <c r="AG333" i="1"/>
  <c r="AH333" i="1"/>
  <c r="AI333" i="1"/>
  <c r="AJ333" i="1"/>
  <c r="AK333" i="1"/>
  <c r="AL333" i="1"/>
  <c r="AM333" i="1"/>
  <c r="AN333" i="1"/>
  <c r="AO333" i="1"/>
  <c r="AP333" i="1"/>
  <c r="AQ333" i="1"/>
  <c r="AR333" i="1"/>
  <c r="AS333" i="1"/>
  <c r="AT333" i="1"/>
  <c r="AU333" i="1"/>
  <c r="AV333" i="1"/>
  <c r="AW333" i="1"/>
  <c r="AX333" i="1"/>
  <c r="AY333" i="1"/>
  <c r="AB334" i="1"/>
  <c r="AC334" i="1"/>
  <c r="AD334" i="1"/>
  <c r="AE334" i="1"/>
  <c r="AF334" i="1"/>
  <c r="AG334" i="1"/>
  <c r="AH334" i="1"/>
  <c r="AI334" i="1"/>
  <c r="AJ334" i="1"/>
  <c r="AK334" i="1"/>
  <c r="AL334" i="1"/>
  <c r="AM334" i="1"/>
  <c r="AN334" i="1"/>
  <c r="AO334" i="1"/>
  <c r="AP334" i="1"/>
  <c r="AQ334" i="1"/>
  <c r="AR334" i="1"/>
  <c r="AS334" i="1"/>
  <c r="AT334" i="1"/>
  <c r="AU334" i="1"/>
  <c r="AV334" i="1"/>
  <c r="AW334" i="1"/>
  <c r="AX334" i="1"/>
  <c r="AY334" i="1"/>
  <c r="AB335" i="1"/>
  <c r="AC335" i="1"/>
  <c r="AD335" i="1"/>
  <c r="AE335" i="1"/>
  <c r="AF335" i="1"/>
  <c r="AG335" i="1"/>
  <c r="AH335" i="1"/>
  <c r="AI335" i="1"/>
  <c r="AJ335" i="1"/>
  <c r="AK335" i="1"/>
  <c r="AL335" i="1"/>
  <c r="AM335" i="1"/>
  <c r="AN335" i="1"/>
  <c r="AO335" i="1"/>
  <c r="AP335" i="1"/>
  <c r="AQ335" i="1"/>
  <c r="AR335" i="1"/>
  <c r="AS335" i="1"/>
  <c r="AT335" i="1"/>
  <c r="AU335" i="1"/>
  <c r="AV335" i="1"/>
  <c r="AW335" i="1"/>
  <c r="AX335" i="1"/>
  <c r="AY335" i="1"/>
  <c r="BI335" i="1"/>
  <c r="BJ335" i="1"/>
  <c r="BK335" i="1"/>
  <c r="BL335" i="1"/>
  <c r="BM335" i="1"/>
  <c r="BN335" i="1"/>
  <c r="AC337" i="1"/>
  <c r="AD337" i="1"/>
  <c r="AE337" i="1"/>
  <c r="AF337" i="1"/>
  <c r="AG337" i="1"/>
  <c r="AH337" i="1"/>
  <c r="AI337" i="1"/>
  <c r="AJ337" i="1"/>
  <c r="AK337" i="1"/>
  <c r="AL337" i="1"/>
  <c r="AM337" i="1"/>
  <c r="AN337" i="1"/>
  <c r="AO337" i="1"/>
  <c r="AP337" i="1"/>
  <c r="AQ337" i="1"/>
  <c r="AR337" i="1"/>
  <c r="AS337" i="1"/>
  <c r="AT337" i="1"/>
  <c r="AU337" i="1"/>
  <c r="AV337" i="1"/>
  <c r="AW337" i="1"/>
  <c r="AX337" i="1"/>
  <c r="AY337" i="1"/>
  <c r="AB338" i="1"/>
  <c r="AC338" i="1"/>
  <c r="AD338" i="1"/>
  <c r="AE338" i="1"/>
  <c r="AF338" i="1"/>
  <c r="AG338" i="1"/>
  <c r="AH338" i="1"/>
  <c r="AI338" i="1"/>
  <c r="AJ338" i="1"/>
  <c r="AK338" i="1"/>
  <c r="AL338" i="1"/>
  <c r="AM338" i="1"/>
  <c r="AN338" i="1"/>
  <c r="AO338" i="1"/>
  <c r="AP338" i="1"/>
  <c r="AQ338" i="1"/>
  <c r="AR338" i="1"/>
  <c r="AS338" i="1"/>
  <c r="AT338" i="1"/>
  <c r="AU338" i="1"/>
  <c r="AV338" i="1"/>
  <c r="AW338" i="1"/>
  <c r="AX338" i="1"/>
  <c r="AY338" i="1"/>
  <c r="BI338" i="1"/>
  <c r="BJ338" i="1"/>
  <c r="BK338" i="1"/>
  <c r="BL338" i="1"/>
  <c r="BM338" i="1"/>
  <c r="BN338" i="1"/>
  <c r="AB340" i="1"/>
  <c r="AC340" i="1"/>
  <c r="AD340" i="1"/>
  <c r="AE340" i="1"/>
  <c r="AF340" i="1"/>
  <c r="AG340" i="1"/>
  <c r="AH340" i="1"/>
  <c r="AI340" i="1"/>
  <c r="AJ340" i="1"/>
  <c r="AK340" i="1"/>
  <c r="AL340" i="1"/>
  <c r="AM340" i="1"/>
  <c r="AN340" i="1"/>
  <c r="AO340" i="1"/>
  <c r="AP340" i="1"/>
  <c r="AQ340" i="1"/>
  <c r="AR340" i="1"/>
  <c r="AS340" i="1"/>
  <c r="AT340" i="1"/>
  <c r="AU340" i="1"/>
  <c r="AV340" i="1"/>
  <c r="AW340" i="1"/>
  <c r="AX340" i="1"/>
  <c r="AY340" i="1"/>
  <c r="BI340" i="1"/>
  <c r="BJ340" i="1"/>
  <c r="BK340" i="1"/>
  <c r="BL340" i="1"/>
  <c r="BM340" i="1"/>
  <c r="BN340" i="1"/>
  <c r="AC341" i="1"/>
  <c r="AD341" i="1"/>
  <c r="AE341" i="1"/>
  <c r="AF341" i="1"/>
  <c r="AG341" i="1"/>
  <c r="AH341" i="1"/>
  <c r="AI341" i="1"/>
  <c r="AJ341" i="1"/>
  <c r="AK341" i="1"/>
  <c r="AL341" i="1"/>
  <c r="AM341" i="1"/>
  <c r="AN341" i="1"/>
  <c r="AO341" i="1"/>
  <c r="AP341" i="1"/>
  <c r="AQ341" i="1"/>
  <c r="AR341" i="1"/>
  <c r="AS341" i="1"/>
  <c r="AT341" i="1"/>
  <c r="AU341" i="1"/>
  <c r="AV341" i="1"/>
  <c r="AW341" i="1"/>
  <c r="AX341" i="1"/>
  <c r="AY341" i="1"/>
  <c r="AB350" i="1"/>
  <c r="AC350" i="1"/>
  <c r="AD350" i="1"/>
  <c r="AE350" i="1"/>
  <c r="AF350" i="1"/>
  <c r="AG350" i="1"/>
  <c r="AH350" i="1"/>
  <c r="AI350" i="1"/>
  <c r="AJ350" i="1"/>
  <c r="AK350" i="1"/>
  <c r="AL350" i="1"/>
  <c r="AM350" i="1"/>
  <c r="AN350" i="1"/>
  <c r="AO350" i="1"/>
  <c r="AP350" i="1"/>
  <c r="AQ350" i="1"/>
  <c r="AR350" i="1"/>
  <c r="AS350" i="1"/>
  <c r="AT350" i="1"/>
  <c r="AU350" i="1"/>
  <c r="AV350" i="1"/>
  <c r="AW350" i="1"/>
  <c r="AX350" i="1"/>
  <c r="AY350" i="1"/>
  <c r="BI350" i="1"/>
  <c r="BJ350" i="1"/>
  <c r="BK350" i="1"/>
  <c r="BL350" i="1"/>
  <c r="BM350" i="1"/>
  <c r="BN350" i="1"/>
  <c r="AC368" i="1"/>
  <c r="AD368" i="1"/>
  <c r="AE368" i="1"/>
  <c r="AF368" i="1"/>
  <c r="AG368" i="1"/>
  <c r="AH368" i="1"/>
  <c r="AI368" i="1"/>
  <c r="AJ368" i="1"/>
  <c r="AK368" i="1"/>
  <c r="AL368" i="1"/>
  <c r="AM368" i="1"/>
  <c r="AN368" i="1"/>
  <c r="AO368" i="1"/>
  <c r="AP368" i="1"/>
  <c r="AQ368" i="1"/>
  <c r="AR368" i="1"/>
  <c r="AS368" i="1"/>
  <c r="AT368" i="1"/>
  <c r="AU368" i="1"/>
  <c r="AV368" i="1"/>
  <c r="AW368" i="1"/>
  <c r="AX368" i="1"/>
  <c r="AY368" i="1"/>
  <c r="AB369" i="1"/>
  <c r="AC369" i="1"/>
  <c r="AD369" i="1"/>
  <c r="AE369" i="1"/>
  <c r="AF369" i="1"/>
  <c r="AG369" i="1"/>
  <c r="AH369" i="1"/>
  <c r="AI369" i="1"/>
  <c r="AJ369" i="1"/>
  <c r="AK369" i="1"/>
  <c r="AL369" i="1"/>
  <c r="AM369" i="1"/>
  <c r="AN369" i="1"/>
  <c r="AO369" i="1"/>
  <c r="AP369" i="1"/>
  <c r="AQ369" i="1"/>
  <c r="AR369" i="1"/>
  <c r="AS369" i="1"/>
  <c r="AT369" i="1"/>
  <c r="AU369" i="1"/>
  <c r="AV369" i="1"/>
  <c r="AW369" i="1"/>
  <c r="AX369" i="1"/>
  <c r="AY369" i="1"/>
  <c r="AB370" i="1"/>
  <c r="AC370" i="1"/>
  <c r="AD370" i="1"/>
  <c r="AE370" i="1"/>
  <c r="AF370" i="1"/>
  <c r="AG370" i="1"/>
  <c r="AH370" i="1"/>
  <c r="AI370" i="1"/>
  <c r="AJ370" i="1"/>
  <c r="AK370" i="1"/>
  <c r="AL370" i="1"/>
  <c r="AM370" i="1"/>
  <c r="AN370" i="1"/>
  <c r="AO370" i="1"/>
  <c r="AP370" i="1"/>
  <c r="AQ370" i="1"/>
  <c r="AR370" i="1"/>
  <c r="AS370" i="1"/>
  <c r="AT370" i="1"/>
  <c r="AU370" i="1"/>
  <c r="AV370" i="1"/>
  <c r="AW370" i="1"/>
  <c r="AX370" i="1"/>
  <c r="AY370" i="1"/>
  <c r="AB372" i="1"/>
  <c r="AC372" i="1"/>
  <c r="AD372" i="1"/>
  <c r="AE372" i="1"/>
  <c r="AF372" i="1"/>
  <c r="AG372" i="1"/>
  <c r="AH372" i="1"/>
  <c r="AI372" i="1"/>
  <c r="AJ372" i="1"/>
  <c r="AK372" i="1"/>
  <c r="AL372" i="1"/>
  <c r="AM372" i="1"/>
  <c r="AN372" i="1"/>
  <c r="AO372" i="1"/>
  <c r="AP372" i="1"/>
  <c r="AQ372" i="1"/>
  <c r="AR372" i="1"/>
  <c r="AS372" i="1"/>
  <c r="AT372" i="1"/>
  <c r="AU372" i="1"/>
  <c r="AV372" i="1"/>
  <c r="AW372" i="1"/>
  <c r="AX372" i="1"/>
  <c r="AY372" i="1"/>
  <c r="AC373" i="1"/>
  <c r="AD373" i="1"/>
  <c r="AE373" i="1"/>
  <c r="AF373" i="1"/>
  <c r="AG373" i="1"/>
  <c r="AH373" i="1"/>
  <c r="AI373" i="1"/>
  <c r="AJ373" i="1"/>
  <c r="AK373" i="1"/>
  <c r="AL373" i="1"/>
  <c r="AM373" i="1"/>
  <c r="AN373" i="1"/>
  <c r="AO373" i="1"/>
  <c r="AP373" i="1"/>
  <c r="AQ373" i="1"/>
  <c r="AR373" i="1"/>
  <c r="AS373" i="1"/>
  <c r="AT373" i="1"/>
  <c r="AU373" i="1"/>
  <c r="AV373" i="1"/>
  <c r="AW373" i="1"/>
  <c r="AX373" i="1"/>
  <c r="AY373" i="1"/>
  <c r="AB374" i="1"/>
  <c r="AC374" i="1"/>
  <c r="AD374" i="1"/>
  <c r="AE374" i="1"/>
  <c r="AF374" i="1"/>
  <c r="AG374" i="1"/>
  <c r="AH374" i="1"/>
  <c r="AI374" i="1"/>
  <c r="AJ374" i="1"/>
  <c r="AK374" i="1"/>
  <c r="AL374" i="1"/>
  <c r="AM374" i="1"/>
  <c r="AN374" i="1"/>
  <c r="AO374" i="1"/>
  <c r="AP374" i="1"/>
  <c r="AQ374" i="1"/>
  <c r="AR374" i="1"/>
  <c r="AS374" i="1"/>
  <c r="AT374" i="1"/>
  <c r="AU374" i="1"/>
  <c r="AV374" i="1"/>
  <c r="AW374" i="1"/>
  <c r="AX374" i="1"/>
  <c r="AY374" i="1"/>
  <c r="AB376" i="1"/>
  <c r="AC376" i="1"/>
  <c r="AD376" i="1"/>
  <c r="AE376" i="1"/>
  <c r="AF376" i="1"/>
  <c r="AG376" i="1"/>
  <c r="AH376" i="1"/>
  <c r="AI376" i="1"/>
  <c r="AJ376" i="1"/>
  <c r="AK376" i="1"/>
  <c r="AL376" i="1"/>
  <c r="AM376" i="1"/>
  <c r="AN376" i="1"/>
  <c r="AO376" i="1"/>
  <c r="AP376" i="1"/>
  <c r="AQ376" i="1"/>
  <c r="AR376" i="1"/>
  <c r="AS376" i="1"/>
  <c r="AT376" i="1"/>
  <c r="AU376" i="1"/>
  <c r="AV376" i="1"/>
  <c r="AW376" i="1"/>
  <c r="AX376" i="1"/>
  <c r="AY376" i="1"/>
  <c r="BI376" i="1"/>
  <c r="BJ376" i="1"/>
  <c r="BK376" i="1"/>
  <c r="BL376" i="1"/>
  <c r="BM376" i="1"/>
  <c r="BN376" i="1"/>
  <c r="AB377" i="1"/>
  <c r="AC377" i="1"/>
  <c r="AD377" i="1"/>
  <c r="AE377" i="1"/>
  <c r="AF377" i="1"/>
  <c r="AG377" i="1"/>
  <c r="AH377" i="1"/>
  <c r="AI377" i="1"/>
  <c r="AJ377" i="1"/>
  <c r="AK377" i="1"/>
  <c r="AL377" i="1"/>
  <c r="AM377" i="1"/>
  <c r="AN377" i="1"/>
  <c r="AO377" i="1"/>
  <c r="AP377" i="1"/>
  <c r="AQ377" i="1"/>
  <c r="AR377" i="1"/>
  <c r="AS377" i="1"/>
  <c r="AT377" i="1"/>
  <c r="AU377" i="1"/>
  <c r="AV377" i="1"/>
  <c r="AW377" i="1"/>
  <c r="AX377" i="1"/>
  <c r="AY377" i="1"/>
  <c r="AB380" i="1"/>
  <c r="AC380" i="1"/>
  <c r="AD380" i="1"/>
  <c r="AE380" i="1"/>
  <c r="AF380" i="1"/>
  <c r="AG380" i="1"/>
  <c r="AH380" i="1"/>
  <c r="AI380" i="1"/>
  <c r="AJ380" i="1"/>
  <c r="AK380" i="1"/>
  <c r="AL380" i="1"/>
  <c r="AM380" i="1"/>
  <c r="AN380" i="1"/>
  <c r="AO380" i="1"/>
  <c r="AP380" i="1"/>
  <c r="AQ380" i="1"/>
  <c r="AR380" i="1"/>
  <c r="AS380" i="1"/>
  <c r="AT380" i="1"/>
  <c r="AU380" i="1"/>
  <c r="AV380" i="1"/>
  <c r="AW380" i="1"/>
  <c r="AX380" i="1"/>
  <c r="AY380" i="1"/>
  <c r="BI380" i="1"/>
  <c r="BJ380" i="1"/>
  <c r="BK380" i="1"/>
  <c r="BL380" i="1"/>
  <c r="BM380" i="1"/>
  <c r="BN380" i="1"/>
  <c r="AB381" i="1"/>
  <c r="AC381" i="1"/>
  <c r="AD381" i="1"/>
  <c r="AE381" i="1"/>
  <c r="AF381" i="1"/>
  <c r="AG381" i="1"/>
  <c r="AH381" i="1"/>
  <c r="AI381" i="1"/>
  <c r="AJ381" i="1"/>
  <c r="AK381" i="1"/>
  <c r="AL381" i="1"/>
  <c r="AM381" i="1"/>
  <c r="AN381" i="1"/>
  <c r="AO381" i="1"/>
  <c r="AP381" i="1"/>
  <c r="AQ381" i="1"/>
  <c r="AR381" i="1"/>
  <c r="AS381" i="1"/>
  <c r="AT381" i="1"/>
  <c r="AU381" i="1"/>
  <c r="AV381" i="1"/>
  <c r="AW381" i="1"/>
  <c r="AX381" i="1"/>
  <c r="AY381" i="1"/>
  <c r="BI381" i="1"/>
  <c r="BJ381" i="1"/>
  <c r="BK381" i="1"/>
  <c r="BL381" i="1"/>
  <c r="BM381" i="1"/>
  <c r="BN381" i="1"/>
  <c r="AB383" i="1"/>
  <c r="AC383" i="1"/>
  <c r="AD383" i="1"/>
  <c r="AE383" i="1"/>
  <c r="AF383" i="1"/>
  <c r="AG383" i="1"/>
  <c r="AH383" i="1"/>
  <c r="AI383" i="1"/>
  <c r="AJ383" i="1"/>
  <c r="AK383" i="1"/>
  <c r="AL383" i="1"/>
  <c r="AM383" i="1"/>
  <c r="AN383" i="1"/>
  <c r="AO383" i="1"/>
  <c r="AP383" i="1"/>
  <c r="AQ383" i="1"/>
  <c r="AR383" i="1"/>
  <c r="AS383" i="1"/>
  <c r="AT383" i="1"/>
  <c r="AU383" i="1"/>
  <c r="AV383" i="1"/>
  <c r="AW383" i="1"/>
  <c r="AX383" i="1"/>
  <c r="AY383" i="1"/>
  <c r="BI383" i="1"/>
  <c r="BJ383" i="1"/>
  <c r="BK383" i="1"/>
  <c r="BL383" i="1"/>
  <c r="BM383" i="1"/>
  <c r="BN383" i="1"/>
  <c r="AB384" i="1"/>
  <c r="AC384" i="1"/>
  <c r="AD384" i="1"/>
  <c r="AE384" i="1"/>
  <c r="AF384" i="1"/>
  <c r="AG384" i="1"/>
  <c r="AH384" i="1"/>
  <c r="AI384" i="1"/>
  <c r="AJ384" i="1"/>
  <c r="AK384" i="1"/>
  <c r="AL384" i="1"/>
  <c r="AM384" i="1"/>
  <c r="AN384" i="1"/>
  <c r="AO384" i="1"/>
  <c r="AP384" i="1"/>
  <c r="AQ384" i="1"/>
  <c r="AR384" i="1"/>
  <c r="AS384" i="1"/>
  <c r="AT384" i="1"/>
  <c r="AU384" i="1"/>
  <c r="AV384" i="1"/>
  <c r="AW384" i="1"/>
  <c r="AX384" i="1"/>
  <c r="AY384" i="1"/>
  <c r="BI384" i="1"/>
  <c r="BJ384" i="1"/>
  <c r="BK384" i="1"/>
  <c r="BL384" i="1"/>
  <c r="BM384" i="1"/>
  <c r="BN384" i="1"/>
  <c r="AB387" i="1"/>
  <c r="AC387" i="1"/>
  <c r="AD387" i="1"/>
  <c r="AE387" i="1"/>
  <c r="AF387" i="1"/>
  <c r="AG387" i="1"/>
  <c r="AH387" i="1"/>
  <c r="AI387" i="1"/>
  <c r="AJ387" i="1"/>
  <c r="AK387" i="1"/>
  <c r="AL387" i="1"/>
  <c r="AM387" i="1"/>
  <c r="AN387" i="1"/>
  <c r="AO387" i="1"/>
  <c r="AP387" i="1"/>
  <c r="AQ387" i="1"/>
  <c r="AR387" i="1"/>
  <c r="AS387" i="1"/>
  <c r="AT387" i="1"/>
  <c r="AU387" i="1"/>
  <c r="AV387" i="1"/>
  <c r="AW387" i="1"/>
  <c r="AX387" i="1"/>
  <c r="AY387" i="1"/>
  <c r="AB388" i="1"/>
  <c r="AC388" i="1"/>
  <c r="AD388" i="1"/>
  <c r="AE388" i="1"/>
  <c r="AF388" i="1"/>
  <c r="AG388" i="1"/>
  <c r="AH388" i="1"/>
  <c r="AI388" i="1"/>
  <c r="AJ388" i="1"/>
  <c r="AK388" i="1"/>
  <c r="AL388" i="1"/>
  <c r="AM388" i="1"/>
  <c r="AN388" i="1"/>
  <c r="AO388" i="1"/>
  <c r="AP388" i="1"/>
  <c r="AQ388" i="1"/>
  <c r="AR388" i="1"/>
  <c r="AS388" i="1"/>
  <c r="AT388" i="1"/>
  <c r="AU388" i="1"/>
  <c r="AV388" i="1"/>
  <c r="AW388" i="1"/>
  <c r="AX388" i="1"/>
  <c r="AY388" i="1"/>
  <c r="AB393" i="1"/>
  <c r="AC393" i="1"/>
  <c r="AD393" i="1"/>
  <c r="AE393" i="1"/>
  <c r="AF393" i="1"/>
  <c r="AG393" i="1"/>
  <c r="AH393" i="1"/>
  <c r="AI393" i="1"/>
  <c r="AJ393" i="1"/>
  <c r="AK393" i="1"/>
  <c r="AL393" i="1"/>
  <c r="AM393" i="1"/>
  <c r="AN393" i="1"/>
  <c r="AO393" i="1"/>
  <c r="AP393" i="1"/>
  <c r="AQ393" i="1"/>
  <c r="AR393" i="1"/>
  <c r="AS393" i="1"/>
  <c r="AT393" i="1"/>
  <c r="AU393" i="1"/>
  <c r="AV393" i="1"/>
  <c r="AW393" i="1"/>
  <c r="AX393" i="1"/>
  <c r="AY393" i="1"/>
  <c r="BI393" i="1"/>
  <c r="BJ393" i="1"/>
  <c r="BK393" i="1"/>
  <c r="BL393" i="1"/>
  <c r="BM393" i="1"/>
  <c r="BN393" i="1"/>
  <c r="AB394" i="1"/>
  <c r="AC394" i="1"/>
  <c r="AD394" i="1"/>
  <c r="AE394" i="1"/>
  <c r="AF394" i="1"/>
  <c r="AG394" i="1"/>
  <c r="AH394" i="1"/>
  <c r="AI394" i="1"/>
  <c r="AJ394" i="1"/>
  <c r="AK394" i="1"/>
  <c r="AL394" i="1"/>
  <c r="AM394" i="1"/>
  <c r="AN394" i="1"/>
  <c r="AO394" i="1"/>
  <c r="AP394" i="1"/>
  <c r="AQ394" i="1"/>
  <c r="AR394" i="1"/>
  <c r="AS394" i="1"/>
  <c r="AT394" i="1"/>
  <c r="AU394" i="1"/>
  <c r="AV394" i="1"/>
  <c r="AW394" i="1"/>
  <c r="AX394" i="1"/>
  <c r="AY394" i="1"/>
  <c r="BI394" i="1"/>
  <c r="BJ394" i="1"/>
  <c r="BK394" i="1"/>
  <c r="BL394" i="1"/>
  <c r="BM394" i="1"/>
  <c r="BN394" i="1"/>
  <c r="AB395" i="1"/>
  <c r="AC395" i="1"/>
  <c r="AD395" i="1"/>
  <c r="AE395" i="1"/>
  <c r="AF395" i="1"/>
  <c r="AG395" i="1"/>
  <c r="AH395" i="1"/>
  <c r="AI395" i="1"/>
  <c r="AJ395" i="1"/>
  <c r="AK395" i="1"/>
  <c r="AL395" i="1"/>
  <c r="AM395" i="1"/>
  <c r="AN395" i="1"/>
  <c r="AO395" i="1"/>
  <c r="AP395" i="1"/>
  <c r="AQ395" i="1"/>
  <c r="AR395" i="1"/>
  <c r="AS395" i="1"/>
  <c r="AT395" i="1"/>
  <c r="AU395" i="1"/>
  <c r="AV395" i="1"/>
  <c r="AW395" i="1"/>
  <c r="AX395" i="1"/>
  <c r="AY395" i="1"/>
  <c r="BI395" i="1"/>
  <c r="BJ395" i="1"/>
  <c r="BK395" i="1"/>
  <c r="BL395" i="1"/>
  <c r="BM395" i="1"/>
  <c r="BN395" i="1"/>
  <c r="AB397" i="1"/>
  <c r="AC397" i="1"/>
  <c r="AD397" i="1"/>
  <c r="AE397" i="1"/>
  <c r="AF397" i="1"/>
  <c r="AG397" i="1"/>
  <c r="AH397" i="1"/>
  <c r="AI397" i="1"/>
  <c r="AJ397" i="1"/>
  <c r="AK397" i="1"/>
  <c r="AL397" i="1"/>
  <c r="AM397" i="1"/>
  <c r="AN397" i="1"/>
  <c r="AO397" i="1"/>
  <c r="AP397" i="1"/>
  <c r="AQ397" i="1"/>
  <c r="AR397" i="1"/>
  <c r="AS397" i="1"/>
  <c r="AT397" i="1"/>
  <c r="AU397" i="1"/>
  <c r="AV397" i="1"/>
  <c r="AW397" i="1"/>
  <c r="AX397" i="1"/>
  <c r="AY397" i="1"/>
  <c r="BI397" i="1"/>
  <c r="BJ397" i="1"/>
  <c r="BK397" i="1"/>
  <c r="BL397" i="1"/>
  <c r="BM397" i="1"/>
  <c r="BN397" i="1"/>
  <c r="AB399" i="1"/>
  <c r="AC399" i="1"/>
  <c r="AD399" i="1"/>
  <c r="AE399" i="1"/>
  <c r="AF399" i="1"/>
  <c r="AG399" i="1"/>
  <c r="AH399" i="1"/>
  <c r="AI399" i="1"/>
  <c r="AJ399" i="1"/>
  <c r="AK399" i="1"/>
  <c r="AL399" i="1"/>
  <c r="AM399" i="1"/>
  <c r="AN399" i="1"/>
  <c r="AO399" i="1"/>
  <c r="AP399" i="1"/>
  <c r="AQ399" i="1"/>
  <c r="AR399" i="1"/>
  <c r="AS399" i="1"/>
  <c r="AT399" i="1"/>
  <c r="AU399" i="1"/>
  <c r="AV399" i="1"/>
  <c r="AW399" i="1"/>
  <c r="AX399" i="1"/>
  <c r="AY399" i="1"/>
  <c r="BI399" i="1"/>
  <c r="BJ399" i="1"/>
  <c r="BK399" i="1"/>
  <c r="BL399" i="1"/>
  <c r="BM399" i="1"/>
  <c r="BN399" i="1"/>
  <c r="AB401" i="1"/>
  <c r="AC401" i="1"/>
  <c r="AD401" i="1"/>
  <c r="AE401" i="1"/>
  <c r="AF401" i="1"/>
  <c r="AG401" i="1"/>
  <c r="AH401" i="1"/>
  <c r="AI401" i="1"/>
  <c r="AJ401" i="1"/>
  <c r="AK401" i="1"/>
  <c r="AL401" i="1"/>
  <c r="AM401" i="1"/>
  <c r="AN401" i="1"/>
  <c r="AO401" i="1"/>
  <c r="AP401" i="1"/>
  <c r="AQ401" i="1"/>
  <c r="AR401" i="1"/>
  <c r="AS401" i="1"/>
  <c r="AT401" i="1"/>
  <c r="AU401" i="1"/>
  <c r="AV401" i="1"/>
  <c r="AW401" i="1"/>
  <c r="AX401" i="1"/>
  <c r="AY401" i="1"/>
  <c r="BI401" i="1"/>
  <c r="BJ401" i="1"/>
  <c r="BK401" i="1"/>
  <c r="BL401" i="1"/>
  <c r="BM401" i="1"/>
  <c r="BN401" i="1"/>
  <c r="AB402" i="1"/>
  <c r="AC402" i="1"/>
  <c r="AD402" i="1"/>
  <c r="AE402" i="1"/>
  <c r="AF402" i="1"/>
  <c r="AG402" i="1"/>
  <c r="AH402" i="1"/>
  <c r="AI402" i="1"/>
  <c r="AJ402" i="1"/>
  <c r="AK402" i="1"/>
  <c r="AL402" i="1"/>
  <c r="AM402" i="1"/>
  <c r="AN402" i="1"/>
  <c r="AO402" i="1"/>
  <c r="AP402" i="1"/>
  <c r="AQ402" i="1"/>
  <c r="AR402" i="1"/>
  <c r="AS402" i="1"/>
  <c r="AT402" i="1"/>
  <c r="AU402" i="1"/>
  <c r="AV402" i="1"/>
  <c r="AW402" i="1"/>
  <c r="AX402" i="1"/>
  <c r="AY402" i="1"/>
  <c r="AB406" i="1"/>
  <c r="AC406" i="1"/>
  <c r="AD406" i="1"/>
  <c r="AE406" i="1"/>
  <c r="AF406" i="1"/>
  <c r="AG406" i="1"/>
  <c r="AH406" i="1"/>
  <c r="AI406" i="1"/>
  <c r="AJ406" i="1"/>
  <c r="AK406" i="1"/>
  <c r="AL406" i="1"/>
  <c r="AM406" i="1"/>
  <c r="AN406" i="1"/>
  <c r="AO406" i="1"/>
  <c r="AP406" i="1"/>
  <c r="AQ406" i="1"/>
  <c r="AR406" i="1"/>
  <c r="AS406" i="1"/>
  <c r="AT406" i="1"/>
  <c r="AU406" i="1"/>
  <c r="AV406" i="1"/>
  <c r="AW406" i="1"/>
  <c r="AX406" i="1"/>
  <c r="AY406" i="1"/>
  <c r="AB434" i="1"/>
  <c r="AC434" i="1"/>
  <c r="AD434" i="1"/>
  <c r="AE434" i="1"/>
  <c r="AF434" i="1"/>
  <c r="AG434" i="1"/>
  <c r="AH434" i="1"/>
  <c r="AI434" i="1"/>
  <c r="AJ434" i="1"/>
  <c r="AK434" i="1"/>
  <c r="AL434" i="1"/>
  <c r="AM434" i="1"/>
  <c r="AN434" i="1"/>
  <c r="AO434" i="1"/>
  <c r="AP434" i="1"/>
  <c r="AQ434" i="1"/>
  <c r="AR434" i="1"/>
  <c r="AS434" i="1"/>
  <c r="AT434" i="1"/>
  <c r="AU434" i="1"/>
  <c r="AV434" i="1"/>
  <c r="AW434" i="1"/>
  <c r="AX434" i="1"/>
  <c r="AY434" i="1"/>
  <c r="AB435" i="1"/>
  <c r="AC435" i="1"/>
  <c r="AD435" i="1"/>
  <c r="AE435" i="1"/>
  <c r="AF435" i="1"/>
  <c r="AG435" i="1"/>
  <c r="AH435" i="1"/>
  <c r="AI435" i="1"/>
  <c r="AJ435" i="1"/>
  <c r="AK435" i="1"/>
  <c r="AL435" i="1"/>
  <c r="AM435" i="1"/>
  <c r="AN435" i="1"/>
  <c r="AO435" i="1"/>
  <c r="AP435" i="1"/>
  <c r="AQ435" i="1"/>
  <c r="AR435" i="1"/>
  <c r="AS435" i="1"/>
  <c r="AT435" i="1"/>
  <c r="AU435" i="1"/>
  <c r="AV435" i="1"/>
  <c r="AW435" i="1"/>
  <c r="AX435" i="1"/>
  <c r="AY435" i="1"/>
  <c r="AB436" i="1"/>
  <c r="AC436" i="1"/>
  <c r="AD436" i="1"/>
  <c r="AE436" i="1"/>
  <c r="AF436" i="1"/>
  <c r="AG436" i="1"/>
  <c r="AH436" i="1"/>
  <c r="AI436" i="1"/>
  <c r="AJ436" i="1"/>
  <c r="AK436" i="1"/>
  <c r="AL436" i="1"/>
  <c r="AM436" i="1"/>
  <c r="AN436" i="1"/>
  <c r="AO436" i="1"/>
  <c r="AP436" i="1"/>
  <c r="AQ436" i="1"/>
  <c r="AR436" i="1"/>
  <c r="AS436" i="1"/>
  <c r="AT436" i="1"/>
  <c r="AU436" i="1"/>
  <c r="AV436" i="1"/>
  <c r="AW436" i="1"/>
  <c r="AX436" i="1"/>
  <c r="AY436" i="1"/>
  <c r="AC437" i="1"/>
  <c r="AD437" i="1"/>
  <c r="AE437" i="1"/>
  <c r="AF437" i="1"/>
  <c r="AG437" i="1"/>
  <c r="AH437" i="1"/>
  <c r="AI437" i="1"/>
  <c r="AJ437" i="1"/>
  <c r="AK437" i="1"/>
  <c r="AL437" i="1"/>
  <c r="AM437" i="1"/>
  <c r="AN437" i="1"/>
  <c r="AO437" i="1"/>
  <c r="AP437" i="1"/>
  <c r="AQ437" i="1"/>
  <c r="AR437" i="1"/>
  <c r="AS437" i="1"/>
  <c r="AT437" i="1"/>
  <c r="AU437" i="1"/>
  <c r="AV437" i="1"/>
  <c r="AW437" i="1"/>
  <c r="AX437" i="1"/>
  <c r="AY437" i="1"/>
  <c r="AB438" i="1"/>
  <c r="AC438" i="1"/>
  <c r="AD438" i="1"/>
  <c r="AE438" i="1"/>
  <c r="AF438" i="1"/>
  <c r="AG438" i="1"/>
  <c r="AH438" i="1"/>
  <c r="AI438" i="1"/>
  <c r="AJ438" i="1"/>
  <c r="AK438" i="1"/>
  <c r="AL438" i="1"/>
  <c r="AM438" i="1"/>
  <c r="AN438" i="1"/>
  <c r="AO438" i="1"/>
  <c r="AP438" i="1"/>
  <c r="AQ438" i="1"/>
  <c r="AR438" i="1"/>
  <c r="AS438" i="1"/>
  <c r="AT438" i="1"/>
  <c r="AU438" i="1"/>
  <c r="AV438" i="1"/>
  <c r="AW438" i="1"/>
  <c r="AX438" i="1"/>
  <c r="AY438" i="1"/>
  <c r="AB439" i="1"/>
  <c r="AC439" i="1"/>
  <c r="AD439" i="1"/>
  <c r="AE439" i="1"/>
  <c r="AF439" i="1"/>
  <c r="AG439" i="1"/>
  <c r="AH439" i="1"/>
  <c r="AI439" i="1"/>
  <c r="AJ439" i="1"/>
  <c r="AK439" i="1"/>
  <c r="AL439" i="1"/>
  <c r="AM439" i="1"/>
  <c r="AN439" i="1"/>
  <c r="AO439" i="1"/>
  <c r="AP439" i="1"/>
  <c r="AQ439" i="1"/>
  <c r="AR439" i="1"/>
  <c r="AS439" i="1"/>
  <c r="AT439" i="1"/>
  <c r="AU439" i="1"/>
  <c r="AV439" i="1"/>
  <c r="AW439" i="1"/>
  <c r="AX439" i="1"/>
  <c r="AY439" i="1"/>
  <c r="AB440" i="1"/>
  <c r="AC440" i="1"/>
  <c r="AD440" i="1"/>
  <c r="AE440" i="1"/>
  <c r="AF440" i="1"/>
  <c r="AG440" i="1"/>
  <c r="AH440" i="1"/>
  <c r="AI440" i="1"/>
  <c r="AJ440" i="1"/>
  <c r="AK440" i="1"/>
  <c r="AL440" i="1"/>
  <c r="AM440" i="1"/>
  <c r="AN440" i="1"/>
  <c r="AO440" i="1"/>
  <c r="AP440" i="1"/>
  <c r="AQ440" i="1"/>
  <c r="AR440" i="1"/>
  <c r="AS440" i="1"/>
  <c r="AT440" i="1"/>
  <c r="AU440" i="1"/>
  <c r="AV440" i="1"/>
  <c r="AW440" i="1"/>
  <c r="AX440" i="1"/>
  <c r="AY440" i="1"/>
  <c r="D3" i="4"/>
  <c r="D9" i="4"/>
  <c r="D17" i="4"/>
  <c r="E17" i="4"/>
  <c r="F17" i="4"/>
  <c r="D19" i="4"/>
  <c r="E19" i="4"/>
  <c r="F19" i="4"/>
  <c r="D20" i="4"/>
  <c r="E20" i="4"/>
  <c r="F20" i="4"/>
  <c r="D21" i="4"/>
  <c r="E21" i="4"/>
  <c r="F21" i="4"/>
  <c r="D23" i="4"/>
  <c r="E23" i="4"/>
  <c r="F23" i="4"/>
  <c r="D26" i="4"/>
  <c r="E26" i="4"/>
  <c r="F26" i="4"/>
  <c r="D28" i="4"/>
  <c r="E28" i="4"/>
  <c r="F28" i="4"/>
  <c r="D30" i="4"/>
  <c r="E30" i="4"/>
  <c r="F30" i="4"/>
  <c r="D31" i="4"/>
  <c r="E31" i="4"/>
  <c r="F31" i="4"/>
  <c r="D32" i="4"/>
  <c r="E32" i="4"/>
  <c r="F32" i="4"/>
  <c r="D33" i="4"/>
  <c r="E33" i="4"/>
  <c r="F33" i="4"/>
  <c r="D34" i="4"/>
  <c r="E34" i="4"/>
  <c r="F34" i="4"/>
</calcChain>
</file>

<file path=xl/comments1.xml><?xml version="1.0" encoding="utf-8"?>
<comments xmlns="http://schemas.openxmlformats.org/spreadsheetml/2006/main">
  <authors>
    <author>Lam, Lisa (Research)</author>
  </authors>
  <commentList>
    <comment ref="AB24" authorId="0">
      <text>
        <r>
          <rPr>
            <sz val="10"/>
            <color indexed="81"/>
            <rFont val="Tahoma"/>
            <family val="2"/>
          </rPr>
          <t>cloud customer churn</t>
        </r>
      </text>
    </comment>
    <comment ref="X35" authorId="0">
      <text>
        <r>
          <rPr>
            <sz val="10"/>
            <color indexed="81"/>
            <rFont val="Tahoma"/>
            <family val="2"/>
          </rPr>
          <t>0.7% excluding government customer churn in Northern Virginia</t>
        </r>
      </text>
    </comment>
    <comment ref="AA35" authorId="0">
      <text>
        <r>
          <rPr>
            <sz val="10"/>
            <color indexed="81"/>
            <rFont val="Tahoma"/>
            <family val="2"/>
          </rPr>
          <t>1.2% from C3 customer due to liquidation</t>
        </r>
      </text>
    </comment>
    <comment ref="AB37" authorId="0">
      <text>
        <r>
          <rPr>
            <u/>
            <sz val="10"/>
            <color indexed="81"/>
            <rFont val="Tahoma"/>
            <family val="2"/>
          </rPr>
          <t xml:space="preserve">rolling off of Shared Cloud revenues </t>
        </r>
        <r>
          <rPr>
            <sz val="10"/>
            <color indexed="81"/>
            <rFont val="Tahoma"/>
            <family val="2"/>
          </rPr>
          <t xml:space="preserve">
$6-7M in 2018
$9M total
</t>
        </r>
        <r>
          <rPr>
            <u/>
            <sz val="10"/>
            <color indexed="81"/>
            <rFont val="Tahoma"/>
            <family val="2"/>
          </rPr>
          <t>Churn event in 4Q17</t>
        </r>
        <r>
          <rPr>
            <sz val="10"/>
            <color indexed="81"/>
            <rFont val="Tahoma"/>
            <family val="2"/>
          </rPr>
          <t xml:space="preserve">
$7M annualized </t>
        </r>
      </text>
    </comment>
    <comment ref="W110" authorId="0">
      <text>
        <r>
          <rPr>
            <sz val="9"/>
            <color indexed="81"/>
            <rFont val="Tahoma"/>
            <family val="2"/>
          </rPr>
          <t>rounding</t>
        </r>
      </text>
    </comment>
    <comment ref="W179" authorId="0">
      <text>
        <r>
          <rPr>
            <sz val="9"/>
            <color indexed="81"/>
            <rFont val="Tahoma"/>
            <family val="2"/>
          </rPr>
          <t>rounding</t>
        </r>
      </text>
    </comment>
    <comment ref="W218" authorId="0">
      <text>
        <r>
          <rPr>
            <sz val="9"/>
            <color indexed="81"/>
            <rFont val="Tahoma"/>
            <family val="2"/>
          </rPr>
          <t>rounding</t>
        </r>
      </text>
    </comment>
    <comment ref="Z317" authorId="0">
      <text>
        <r>
          <rPr>
            <sz val="10"/>
            <color indexed="81"/>
            <rFont val="Tahoma"/>
            <family val="2"/>
          </rPr>
          <t>land acquisitions 
$17M - 24 acres in Ashburn, VA
$25M - 84 acres in Phoenix, AZ</t>
        </r>
      </text>
    </comment>
    <comment ref="AA317" authorId="0">
      <text>
        <r>
          <rPr>
            <sz val="10"/>
            <color indexed="81"/>
            <rFont val="Tahoma"/>
            <family val="2"/>
          </rPr>
          <t>land acquisitions 
$36M - 28 acres in Ashburn, VA
$26M - 92 acres in Hillsboro, OR</t>
        </r>
      </text>
    </comment>
    <comment ref="B500" authorId="0">
      <text>
        <r>
          <rPr>
            <sz val="10"/>
            <color indexed="81"/>
            <rFont val="Tahoma"/>
            <family val="2"/>
          </rPr>
          <t>for TLs expiring 12/2021 and 4/2022</t>
        </r>
      </text>
    </comment>
  </commentList>
</comments>
</file>

<file path=xl/comments2.xml><?xml version="1.0" encoding="utf-8"?>
<comments xmlns="http://schemas.openxmlformats.org/spreadsheetml/2006/main">
  <authors>
    <author>Lam, Lisa (Research)</author>
  </authors>
  <commentList>
    <comment ref="D3" authorId="0">
      <text>
        <r>
          <rPr>
            <sz val="9"/>
            <color indexed="81"/>
            <rFont val="Tahoma"/>
            <family val="2"/>
          </rPr>
          <t>1Q18 to reflect preferreds</t>
        </r>
      </text>
    </comment>
  </commentList>
</comments>
</file>

<file path=xl/sharedStrings.xml><?xml version="1.0" encoding="utf-8"?>
<sst xmlns="http://schemas.openxmlformats.org/spreadsheetml/2006/main" count="1482" uniqueCount="919">
  <si>
    <t>QTS REALTY TRUST, INC. (QTS)</t>
  </si>
  <si>
    <t>Income Statement</t>
  </si>
  <si>
    <t>Income Statement ($ in millions)</t>
  </si>
  <si>
    <t>Revenues:</t>
  </si>
  <si>
    <t>Rental</t>
  </si>
  <si>
    <t>Recoveries from customers</t>
  </si>
  <si>
    <t>Cloud and managed services</t>
  </si>
  <si>
    <t>Other</t>
  </si>
  <si>
    <t>Total revenues</t>
  </si>
  <si>
    <t>Operating expenses:</t>
  </si>
  <si>
    <t>Depreciation and amortization</t>
  </si>
  <si>
    <t>General and administrative</t>
  </si>
  <si>
    <t>Total operating expenses</t>
  </si>
  <si>
    <t>Utilities</t>
  </si>
  <si>
    <t>Repairs and maintenance</t>
  </si>
  <si>
    <t>Net operating income</t>
  </si>
  <si>
    <t>% of revenues</t>
  </si>
  <si>
    <t>EBITDA</t>
  </si>
  <si>
    <t>Non-cash compensation</t>
  </si>
  <si>
    <t>Adjusted EBITDA</t>
  </si>
  <si>
    <t>Interest expense</t>
  </si>
  <si>
    <t>Interest income</t>
  </si>
  <si>
    <t>Other, net</t>
  </si>
  <si>
    <t>Net income</t>
  </si>
  <si>
    <t>x</t>
  </si>
  <si>
    <t>2Q13</t>
  </si>
  <si>
    <t>1Q13</t>
  </si>
  <si>
    <t>3Q13E</t>
  </si>
  <si>
    <t>4Q13E</t>
  </si>
  <si>
    <t>1Q14E</t>
  </si>
  <si>
    <t>2Q14E</t>
  </si>
  <si>
    <t>3Q14E</t>
  </si>
  <si>
    <t>4Q14E</t>
  </si>
  <si>
    <t>Balance Sheet ($ in millions)</t>
  </si>
  <si>
    <t>Cash Flow Statement ($ in millions)</t>
  </si>
  <si>
    <t>Revenue Buildup ($ in millions)</t>
  </si>
  <si>
    <t>FFO</t>
  </si>
  <si>
    <t>Leasing commissions and intangible expense</t>
  </si>
  <si>
    <t>Real estate related D&amp;A</t>
  </si>
  <si>
    <t>Write off of deferred financing costs</t>
  </si>
  <si>
    <t>Operating FFO</t>
  </si>
  <si>
    <t>Maintenance capex</t>
  </si>
  <si>
    <t>AFFO</t>
  </si>
  <si>
    <t>Leasing commissions</t>
  </si>
  <si>
    <t>Amortization of deferred financing costs</t>
  </si>
  <si>
    <t>D&amp;A - non real estate</t>
  </si>
  <si>
    <t>Straight line rent revenue</t>
  </si>
  <si>
    <t>Straight line rent expense</t>
  </si>
  <si>
    <t>Non-cash comp</t>
  </si>
  <si>
    <t>Operating AFFO</t>
  </si>
  <si>
    <t>D&amp;A</t>
  </si>
  <si>
    <t>Amortization of deferred loan costs</t>
  </si>
  <si>
    <t>Change in fair value of derivatives</t>
  </si>
  <si>
    <t>Write off of deferred loan costs</t>
  </si>
  <si>
    <t>Restructuring charge</t>
  </si>
  <si>
    <t>Changes in operating assets and liab:</t>
  </si>
  <si>
    <t>Rent and other receivables, net</t>
  </si>
  <si>
    <t>Accrued interest on member advances</t>
  </si>
  <si>
    <t>Prepaid expenses</t>
  </si>
  <si>
    <t>Restricted cash</t>
  </si>
  <si>
    <t>Other assets</t>
  </si>
  <si>
    <t>Accounts payable and accrued liab</t>
  </si>
  <si>
    <t>Advance rents, security deposits, other liab</t>
  </si>
  <si>
    <t>Deferred income, net</t>
  </si>
  <si>
    <t>Net cash from operating activities</t>
  </si>
  <si>
    <t>Acquisition of real estate</t>
  </si>
  <si>
    <t>Capital additions</t>
  </si>
  <si>
    <t>Cash used in investing activities</t>
  </si>
  <si>
    <t>Credit facility proceeds</t>
  </si>
  <si>
    <t>Cash in transit</t>
  </si>
  <si>
    <t>Payment of swap liability</t>
  </si>
  <si>
    <t>Payment of deferred financing costs</t>
  </si>
  <si>
    <t>Principal payments on capital lease obligation</t>
  </si>
  <si>
    <t>Scheduled mortgage principal debt repayments</t>
  </si>
  <si>
    <t>Net cash from financing activities</t>
  </si>
  <si>
    <t>Net change in cash and cash equiv.</t>
  </si>
  <si>
    <t>Cash and cash equiv. BOP</t>
  </si>
  <si>
    <t>Cash and cash equiv. EOP</t>
  </si>
  <si>
    <t>Cash paid for interest (excl. deferred financing costs)</t>
  </si>
  <si>
    <t>Noncash investing and financing activities:</t>
  </si>
  <si>
    <t>Accrued capital additions</t>
  </si>
  <si>
    <t>Member advances exchange for LP units</t>
  </si>
  <si>
    <t>Accumulated depreciation</t>
  </si>
  <si>
    <t>Construction in progress</t>
  </si>
  <si>
    <t>Real estate assets, net</t>
  </si>
  <si>
    <t>Cash and cash equivalents</t>
  </si>
  <si>
    <t>Acquired intangibles</t>
  </si>
  <si>
    <t>Deferred costs, net</t>
  </si>
  <si>
    <t>Other assets, net</t>
  </si>
  <si>
    <t>Total Assets</t>
  </si>
  <si>
    <t>Capital lease obligations</t>
  </si>
  <si>
    <t>Accounts payable and accrued liabilities</t>
  </si>
  <si>
    <t>Advance rents, security deposits and other liabilities</t>
  </si>
  <si>
    <t>Deferred income</t>
  </si>
  <si>
    <t>Derivative liability</t>
  </si>
  <si>
    <t>Total Liabilities</t>
  </si>
  <si>
    <t>Partners' capital</t>
  </si>
  <si>
    <t>Total Liabilities and Equity</t>
  </si>
  <si>
    <t>Offering proceeds</t>
  </si>
  <si>
    <t>Less:  underwriter costs</t>
  </si>
  <si>
    <t>Other costs</t>
  </si>
  <si>
    <t>Total Sources</t>
  </si>
  <si>
    <t>Paydown of credit facility</t>
  </si>
  <si>
    <t>Total Uses</t>
  </si>
  <si>
    <t>% sequential growth</t>
  </si>
  <si>
    <t>Churn</t>
  </si>
  <si>
    <t>Annualized churn</t>
  </si>
  <si>
    <t>Existing revenues</t>
  </si>
  <si>
    <t>Churn (on MRR)</t>
  </si>
  <si>
    <t>FORECAST</t>
  </si>
  <si>
    <t>FORECAST (% of revenues)</t>
  </si>
  <si>
    <t>G&amp;A</t>
  </si>
  <si>
    <t>% margin</t>
  </si>
  <si>
    <t>Total Debt</t>
  </si>
  <si>
    <t>Building and improvements</t>
  </si>
  <si>
    <t>Land</t>
  </si>
  <si>
    <t>Net PP&amp;E</t>
  </si>
  <si>
    <t>Mortgage notes payable</t>
  </si>
  <si>
    <t>Unsecured credit facility</t>
  </si>
  <si>
    <t>CHECK</t>
  </si>
  <si>
    <t>Buildings and Improvements</t>
  </si>
  <si>
    <t>Total capex</t>
  </si>
  <si>
    <t>Total depreciation</t>
  </si>
  <si>
    <t>Days sales outstanding</t>
  </si>
  <si>
    <t>A/P and accrued liabilities as % of revenues</t>
  </si>
  <si>
    <t>Stock issuance</t>
  </si>
  <si>
    <t>Total Interest Expense</t>
  </si>
  <si>
    <t>Beginning Balance</t>
  </si>
  <si>
    <t>Scheduled Amortization</t>
  </si>
  <si>
    <t>Prepayment / Additions</t>
  </si>
  <si>
    <t>Ending Balance</t>
  </si>
  <si>
    <t>LIBOR floor</t>
  </si>
  <si>
    <t>FFO / AFFO ($ in millions)</t>
  </si>
  <si>
    <t>1-month LIBOR</t>
  </si>
  <si>
    <t>Unsecured credit facility revolver (May 2017)</t>
  </si>
  <si>
    <t>Richmond credit facility (December 2015)</t>
  </si>
  <si>
    <t>Secured equipment loan (June 2020)</t>
  </si>
  <si>
    <t>Capital leases (2016)</t>
  </si>
  <si>
    <t>Total interest expense</t>
  </si>
  <si>
    <t>Interest rate swaps (September 2014)</t>
  </si>
  <si>
    <t>Total interest income</t>
  </si>
  <si>
    <t>Additional paid in capital</t>
  </si>
  <si>
    <t>Retained earnings</t>
  </si>
  <si>
    <t>1Q15E</t>
  </si>
  <si>
    <t>2Q15E</t>
  </si>
  <si>
    <t>3Q15E</t>
  </si>
  <si>
    <t>4Q15E</t>
  </si>
  <si>
    <t>Cash on hand</t>
  </si>
  <si>
    <t>Cash, BOP</t>
  </si>
  <si>
    <t>Minimum cash balance</t>
  </si>
  <si>
    <t>Required sources</t>
  </si>
  <si>
    <t>Debt (revolver) - Balance, BOP</t>
  </si>
  <si>
    <t>Debt (revolver) - drawdown</t>
  </si>
  <si>
    <t>CIRC</t>
  </si>
  <si>
    <t>Sources and Uses</t>
  </si>
  <si>
    <t>Financing - Debt and Equity</t>
  </si>
  <si>
    <t>Financing Worksheet ($ in millions)</t>
  </si>
  <si>
    <t>Debt Schedule</t>
  </si>
  <si>
    <t>Use of cash (excl revolver and equity raises)</t>
  </si>
  <si>
    <t>Cash, EOP (before revolver and equity raises)</t>
  </si>
  <si>
    <t>Share Outstanding</t>
  </si>
  <si>
    <t>% rental</t>
  </si>
  <si>
    <t>% cloud and managed services</t>
  </si>
  <si>
    <t>Dividend</t>
  </si>
  <si>
    <t>Share price (per share)</t>
  </si>
  <si>
    <t>IPO / Equity raises (net of costs)</t>
  </si>
  <si>
    <t>IPO / Equity raises (gross)</t>
  </si>
  <si>
    <t>Equity raised, shares</t>
  </si>
  <si>
    <t>OP units</t>
  </si>
  <si>
    <t>EPS (basic)</t>
  </si>
  <si>
    <t>EPS (diluted)</t>
  </si>
  <si>
    <t>MRR (at period end) - reported</t>
  </si>
  <si>
    <t>Monthly recurring revenue - proxy</t>
  </si>
  <si>
    <t>Recoveries from customer (% of opex)</t>
  </si>
  <si>
    <t>LC and intangible expense (% of rental)</t>
  </si>
  <si>
    <t>Leasing commissions (% of NOI)</t>
  </si>
  <si>
    <t>Straight line rent revenue (% of rental)</t>
  </si>
  <si>
    <t>Straight line rent expense (% of rental)</t>
  </si>
  <si>
    <t>% of AFFO</t>
  </si>
  <si>
    <t>Non-cash comp (% of total rev)</t>
  </si>
  <si>
    <t>Lease-ups / incremental MRR recognition</t>
  </si>
  <si>
    <t>Other (% of MRR)</t>
  </si>
  <si>
    <t>D&amp;A - non real estate (% or total rev)</t>
  </si>
  <si>
    <t>Estimate Summary ($ in millions)</t>
  </si>
  <si>
    <t>QTS</t>
  </si>
  <si>
    <t>MS estimates - currrent</t>
  </si>
  <si>
    <t>Capex</t>
  </si>
  <si>
    <t>Real estate related D&amp;A (% of rental rev)</t>
  </si>
  <si>
    <t>OP units converted to common shares</t>
  </si>
  <si>
    <t>Property operating costs</t>
  </si>
  <si>
    <t>Real estate taxes and insurance</t>
  </si>
  <si>
    <t>Transaction costs</t>
  </si>
  <si>
    <t>Restructuring costs</t>
  </si>
  <si>
    <t>Direct payroll</t>
  </si>
  <si>
    <t>Rent</t>
  </si>
  <si>
    <t>Management fee allocation</t>
  </si>
  <si>
    <t>% Sequential Growth</t>
  </si>
  <si>
    <t>Monthly recurring revenue - proxy (Quarterly)</t>
  </si>
  <si>
    <t>Equivalent NRSF developed</t>
  </si>
  <si>
    <t>Total NRSF</t>
  </si>
  <si>
    <t>% of Total NRSF that is available for lease</t>
  </si>
  <si>
    <t>NRSF available for lease</t>
  </si>
  <si>
    <t>% NRSF available for lease under lease</t>
  </si>
  <si>
    <t>Operational Metrics</t>
  </si>
  <si>
    <t>Depreciation Schedule</t>
  </si>
  <si>
    <t>Supporting Schedule ($ in millions)</t>
  </si>
  <si>
    <t>Utilization - Implied</t>
  </si>
  <si>
    <t>MW developed - implied from expansion capex</t>
  </si>
  <si>
    <t>Revenue - MRR</t>
  </si>
  <si>
    <t>NOI</t>
  </si>
  <si>
    <t>Gain on settlements</t>
  </si>
  <si>
    <t>Intangible revenue</t>
  </si>
  <si>
    <t>Gain on extinguishment of debt</t>
  </si>
  <si>
    <t>Unrealized gain on derivatives</t>
  </si>
  <si>
    <t>Gain on sale of real estate</t>
  </si>
  <si>
    <t>Operating FFO per share (diluted)</t>
  </si>
  <si>
    <t>Operating AFFO per share (diluted)</t>
  </si>
  <si>
    <t>Dividend per share (diluted)</t>
  </si>
  <si>
    <t>% sequential</t>
  </si>
  <si>
    <t>Growth capex</t>
  </si>
  <si>
    <t>Average rent per leased square foot per quarter</t>
  </si>
  <si>
    <t>Average annualized rent per leased square foot</t>
  </si>
  <si>
    <t>Simon Flannery // simon.flannery@morganstanley.com // 212.761.6432</t>
  </si>
  <si>
    <t>Total debt</t>
  </si>
  <si>
    <t>Cash</t>
  </si>
  <si>
    <t>Net proceeds</t>
  </si>
  <si>
    <t>Net Debt</t>
  </si>
  <si>
    <t>CASE</t>
  </si>
  <si>
    <t>BULL</t>
  </si>
  <si>
    <t>BASE</t>
  </si>
  <si>
    <t>BEAR</t>
  </si>
  <si>
    <t>Multiple</t>
  </si>
  <si>
    <t>EV</t>
  </si>
  <si>
    <t>Market Cap</t>
  </si>
  <si>
    <t># shares</t>
  </si>
  <si>
    <t>Price</t>
  </si>
  <si>
    <t>Price (rounded)</t>
  </si>
  <si>
    <t>Basic shares (incl. OP units)</t>
  </si>
  <si>
    <t>Diluted shares (incl. OP units)</t>
  </si>
  <si>
    <t>Operating FFO per share (diluted, incl. OP units)</t>
  </si>
  <si>
    <t>Total shares + OP units (diluted)</t>
  </si>
  <si>
    <t>OP % of total diluted ownership shares</t>
  </si>
  <si>
    <t>Mode</t>
  </si>
  <si>
    <t>1=Bull</t>
  </si>
  <si>
    <t>2=Base</t>
  </si>
  <si>
    <t>3=Bear</t>
  </si>
  <si>
    <t>BASE CASE</t>
  </si>
  <si>
    <t>BULL CASE</t>
  </si>
  <si>
    <t>BEAR CASE</t>
  </si>
  <si>
    <t>Write off of unamortized deferred financing costs</t>
  </si>
  <si>
    <t>EBITDA (does not add back write-offs)</t>
  </si>
  <si>
    <t xml:space="preserve"> </t>
  </si>
  <si>
    <t>MSe</t>
  </si>
  <si>
    <t>Actual</t>
  </si>
  <si>
    <t>Diff Pos./</t>
  </si>
  <si>
    <t>+ / –</t>
  </si>
  <si>
    <t>1Q12</t>
  </si>
  <si>
    <t>2Q12</t>
  </si>
  <si>
    <t>3Q12</t>
  </si>
  <si>
    <t>4Q12</t>
  </si>
  <si>
    <t xml:space="preserve"> (Neg.)</t>
  </si>
  <si>
    <t>Cons.</t>
  </si>
  <si>
    <t>FINANCIALS</t>
  </si>
  <si>
    <t>Total Revenue ($MM)</t>
  </si>
  <si>
    <t xml:space="preserve">% y/y growth </t>
  </si>
  <si>
    <t>Revenue</t>
  </si>
  <si>
    <t xml:space="preserve">% q/q growth </t>
  </si>
  <si>
    <t>% Y/Y</t>
  </si>
  <si>
    <t>Net Operating Income</t>
  </si>
  <si>
    <t>% Margin</t>
  </si>
  <si>
    <t>% gross margin</t>
  </si>
  <si>
    <t>% Revenue</t>
  </si>
  <si>
    <t>Stock comp</t>
  </si>
  <si>
    <t>Funds From Operations (FFO)</t>
  </si>
  <si>
    <t>% of Revenue</t>
  </si>
  <si>
    <t>OTHER</t>
  </si>
  <si>
    <t>Utilization</t>
  </si>
  <si>
    <t>TBU</t>
  </si>
  <si>
    <t>3Q13</t>
  </si>
  <si>
    <t>Total Operating Expenses</t>
  </si>
  <si>
    <t>General &amp; Administrative</t>
  </si>
  <si>
    <t>Write off (deferred financing)</t>
  </si>
  <si>
    <t>Operating FFO (per share)</t>
  </si>
  <si>
    <t>Operating FFO (FFO)</t>
  </si>
  <si>
    <t>Operating AFFO (AFFO)</t>
  </si>
  <si>
    <t>Operating AFFO (per share)</t>
  </si>
  <si>
    <t>Net Income</t>
  </si>
  <si>
    <t>Adjusted EBITDA (1)</t>
  </si>
  <si>
    <t>REVENUE</t>
  </si>
  <si>
    <t>Operating  FFO</t>
  </si>
  <si>
    <t>QTS - 4Q13 GUIDANCE</t>
  </si>
  <si>
    <t>% Q/Q</t>
  </si>
  <si>
    <t>$20.5 - $21.5</t>
  </si>
  <si>
    <t>$15.2 - $16.2</t>
  </si>
  <si>
    <t>Secured credit facility</t>
  </si>
  <si>
    <t>Member advances and notes payable</t>
  </si>
  <si>
    <t>Accrued deferred finanacing costs</t>
  </si>
  <si>
    <t>Accrued equity issuance costs</t>
  </si>
  <si>
    <t>Debt repayment, net</t>
  </si>
  <si>
    <t>Restructuring charge / other</t>
  </si>
  <si>
    <t>Proceeds from sale of property / Other</t>
  </si>
  <si>
    <t>$ in millions</t>
  </si>
  <si>
    <t>Midpoint</t>
  </si>
  <si>
    <t>Total revenue</t>
  </si>
  <si>
    <t>Per share</t>
  </si>
  <si>
    <t>Total cash</t>
  </si>
  <si>
    <t>Total shares</t>
  </si>
  <si>
    <t>% of Operating AFFO</t>
  </si>
  <si>
    <t>Net leverage</t>
  </si>
  <si>
    <t>Total Cash</t>
  </si>
  <si>
    <t>Net leverage (Debt less cash / Annualized Adj. EBITDA)</t>
  </si>
  <si>
    <t>Gross leverage (Debt / Annualized Adj. EBITDA)</t>
  </si>
  <si>
    <t>MRR (as defined by MS)</t>
  </si>
  <si>
    <t>% AFFO</t>
  </si>
  <si>
    <t>Dividend ($M)</t>
  </si>
  <si>
    <t>% NRSF under lease</t>
  </si>
  <si>
    <t>Churn (annualized)</t>
  </si>
  <si>
    <t>laml</t>
  </si>
  <si>
    <t>USD</t>
  </si>
  <si>
    <t>QTS.N</t>
  </si>
  <si>
    <t>QTS Realty Trust Inc</t>
  </si>
  <si>
    <t>Basic shares (EOP, for MW)</t>
  </si>
  <si>
    <t>2010A</t>
  </si>
  <si>
    <t>2011A</t>
  </si>
  <si>
    <t>Modelware required tags</t>
  </si>
  <si>
    <t>Statutory Tax Rate</t>
  </si>
  <si>
    <t>Unrecorded goodwill</t>
  </si>
  <si>
    <t>ND</t>
  </si>
  <si>
    <t>-</t>
  </si>
  <si>
    <t>QTS.N,mscalc:closePriceCurrencyCalc</t>
  </si>
  <si>
    <t>QTS.N,mscalc:targetPrice,,,,USD</t>
  </si>
  <si>
    <t>QTS.N,mscalc:sedolCodeCalc</t>
  </si>
  <si>
    <t>$F$2</t>
  </si>
  <si>
    <t>BDSV8H8</t>
  </si>
  <si>
    <t>C1</t>
  </si>
  <si>
    <t>C2</t>
  </si>
  <si>
    <t>C3</t>
  </si>
  <si>
    <t>Annualized Rent</t>
  </si>
  <si>
    <t>Net Leverage (annualized adjusted EBITDA)</t>
  </si>
  <si>
    <t>Free Cash Flow</t>
  </si>
  <si>
    <t>OCF-capex</t>
  </si>
  <si>
    <t>4Q13</t>
  </si>
  <si>
    <t>QTS - 2014 GUIDANCE</t>
  </si>
  <si>
    <t>QTS -2013 GUIDANCE</t>
  </si>
  <si>
    <t>$94 - 99</t>
  </si>
  <si>
    <t>$73 - 77</t>
  </si>
  <si>
    <t>Operating  FFO (per share)</t>
  </si>
  <si>
    <t>$1.95 - 2.05</t>
  </si>
  <si>
    <t>+</t>
  </si>
  <si>
    <t>"mid to high double digits"</t>
  </si>
  <si>
    <t>Revenue growth (% Y/Y)</t>
  </si>
  <si>
    <t>5 - 8%</t>
  </si>
  <si>
    <t>$150 - 200</t>
  </si>
  <si>
    <t>Dividends payable</t>
  </si>
  <si>
    <t>Noncontrolling interests</t>
  </si>
  <si>
    <t>Common stock</t>
  </si>
  <si>
    <t>Non-cash comp, shares (incremental)</t>
  </si>
  <si>
    <t>1Q14</t>
  </si>
  <si>
    <t>2012A</t>
  </si>
  <si>
    <t>2013A</t>
  </si>
  <si>
    <t>1.  Adjusted EBITDA exclude stock comp and write-offs for deferred financing costs</t>
  </si>
  <si>
    <t>Cash on hand (BS)</t>
  </si>
  <si>
    <t>Income (loss) before taxes</t>
  </si>
  <si>
    <t>Tax expense for taxable REIT subsidiaries</t>
  </si>
  <si>
    <t>Revenues</t>
  </si>
  <si>
    <t>Gross margin</t>
  </si>
  <si>
    <t>Guide:  "mid to high teens" Y/Y</t>
  </si>
  <si>
    <t>Guide:  $94 - 99M; implies margin of 46.4% if rev +17% Y/Y</t>
  </si>
  <si>
    <t>FFO / AFFO</t>
  </si>
  <si>
    <t>Taxes</t>
  </si>
  <si>
    <t>Renewals</t>
  </si>
  <si>
    <t>New leases</t>
  </si>
  <si>
    <t>Balance sheet</t>
  </si>
  <si>
    <t>Target leverage</t>
  </si>
  <si>
    <t>Capital raises</t>
  </si>
  <si>
    <t>2Q14</t>
  </si>
  <si>
    <t>Acquisitions</t>
  </si>
  <si>
    <t>Senior debt repayment</t>
  </si>
  <si>
    <t>Capex, general</t>
  </si>
  <si>
    <t>Bull</t>
  </si>
  <si>
    <t>Base</t>
  </si>
  <si>
    <t>Bear</t>
  </si>
  <si>
    <t>QTS (4Q13)</t>
  </si>
  <si>
    <t>QTS (2Q14)</t>
  </si>
  <si>
    <t>$97 - 101</t>
  </si>
  <si>
    <t>approximately $200</t>
  </si>
  <si>
    <t>3Q14</t>
  </si>
  <si>
    <t>QTS - 2015 GUIDANCE</t>
  </si>
  <si>
    <t>Monthly recurring revenue (MRR)</t>
  </si>
  <si>
    <t>MS</t>
  </si>
  <si>
    <t>Cons</t>
  </si>
  <si>
    <t>4Q14</t>
  </si>
  <si>
    <t>$115 - 123</t>
  </si>
  <si>
    <t>$225 - 275</t>
  </si>
  <si>
    <t>$84.5 - 88.5</t>
  </si>
  <si>
    <t>$2.24 - 2.34</t>
  </si>
  <si>
    <t>"mid to high teens"</t>
  </si>
  <si>
    <t>1Q18E</t>
  </si>
  <si>
    <t>2Q18E</t>
  </si>
  <si>
    <t>3Q18E</t>
  </si>
  <si>
    <t>4Q18E</t>
  </si>
  <si>
    <t>1Q19E</t>
  </si>
  <si>
    <t>2Q19E</t>
  </si>
  <si>
    <t>3Q19E</t>
  </si>
  <si>
    <t>4Q19E</t>
  </si>
  <si>
    <t>1Q20E</t>
  </si>
  <si>
    <t>2Q20E</t>
  </si>
  <si>
    <t>3Q20E</t>
  </si>
  <si>
    <t>4Q20E</t>
  </si>
  <si>
    <t>2014A</t>
  </si>
  <si>
    <t>2017E</t>
  </si>
  <si>
    <t>2018E</t>
  </si>
  <si>
    <t>2019E</t>
  </si>
  <si>
    <t>2020E</t>
  </si>
  <si>
    <t>1Q15</t>
  </si>
  <si>
    <t>QTS (4Q14)</t>
  </si>
  <si>
    <t>QTS (CURRENT)</t>
  </si>
  <si>
    <t>$87.2- 91.2</t>
  </si>
  <si>
    <t>$2.07 - 2.17</t>
  </si>
  <si>
    <t>$275 - 325</t>
  </si>
  <si>
    <t># shares + OP units (diluted)</t>
  </si>
  <si>
    <t>Average rent per leased square foot per quarter ($ ones)</t>
  </si>
  <si>
    <t>Acquired revenue</t>
  </si>
  <si>
    <t>2Q15</t>
  </si>
  <si>
    <t>QTS (1Q15)</t>
  </si>
  <si>
    <t>$134 - 142</t>
  </si>
  <si>
    <t>$95.5- 100.5</t>
  </si>
  <si>
    <t>$2.10 - 2.20</t>
  </si>
  <si>
    <t>$300 - 350</t>
  </si>
  <si>
    <t>4 - 7%</t>
  </si>
  <si>
    <t>=</t>
  </si>
  <si>
    <t>Goodwill</t>
  </si>
  <si>
    <t>3Q15</t>
  </si>
  <si>
    <t>Non-cash deferred tax benefit</t>
  </si>
  <si>
    <t>SENIOR NOTES ISSUANCE</t>
  </si>
  <si>
    <t>Interest expense (GAAP)</t>
  </si>
  <si>
    <t>% of non-capitalized interest</t>
  </si>
  <si>
    <t>Current</t>
  </si>
  <si>
    <t>Old</t>
  </si>
  <si>
    <t>4Q15</t>
  </si>
  <si>
    <t>QTS - 2016 GUIDANCE</t>
  </si>
  <si>
    <t>$177 - 185</t>
  </si>
  <si>
    <t>$2.54 - 2.64</t>
  </si>
  <si>
    <t>Capital lease and lease financing obligations assumed</t>
  </si>
  <si>
    <t>Basic shares (average)</t>
  </si>
  <si>
    <t>Diluted shares (average)</t>
  </si>
  <si>
    <t>Revenue recognized in quarter</t>
  </si>
  <si>
    <t>Signed leases - annualized</t>
  </si>
  <si>
    <t>Booked-not-billed (BNB) - annualized, beginning</t>
  </si>
  <si>
    <t>Booked-not-billed (BNB) - annualized, ending</t>
  </si>
  <si>
    <t>Commenced leases - annualized</t>
  </si>
  <si>
    <t>Signed leases, net incremental rent - annualized</t>
  </si>
  <si>
    <t>Booked-not-billed (BNB) - annualized, ending, reported</t>
  </si>
  <si>
    <t>% of beginning BNB</t>
  </si>
  <si>
    <t>% rent change</t>
  </si>
  <si>
    <t>% of prior quarter revenues renewed</t>
  </si>
  <si>
    <t>Renewed leases - annualized</t>
  </si>
  <si>
    <t>Renewed leases - incremental (quarterly)</t>
  </si>
  <si>
    <t>1Q16</t>
  </si>
  <si>
    <t>QTS (4Q15)</t>
  </si>
  <si>
    <t>QTS (1Q16)</t>
  </si>
  <si>
    <t>New leases signed ($ annualized)</t>
  </si>
  <si>
    <t>2Q16</t>
  </si>
  <si>
    <t>QTS (2Q16)</t>
  </si>
  <si>
    <t>$179 - 187</t>
  </si>
  <si>
    <t>$135.5 - 140.5</t>
  </si>
  <si>
    <t>$135 - 140</t>
  </si>
  <si>
    <t>$125 - 130</t>
  </si>
  <si>
    <t>$2.55 - 2.65</t>
  </si>
  <si>
    <t>Currency</t>
  </si>
  <si>
    <t>Current Stock Price</t>
  </si>
  <si>
    <t>Count</t>
  </si>
  <si>
    <t>3Q16</t>
  </si>
  <si>
    <t>QTS (3Q16)</t>
  </si>
  <si>
    <t>$181 - 187</t>
  </si>
  <si>
    <t>$139 - 143</t>
  </si>
  <si>
    <t>$2.57 - 2.65</t>
  </si>
  <si>
    <t>5 - 7%</t>
  </si>
  <si>
    <t>approx. $300</t>
  </si>
  <si>
    <t>4Q16</t>
  </si>
  <si>
    <t>QTS - 2017 GUIDANCE</t>
  </si>
  <si>
    <t>$203 - 211</t>
  </si>
  <si>
    <t>$325 - 375</t>
  </si>
  <si>
    <t>$151 - 157</t>
  </si>
  <si>
    <t>$2.64 - 2.76</t>
  </si>
  <si>
    <t>11 - 13%</t>
  </si>
  <si>
    <t>High end of 5 - 8%</t>
  </si>
  <si>
    <t>Unsecured credit facility term loan</t>
  </si>
  <si>
    <t>Check</t>
  </si>
  <si>
    <t>1Q17</t>
  </si>
  <si>
    <t>Churn (quarterly)</t>
  </si>
  <si>
    <t>Lenexa Mortage</t>
  </si>
  <si>
    <t>Interest rate swaps (1/2/18 - 2021/2022)</t>
  </si>
  <si>
    <t>2Q17</t>
  </si>
  <si>
    <t>Low end of 11 - 13%</t>
  </si>
  <si>
    <t>$152 - 158</t>
  </si>
  <si>
    <t>$2.66 - 2.78</t>
  </si>
  <si>
    <t>Top 10 with 12 months of less</t>
  </si>
  <si>
    <t>% of rent</t>
  </si>
  <si>
    <t>Term</t>
  </si>
  <si>
    <t>Total</t>
  </si>
  <si>
    <t>QTS (4Q16)</t>
  </si>
  <si>
    <t>QTS (Current)</t>
  </si>
  <si>
    <t>3Q17</t>
  </si>
  <si>
    <t>QTS (2Q17)</t>
  </si>
  <si>
    <t>$2.68 - 2.80</t>
  </si>
  <si>
    <t>2019 VALUATION</t>
  </si>
  <si>
    <t>2019e EBITDA</t>
  </si>
  <si>
    <t>2019e EBITDA (includes stock comp)</t>
  </si>
  <si>
    <t>Implied 2019e EBITDA multiple</t>
  </si>
  <si>
    <t>Implied 2019e AFFO multiple</t>
  </si>
  <si>
    <t>4Q17</t>
  </si>
  <si>
    <t>QTS - 2018 GUIDANCE</t>
  </si>
  <si>
    <t>$408 - 422</t>
  </si>
  <si>
    <t>$218 - 228</t>
  </si>
  <si>
    <t>$425 - 475</t>
  </si>
  <si>
    <t>Core Revenue</t>
  </si>
  <si>
    <t>Core Adjusted EBITDA</t>
  </si>
  <si>
    <t>1Q21E</t>
  </si>
  <si>
    <t>2Q21E</t>
  </si>
  <si>
    <t>3Q21E</t>
  </si>
  <si>
    <t>4Q21E</t>
  </si>
  <si>
    <t>1Q22E</t>
  </si>
  <si>
    <t>2Q22E</t>
  </si>
  <si>
    <t>3Q22E</t>
  </si>
  <si>
    <t>4Q22E</t>
  </si>
  <si>
    <t>1Q23E</t>
  </si>
  <si>
    <t>2Q23E</t>
  </si>
  <si>
    <t>3Q23E</t>
  </si>
  <si>
    <t>4Q23E</t>
  </si>
  <si>
    <t>2021E</t>
  </si>
  <si>
    <t>2022E</t>
  </si>
  <si>
    <t>2023E</t>
  </si>
  <si>
    <t>Senior notes (November 2025)</t>
  </si>
  <si>
    <t>Preferred Stock</t>
  </si>
  <si>
    <t>Preferred stock</t>
  </si>
  <si>
    <t>Preferred stock issuance</t>
  </si>
  <si>
    <t>% of PPE</t>
  </si>
  <si>
    <t>Income from Cloud segment held for sale</t>
  </si>
  <si>
    <t>Profit margin (Cloud segment held for sale)</t>
  </si>
  <si>
    <t>2019e AFFO</t>
  </si>
  <si>
    <t>63</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</si>
  <si>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</si>
  <si>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</si>
  <si>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</si>
  <si>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</si>
  <si>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</si>
  <si>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</si>
  <si>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</si>
  <si>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</si>
  <si>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Simon Flannery, Lisa Lam</t>
  </si>
  <si>
    <t>Date: 23 Apr 2018</t>
  </si>
  <si>
    <t>Ticker: QTS.N</t>
  </si>
  <si>
    <t>Stock Rating: Equal-Weight</t>
  </si>
  <si>
    <t>Industry: Telecom Services</t>
  </si>
  <si>
    <t>Industry View: Cautious</t>
  </si>
  <si>
    <t>Price as of 23 Apr 2018: 34.31</t>
  </si>
  <si>
    <t>Target Price: 48</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</si>
  <si>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</si>
  <si>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</si>
  <si>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</si>
  <si>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</si>
  <si>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QTS Realty Trust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</si>
  <si>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</si>
  <si>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</si>
  <si>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</si>
  <si>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</si>
  <si>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</si>
  <si>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</si>
  <si>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</si>
  <si>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</si>
  <si>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</si>
  <si>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</si>
  <si>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</si>
  <si>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</si>
  <si>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</si>
  <si>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</si>
  <si>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</si>
  <si>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</si>
  <si>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</si>
  <si>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</si>
  <si>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</si>
  <si>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</si>
  <si>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</si>
  <si>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</si>
  <si>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</si>
  <si>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</si>
  <si>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</si>
  <si>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</si>
  <si>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</si>
  <si>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</si>
  <si>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</si>
  <si>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</si>
  <si>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</si>
  <si>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</si>
  <si>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</si>
  <si>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</si>
  <si>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</si>
  <si>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</si>
  <si>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</si>
  <si>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</si>
  <si>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</si>
  <si>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</si>
  <si>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</si>
  <si>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</si>
  <si>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</si>
  <si>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</si>
  <si>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</si>
  <si>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</si>
  <si>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</si>
  <si>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</si>
  <si>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</si>
  <si>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</si>
  <si>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</si>
  <si>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</si>
  <si>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</si>
  <si>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</si>
  <si>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</si>
  <si>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</si>
  <si>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</si>
  <si>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</si>
  <si>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</si>
  <si>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</si>
  <si>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</si>
  <si>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</si>
  <si>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</si>
  <si>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</si>
  <si>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</si>
  <si>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</si>
  <si>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</si>
  <si>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</si>
  <si>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</si>
  <si>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</si>
  <si>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</si>
  <si>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</si>
  <si>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</si>
  <si>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</si>
  <si>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</si>
  <si>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</si>
  <si>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</si>
  <si>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</si>
  <si>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</si>
  <si>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</si>
  <si>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</si>
  <si>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</si>
  <si>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</si>
  <si>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</si>
  <si>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</si>
  <si>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</si>
  <si>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</si>
  <si>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</si>
  <si>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</si>
  <si>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</si>
  <si>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</si>
  <si>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</si>
  <si>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</si>
  <si>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</si>
  <si>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</si>
  <si>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</si>
  <si>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</si>
  <si>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</si>
  <si>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</si>
  <si>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</si>
  <si>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</si>
  <si>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</si>
  <si>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</si>
  <si>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</si>
  <si>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</si>
  <si>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</si>
  <si>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</si>
  <si>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</si>
  <si>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</si>
  <si>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</si>
  <si>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</si>
  <si>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</si>
  <si>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</si>
  <si>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</si>
  <si>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</si>
  <si>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</si>
  <si>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</si>
  <si>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</si>
  <si>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</si>
  <si>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</si>
  <si>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</si>
  <si>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</si>
  <si>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</si>
  <si>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</si>
  <si>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</si>
  <si>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</si>
  <si>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</si>
  <si>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</si>
  <si>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</si>
  <si>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</si>
  <si>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</si>
  <si>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</si>
  <si>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</si>
  <si>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</si>
  <si>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</si>
  <si>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</si>
  <si>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</si>
  <si>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</si>
  <si>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</si>
  <si>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</si>
  <si>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</si>
  <si>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</si>
  <si>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</si>
  <si>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</si>
  <si>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</si>
  <si>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</si>
  <si>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</si>
  <si>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</si>
  <si>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</si>
  <si>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</si>
  <si>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</si>
  <si>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</si>
  <si>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</si>
  <si>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</si>
  <si>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</si>
  <si>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</si>
  <si>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</si>
  <si>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</si>
  <si>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</si>
  <si>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</si>
  <si>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</si>
  <si>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</si>
  <si>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</si>
  <si>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</si>
  <si>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</si>
  <si>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</si>
  <si>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</si>
  <si>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</si>
  <si>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</si>
  <si>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</si>
  <si>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</si>
  <si>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</si>
  <si>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</si>
  <si>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</si>
  <si>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</si>
  <si>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</si>
  <si>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</si>
  <si>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</si>
  <si>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</si>
  <si>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</si>
  <si>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</si>
  <si>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</si>
  <si>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</si>
  <si>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</si>
  <si>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</si>
  <si>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</si>
  <si>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</si>
  <si>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</si>
  <si>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</si>
  <si>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</si>
  <si>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</si>
  <si>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</si>
  <si>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</si>
  <si>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</si>
  <si>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</si>
  <si>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</si>
  <si>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</si>
  <si>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</si>
  <si>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</si>
  <si>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</si>
  <si>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</si>
  <si>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</si>
  <si>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</si>
  <si>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</si>
  <si>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</si>
  <si>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</si>
  <si>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</si>
  <si>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</si>
  <si>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</si>
  <si>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</si>
  <si>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</si>
  <si>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</si>
  <si>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</si>
  <si>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</si>
  <si>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</si>
  <si>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</si>
  <si>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</si>
  <si>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</si>
  <si>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</si>
  <si>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</si>
  <si>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</si>
  <si>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</si>
  <si>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</si>
  <si>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</si>
  <si>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</si>
  <si>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</si>
  <si>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</si>
  <si>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</si>
  <si>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</si>
  <si>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</si>
  <si>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</si>
  <si>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</si>
  <si>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</si>
  <si>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</si>
  <si>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</si>
  <si>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</si>
  <si>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</si>
  <si>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</si>
  <si>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</si>
  <si>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</si>
  <si>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</si>
  <si>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</si>
  <si>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</si>
  <si>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QTS Realty Trust Inc.</t>
  </si>
  <si>
    <t>Within the last 12 months, Morgan Stanley has provided or is providing investment banking services to,</t>
  </si>
  <si>
    <t>or has an investment banking client relationship with, the following company: QTS Realty Trust Inc.</t>
  </si>
  <si>
    <t>Within the last 12 months, Morgan Stanley has received compensation for products and services other than</t>
  </si>
  <si>
    <t>investment banking services from QTS Realty Trust Inc.</t>
  </si>
  <si>
    <t>In the next 3 months, Morgan Stanley expects to receive or intends to seek compensation for investment</t>
  </si>
  <si>
    <t>banking services from QTS Realty Trust Inc.</t>
  </si>
  <si>
    <t>Within the last 12 months, Morgan Stanley has received compensation for investment banking services from</t>
  </si>
  <si>
    <t>QTS Realty Trust Inc.</t>
  </si>
  <si>
    <t>Within the last 12 months, Morgan Stanley managed or co-managed a public offering (or 144A offering) of</t>
  </si>
  <si>
    <t>securities of QTS Realty Trust Inc.</t>
  </si>
  <si>
    <t>As of March 29, 2018, Morgan Stanley beneficially owned 1% or more of a class of common equity</t>
  </si>
  <si>
    <t>securities of the following companies covered in Morgan Stanley Research: QTS Realty Trust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</si>
  <si>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</si>
  <si>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</si>
  <si>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</si>
  <si>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</si>
  <si>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</si>
  <si>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Simon Flannery.</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</si>
  <si>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</si>
  <si>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</si>
  <si>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</si>
  <si>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</si>
  <si>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</si>
  <si>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</si>
  <si>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</si>
  <si>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</si>
  <si>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</si>
  <si>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</si>
  <si>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</si>
  <si>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</si>
  <si>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</si>
  <si>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</si>
  <si>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</si>
  <si>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</si>
  <si>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</si>
  <si>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</si>
  <si>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</si>
  <si>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</si>
  <si>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</si>
  <si>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</si>
  <si>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</si>
  <si>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</si>
  <si>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</si>
  <si>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</si>
  <si>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</si>
  <si>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</si>
  <si>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</si>
  <si>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</si>
  <si>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</si>
  <si>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</si>
  <si>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</si>
  <si>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</si>
  <si>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</si>
  <si>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</si>
  <si>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</si>
  <si>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</si>
  <si>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</si>
  <si>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</si>
  <si>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</si>
  <si>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</si>
  <si>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</si>
  <si>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</si>
  <si>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</si>
  <si>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</si>
  <si>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</si>
  <si>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</si>
  <si>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</si>
  <si>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</si>
  <si>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</si>
  <si>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</si>
  <si>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</si>
  <si>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</si>
  <si>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</si>
  <si>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</si>
  <si>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</si>
  <si>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</si>
  <si>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</si>
  <si>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</si>
  <si>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</si>
  <si>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</si>
  <si>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</si>
  <si>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</si>
  <si>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</si>
  <si>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</si>
  <si>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</si>
  <si>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</si>
  <si>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Cautious</t>
  </si>
  <si>
    <t>Regular Update</t>
  </si>
  <si>
    <t>NorthAmerica</t>
  </si>
  <si>
    <t>MSA10787, MSA79FGL</t>
  </si>
  <si>
    <t>74736A103</t>
  </si>
  <si>
    <t>L:\ER13\CLECs\CLEC\QTS\Model\QTS Morgan Stanley - v16.xlsm</t>
  </si>
  <si>
    <t>[BRO MSA]</t>
  </si>
  <si>
    <t>[PRODUCT MODEL]</t>
  </si>
  <si>
    <t>[EMAIL_ALERT YES]</t>
  </si>
  <si>
    <t>[DISCIPLINE Company]</t>
  </si>
  <si>
    <t>[SUPPRESSED NO]</t>
  </si>
  <si>
    <t>[DOCDAT 2018-04-23]</t>
  </si>
  <si>
    <t>[DOCTIME 09:30]</t>
  </si>
  <si>
    <t>[PSYM QTS.N(S&amp;P) (None)]</t>
  </si>
  <si>
    <t>[COU 1]</t>
  </si>
  <si>
    <t>[ANA MSA79FGL]</t>
  </si>
  <si>
    <t>[HL QTS.N Model]</t>
  </si>
  <si>
    <t>[IND UTITEL DIVTEC TELEPH]</t>
  </si>
  <si>
    <t>[PANA MSA10787]</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</si>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</sst>
</file>

<file path=xl/styles.xml><?xml version="1.0" encoding="utf-8"?>
<styleSheet xmlns="http://schemas.openxmlformats.org/spreadsheetml/2006/main" xmlns:mc="http://schemas.openxmlformats.org/markup-compatibility/2006" xmlns:x14ac="http://schemas.microsoft.com/office/spreadsheetml/2009/9/ac" mc:Ignorable="x14ac">
  <numFmts count="30">
    <numFmt numFmtId="5" formatCode="&quot;$&quot;#,##0_);\(&quot;$&quot;#,##0\)"/>
    <numFmt numFmtId="6" formatCode="&quot;$&quot;#,##0_);[Red]\(&quot;$&quot;#,##0\)"/>
    <numFmt numFmtId="7" formatCode="&quot;$&quot;#,##0.00_);\(&quot;$&quot;#,##0.00\)"/>
    <numFmt numFmtId="41" formatCode="_(* #,##0_);_(* \(#,##0\);_(* &quot;-&quot;_);_(@_)"/>
    <numFmt numFmtId="44" formatCode="_(&quot;$&quot;* #,##0.00_);_(&quot;$&quot;* \(#,##0.00\);_(&quot;$&quot;* &quot;-&quot;??_);_(@_)"/>
    <numFmt numFmtId="43" formatCode="_(* #,##0.00_);_(* \(#,##0.00\);_(* &quot;-&quot;??_);_(@_)"/>
    <numFmt numFmtId="164" formatCode="#,##0.0_);\(#,##0.0\)"/>
    <numFmt numFmtId="165" formatCode="#,##0.000_);\(#,##0.000\)"/>
    <numFmt numFmtId="166" formatCode="0.0%_);\(0.0%\);&quot;–&quot;_)"/>
    <numFmt numFmtId="167" formatCode="m/d/yy;@"/>
    <numFmt numFmtId="168" formatCode="0.0\x"/>
    <numFmt numFmtId="169" formatCode="&quot;$&quot;#,##0.0_);\(&quot;$&quot;#,##0.0\)"/>
    <numFmt numFmtId="170" formatCode="0.0%"/>
    <numFmt numFmtId="171" formatCode="0.0"/>
    <numFmt numFmtId="172" formatCode="_ * #,##0_ ;_ * \-#,##0_ ;_ * &quot;-&quot;_ ;_ @_ "/>
    <numFmt numFmtId="173" formatCode="#,##0\ &quot;bps&quot;"/>
    <numFmt numFmtId="174" formatCode="0%_);\(0%\);&quot;–&quot;_)"/>
    <numFmt numFmtId="175" formatCode="_(#,##0_)\ &quot;e&quot;;\(#,##0\)\ &quot;e&quot;"/>
    <numFmt numFmtId="176" formatCode="\£\ #,##0_);[Red]\(\£\ #,##0\)"/>
    <numFmt numFmtId="177" formatCode="\¥\ #,##0_);[Red]\(\¥\ #,##0\)"/>
    <numFmt numFmtId="178" formatCode="\•\ \ @"/>
    <numFmt numFmtId="179" formatCode="\ \ _•\–\ \ \ \ @"/>
    <numFmt numFmtId="180" formatCode="0.00_)"/>
    <numFmt numFmtId="181" formatCode="_-* #,##0_-;\-* #,##0_-;_-* &quot;-&quot;_-;_-@_-"/>
    <numFmt numFmtId="182" formatCode="_-* #,##0.00_-;\-* #,##0.00_-;_-* &quot;-&quot;??_-;_-@_-"/>
    <numFmt numFmtId="183" formatCode="_-&quot;£&quot;* #,##0_-;\-&quot;£&quot;* #,##0_-;_-&quot;£&quot;* &quot;-&quot;_-;_-@_-"/>
    <numFmt numFmtId="184" formatCode="_-&quot;£&quot;* #,##0.00_-;\-&quot;£&quot;* #,##0.00_-;_-&quot;£&quot;* &quot;-&quot;??_-;_-@_-"/>
    <numFmt numFmtId="185" formatCode="0.0%_);\(0.0%\)_)"/>
    <numFmt numFmtId="186" formatCode="0.0_);\(0.0\)"/>
    <numFmt numFmtId="187" formatCode="mm/dd/yy\ hh:mm"/>
  </numFmts>
  <fonts count="104">
    <font>
      <sz val="10"/>
      <name val="Arial"/>
    </font>
    <font>
      <sz val="10"/>
      <name val="Arial"/>
      <family val="2"/>
    </font>
    <font>
      <sz val="8"/>
      <name val="Arial"/>
      <family val="2"/>
    </font>
    <font>
      <sz val="10"/>
      <color indexed="10"/>
      <name val="Arial"/>
      <family val="2"/>
    </font>
    <font>
      <sz val="10"/>
      <color indexed="9"/>
      <name val="Arial"/>
      <family val="2"/>
    </font>
    <font>
      <sz val="10"/>
      <color indexed="12"/>
      <name val="Arial"/>
      <family val="2"/>
    </font>
    <font>
      <sz val="10"/>
      <name val="Arial"/>
      <family val="2"/>
    </font>
    <font>
      <b/>
      <sz val="10"/>
      <name val="Arial"/>
      <family val="2"/>
    </font>
    <font>
      <b/>
      <u/>
      <sz val="10"/>
      <name val="Arial"/>
      <family val="2"/>
    </font>
    <font>
      <i/>
      <sz val="10"/>
      <name val="Arial"/>
      <family val="2"/>
    </font>
    <font>
      <sz val="10"/>
      <color indexed="12"/>
      <name val="Arial"/>
      <family val="2"/>
    </font>
    <font>
      <u/>
      <sz val="10"/>
      <name val="Arial"/>
      <family val="2"/>
    </font>
    <font>
      <b/>
      <sz val="10"/>
      <color indexed="12"/>
      <name val="Arial"/>
      <family val="2"/>
    </font>
    <font>
      <sz val="10"/>
      <color indexed="17"/>
      <name val="Arial"/>
      <family val="2"/>
    </font>
    <font>
      <b/>
      <sz val="10"/>
      <color indexed="17"/>
      <name val="Arial"/>
      <family val="2"/>
    </font>
    <font>
      <sz val="10"/>
      <color indexed="54"/>
      <name val="Arial"/>
      <family val="2"/>
    </font>
    <font>
      <u/>
      <sz val="10"/>
      <name val="Arial"/>
      <family val="2"/>
    </font>
    <font>
      <sz val="10"/>
      <color indexed="8"/>
      <name val="MS Sans Serif"/>
      <family val="2"/>
    </font>
    <font>
      <sz val="10"/>
      <name val="MS Sans Serif"/>
      <family val="2"/>
    </font>
    <font>
      <sz val="11"/>
      <color indexed="8"/>
      <name val="Calibri"/>
      <family val="2"/>
    </font>
    <font>
      <sz val="11"/>
      <color indexed="9"/>
      <name val="Calibri"/>
      <family val="2"/>
    </font>
    <font>
      <sz val="11"/>
      <color indexed="20"/>
      <name val="Calibri"/>
      <family val="2"/>
    </font>
    <font>
      <b/>
      <sz val="10"/>
      <color indexed="8"/>
      <name val="Times New Roman"/>
      <family val="1"/>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9"/>
      <name val="Times New Roman"/>
      <family val="1"/>
    </font>
    <font>
      <sz val="10"/>
      <color indexed="8"/>
      <name val="Times New Roman"/>
      <family val="1"/>
    </font>
    <font>
      <i/>
      <sz val="8"/>
      <name val="Times New Roman"/>
      <family val="1"/>
    </font>
    <font>
      <sz val="12"/>
      <name val="Arial"/>
      <family val="2"/>
    </font>
    <font>
      <sz val="10"/>
      <color indexed="8"/>
      <name val="Arial"/>
      <family val="2"/>
    </font>
    <font>
      <b/>
      <sz val="18"/>
      <color indexed="62"/>
      <name val="Cambria"/>
      <family val="2"/>
    </font>
    <font>
      <b/>
      <sz val="11"/>
      <color indexed="8"/>
      <name val="Calibri"/>
      <family val="2"/>
    </font>
    <font>
      <sz val="11"/>
      <color indexed="10"/>
      <name val="Calibri"/>
      <family val="2"/>
    </font>
    <font>
      <sz val="12"/>
      <name val="바탕체"/>
      <family val="1"/>
      <charset val="129"/>
    </font>
    <font>
      <sz val="8"/>
      <color indexed="17"/>
      <name val="Arial"/>
      <family val="2"/>
    </font>
    <font>
      <sz val="8"/>
      <color indexed="12"/>
      <name val="Arial"/>
      <family val="2"/>
    </font>
    <font>
      <sz val="8"/>
      <color indexed="12"/>
      <name val="Arial"/>
      <family val="2"/>
    </font>
    <font>
      <sz val="8"/>
      <name val="Arial"/>
      <family val="2"/>
    </font>
    <font>
      <b/>
      <sz val="8"/>
      <name val="Arial"/>
      <family val="2"/>
    </font>
    <font>
      <b/>
      <u/>
      <sz val="8"/>
      <name val="Arial"/>
      <family val="2"/>
    </font>
    <font>
      <sz val="12"/>
      <name val="Times New Roman"/>
      <family val="1"/>
    </font>
    <font>
      <sz val="10"/>
      <name val="Times New Roman"/>
      <family val="1"/>
    </font>
    <font>
      <sz val="8"/>
      <color indexed="12"/>
      <name val="Tms Rmn"/>
      <family val="1"/>
    </font>
    <font>
      <b/>
      <sz val="12"/>
      <name val="Times New Roman"/>
      <family val="1"/>
    </font>
    <font>
      <sz val="8"/>
      <name val="Helvetica-Narrow"/>
    </font>
    <font>
      <sz val="10"/>
      <color indexed="18"/>
      <name val="Times New Roman"/>
      <family val="1"/>
    </font>
    <font>
      <sz val="8"/>
      <name val="Helv"/>
    </font>
    <font>
      <sz val="10"/>
      <color indexed="2"/>
      <name val="Tahoma"/>
      <family val="2"/>
    </font>
    <font>
      <b/>
      <sz val="10"/>
      <color indexed="0"/>
      <name val="Tahoma"/>
      <family val="2"/>
    </font>
    <font>
      <b/>
      <sz val="12"/>
      <name val="Arial"/>
      <family val="2"/>
    </font>
    <font>
      <sz val="10"/>
      <name val="Tahoma"/>
      <family val="2"/>
    </font>
    <font>
      <b/>
      <i/>
      <sz val="10"/>
      <color indexed="4"/>
      <name val="Tahoma"/>
      <family val="2"/>
    </font>
    <font>
      <sz val="10"/>
      <color indexed="4"/>
      <name val="Tahoma"/>
      <family val="2"/>
    </font>
    <font>
      <b/>
      <i/>
      <sz val="16"/>
      <name val="Helv"/>
    </font>
    <font>
      <sz val="7"/>
      <name val="Helvetica"/>
      <family val="2"/>
    </font>
    <font>
      <b/>
      <sz val="10"/>
      <name val="MS Sans Serif"/>
      <family val="2"/>
    </font>
    <font>
      <b/>
      <sz val="10"/>
      <name val="GillSans"/>
    </font>
    <font>
      <sz val="9"/>
      <name val="AGaramond"/>
    </font>
    <font>
      <u/>
      <sz val="9"/>
      <name val="Arial"/>
      <family val="2"/>
    </font>
    <font>
      <sz val="9"/>
      <name val="Arial"/>
      <family val="2"/>
    </font>
    <font>
      <b/>
      <sz val="9"/>
      <name val="Arial"/>
      <family val="2"/>
    </font>
    <font>
      <b/>
      <sz val="16"/>
      <name val="Helvetica"/>
      <family val="2"/>
    </font>
    <font>
      <b/>
      <sz val="9"/>
      <name val="Helvetica"/>
      <family val="2"/>
    </font>
    <font>
      <b/>
      <sz val="9"/>
      <color indexed="9"/>
      <name val="Arial"/>
      <family val="2"/>
    </font>
    <font>
      <b/>
      <sz val="16"/>
      <color indexed="9"/>
      <name val="Helvetica"/>
      <family val="2"/>
    </font>
    <font>
      <sz val="9"/>
      <color indexed="9"/>
      <name val="Arial"/>
      <family val="2"/>
    </font>
    <font>
      <sz val="9"/>
      <color indexed="21"/>
      <name val="Arial"/>
      <family val="2"/>
    </font>
    <font>
      <sz val="9"/>
      <color indexed="12"/>
      <name val="Arial"/>
      <family val="2"/>
    </font>
    <font>
      <b/>
      <sz val="14"/>
      <name val="Arial"/>
      <family val="2"/>
    </font>
    <font>
      <b/>
      <u/>
      <sz val="9"/>
      <name val="Arial"/>
      <family val="2"/>
    </font>
    <font>
      <sz val="9"/>
      <color indexed="17"/>
      <name val="Arial"/>
      <family val="2"/>
    </font>
    <font>
      <sz val="9"/>
      <color indexed="18"/>
      <name val="Arial"/>
      <family val="2"/>
    </font>
    <font>
      <sz val="9"/>
      <name val="Arial"/>
      <family val="2"/>
    </font>
    <font>
      <sz val="9"/>
      <color indexed="19"/>
      <name val="Arial"/>
      <family val="2"/>
    </font>
    <font>
      <sz val="10"/>
      <color indexed="21"/>
      <name val="Arial"/>
      <family val="2"/>
    </font>
    <font>
      <sz val="10"/>
      <color indexed="21"/>
      <name val="Arial"/>
      <family val="2"/>
    </font>
    <font>
      <sz val="11"/>
      <name val="Arial"/>
      <family val="2"/>
    </font>
    <font>
      <i/>
      <sz val="7"/>
      <name val="Arial"/>
      <family val="2"/>
    </font>
    <font>
      <sz val="10"/>
      <name val="Arial"/>
      <family val="2"/>
    </font>
    <font>
      <sz val="10"/>
      <color indexed="81"/>
      <name val="Tahoma"/>
      <family val="2"/>
    </font>
    <font>
      <sz val="9"/>
      <color indexed="81"/>
      <name val="Tahoma"/>
      <family val="2"/>
    </font>
    <font>
      <sz val="10"/>
      <color rgb="FF0070C0"/>
      <name val="Arial"/>
      <family val="2"/>
    </font>
    <font>
      <sz val="10"/>
      <color rgb="FFFF0000"/>
      <name val="Arial"/>
      <family val="2"/>
    </font>
    <font>
      <sz val="10"/>
      <color rgb="FF00B050"/>
      <name val="Arial"/>
      <family val="2"/>
    </font>
    <font>
      <sz val="8"/>
      <color rgb="FFFF0000"/>
      <name val="Arial"/>
      <family val="2"/>
    </font>
    <font>
      <sz val="8"/>
      <color rgb="FF00B050"/>
      <name val="Arial"/>
      <family val="2"/>
    </font>
    <font>
      <sz val="9"/>
      <color rgb="FFFF0000"/>
      <name val="Arial"/>
      <family val="2"/>
    </font>
    <font>
      <sz val="9"/>
      <color rgb="FF0070C0"/>
      <name val="Arial"/>
      <family val="2"/>
    </font>
    <font>
      <u/>
      <sz val="10"/>
      <color indexed="81"/>
      <name val="Tahoma"/>
      <family val="2"/>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s>
  <fills count="34">
    <fill>
      <patternFill patternType="none"/>
    </fill>
    <fill>
      <patternFill patternType="gray125"/>
    </fill>
    <fill>
      <patternFill patternType="solid">
        <fgColor indexed="9"/>
        <bgColor indexed="64"/>
      </patternFill>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lightGray"/>
    </fill>
    <fill>
      <patternFill patternType="solid">
        <fgColor indexed="48"/>
      </patternFill>
    </fill>
    <fill>
      <patternFill patternType="solid">
        <fgColor indexed="42"/>
      </patternFill>
    </fill>
    <fill>
      <patternFill patternType="solid">
        <fgColor indexed="22"/>
        <bgColor indexed="64"/>
      </patternFill>
    </fill>
    <fill>
      <patternFill patternType="mediumGray">
        <fgColor indexed="22"/>
      </patternFill>
    </fill>
    <fill>
      <patternFill patternType="solid">
        <fgColor indexed="43"/>
        <bgColor indexed="64"/>
      </patternFill>
    </fill>
    <fill>
      <patternFill patternType="solid">
        <fgColor indexed="58"/>
        <bgColor indexed="64"/>
      </patternFill>
    </fill>
    <fill>
      <patternFill patternType="solid">
        <fgColor indexed="12"/>
        <bgColor indexed="64"/>
      </patternFill>
    </fill>
    <fill>
      <patternFill patternType="solid">
        <fgColor indexed="46"/>
        <bgColor indexed="64"/>
      </patternFill>
    </fill>
    <fill>
      <patternFill patternType="solid">
        <fgColor indexed="42"/>
        <bgColor indexed="64"/>
      </patternFill>
    </fill>
    <fill>
      <patternFill patternType="solid">
        <fgColor indexed="55"/>
        <bgColor indexed="64"/>
      </patternFill>
    </fill>
    <fill>
      <patternFill patternType="solid">
        <fgColor indexed="45"/>
        <bgColor indexed="64"/>
      </patternFill>
    </fill>
    <fill>
      <patternFill patternType="solid">
        <fgColor indexed="47"/>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8" tint="0.39997558519241921"/>
        <bgColor indexed="64"/>
      </patternFill>
    </fill>
    <fill>
      <patternFill patternType="solid">
        <fgColor rgb="FFC00000"/>
        <bgColor indexed="64"/>
      </patternFill>
    </fill>
    <fill>
      <patternFill patternType="solid">
        <fgColor theme="9" tint="0.39997558519241921"/>
        <bgColor indexed="64"/>
      </patternFill>
    </fill>
    <fill>
      <patternFill patternType="solid">
        <fgColor indexed="65"/>
        <bgColor indexed="64"/>
      </patternFill>
    </fill>
  </fills>
  <borders count="49">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4"/>
      </left>
      <right/>
      <top style="thin">
        <color indexed="64"/>
      </top>
      <bottom style="thin">
        <color indexed="64"/>
      </bottom>
      <diagonal/>
    </border>
    <border>
      <left/>
      <right/>
      <top/>
      <bottom style="thin">
        <color indexed="8"/>
      </bottom>
      <diagonal/>
    </border>
    <border>
      <left/>
      <right/>
      <top style="thin">
        <color indexed="49"/>
      </top>
      <bottom style="double">
        <color indexed="49"/>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top style="thin">
        <color indexed="55"/>
      </top>
      <bottom/>
      <diagonal/>
    </border>
    <border>
      <left/>
      <right style="thin">
        <color indexed="64"/>
      </right>
      <top style="thin">
        <color indexed="55"/>
      </top>
      <bottom/>
      <diagonal/>
    </border>
    <border>
      <left style="thin">
        <color indexed="64"/>
      </left>
      <right style="thin">
        <color indexed="64"/>
      </right>
      <top style="thin">
        <color indexed="55"/>
      </top>
      <bottom/>
      <diagonal/>
    </border>
    <border>
      <left/>
      <right/>
      <top/>
      <bottom style="thin">
        <color indexed="55"/>
      </bottom>
      <diagonal/>
    </border>
    <border>
      <left/>
      <right style="thin">
        <color indexed="64"/>
      </right>
      <top/>
      <bottom style="thin">
        <color indexed="55"/>
      </bottom>
      <diagonal/>
    </border>
    <border>
      <left style="thin">
        <color indexed="64"/>
      </left>
      <right/>
      <top/>
      <bottom/>
      <diagonal/>
    </border>
    <border>
      <left style="thin">
        <color indexed="64"/>
      </left>
      <right/>
      <top style="thin">
        <color indexed="55"/>
      </top>
      <bottom/>
      <diagonal/>
    </border>
    <border>
      <left/>
      <right/>
      <top style="thin">
        <color indexed="55"/>
      </top>
      <bottom style="thin">
        <color indexed="64"/>
      </bottom>
      <diagonal/>
    </border>
    <border>
      <left/>
      <right style="thin">
        <color indexed="64"/>
      </right>
      <top style="thin">
        <color indexed="55"/>
      </top>
      <bottom style="thin">
        <color indexed="64"/>
      </bottom>
      <diagonal/>
    </border>
    <border>
      <left style="thin">
        <color indexed="64"/>
      </left>
      <right style="thin">
        <color indexed="64"/>
      </right>
      <top style="thin">
        <color indexed="55"/>
      </top>
      <bottom style="thin">
        <color indexed="64"/>
      </bottom>
      <diagonal/>
    </border>
    <border>
      <left style="thin">
        <color indexed="64"/>
      </left>
      <right/>
      <top style="thin">
        <color indexed="55"/>
      </top>
      <bottom style="thin">
        <color indexed="64"/>
      </bottom>
      <diagonal/>
    </border>
    <border>
      <left style="thin">
        <color indexed="64"/>
      </left>
      <right style="thin">
        <color indexed="64"/>
      </right>
      <top/>
      <bottom style="thin">
        <color indexed="55"/>
      </bottom>
      <diagonal/>
    </border>
    <border>
      <left style="thin">
        <color indexed="64"/>
      </left>
      <right/>
      <top style="thin">
        <color theme="0" tint="-0.24994659260841701"/>
      </top>
      <bottom style="thin">
        <color indexed="55"/>
      </bottom>
      <diagonal/>
    </border>
    <border>
      <left/>
      <right/>
      <top style="thin">
        <color theme="0" tint="-0.24994659260841701"/>
      </top>
      <bottom style="thin">
        <color indexed="55"/>
      </bottom>
      <diagonal/>
    </border>
    <border>
      <left/>
      <right style="thin">
        <color indexed="64"/>
      </right>
      <top style="thin">
        <color theme="0" tint="-0.24994659260841701"/>
      </top>
      <bottom style="thin">
        <color indexed="55"/>
      </bottom>
      <diagonal/>
    </border>
    <border>
      <left style="thin">
        <color indexed="64"/>
      </left>
      <right style="thin">
        <color indexed="64"/>
      </right>
      <top style="thin">
        <color theme="0" tint="-0.24994659260841701"/>
      </top>
      <bottom style="thin">
        <color indexed="55"/>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23">
    <xf numFmtId="0" fontId="0" fillId="0" borderId="0"/>
    <xf numFmtId="0" fontId="1" fillId="0" borderId="0"/>
    <xf numFmtId="0" fontId="1" fillId="0" borderId="0"/>
    <xf numFmtId="0" fontId="17" fillId="0" borderId="0" applyNumberFormat="0" applyFont="0" applyFill="0" applyBorder="0" applyAlignment="0" applyProtection="0"/>
    <xf numFmtId="0" fontId="6" fillId="0" borderId="0" applyNumberFormat="0" applyFill="0" applyBorder="0" applyAlignment="0" applyProtection="0"/>
    <xf numFmtId="0" fontId="17" fillId="0" borderId="0" applyNumberFormat="0" applyFont="0" applyFill="0" applyBorder="0" applyAlignment="0" applyProtection="0"/>
    <xf numFmtId="0" fontId="1" fillId="0" borderId="0"/>
    <xf numFmtId="0" fontId="1" fillId="0" borderId="0"/>
    <xf numFmtId="0" fontId="1" fillId="0" borderId="0"/>
    <xf numFmtId="0" fontId="2" fillId="2" borderId="0" applyNumberFormat="0" applyFont="0" applyBorder="0" applyAlignment="0" applyProtection="0"/>
    <xf numFmtId="0" fontId="1" fillId="0" borderId="0"/>
    <xf numFmtId="176" fontId="49" fillId="0" borderId="0" applyFont="0" applyFill="0" applyBorder="0" applyAlignment="0" applyProtection="0"/>
    <xf numFmtId="177" fontId="49" fillId="0" borderId="0" applyFont="0" applyFill="0" applyBorder="0" applyAlignment="0" applyProtection="0"/>
    <xf numFmtId="0" fontId="1" fillId="0" borderId="0"/>
    <xf numFmtId="0" fontId="50" fillId="0" borderId="0"/>
    <xf numFmtId="0" fontId="50" fillId="0" borderId="0"/>
    <xf numFmtId="0" fontId="18" fillId="0" borderId="0"/>
    <xf numFmtId="0" fontId="18" fillId="0" borderId="0"/>
    <xf numFmtId="6" fontId="18" fillId="0" borderId="0"/>
    <xf numFmtId="0" fontId="19" fillId="3" borderId="0" applyNumberFormat="0" applyBorder="0" applyAlignment="0" applyProtection="0"/>
    <xf numFmtId="0" fontId="19" fillId="4" borderId="0" applyNumberFormat="0" applyBorder="0" applyAlignment="0" applyProtection="0"/>
    <xf numFmtId="0" fontId="19" fillId="5" borderId="0" applyNumberFormat="0" applyBorder="0" applyAlignment="0" applyProtection="0"/>
    <xf numFmtId="0" fontId="19" fillId="3" borderId="0" applyNumberFormat="0" applyBorder="0" applyAlignment="0" applyProtection="0"/>
    <xf numFmtId="0" fontId="19" fillId="6" borderId="0" applyNumberFormat="0" applyBorder="0" applyAlignment="0" applyProtection="0"/>
    <xf numFmtId="0" fontId="19" fillId="5" borderId="0" applyNumberFormat="0" applyBorder="0" applyAlignment="0" applyProtection="0"/>
    <xf numFmtId="0" fontId="19" fillId="7" borderId="0" applyNumberFormat="0" applyBorder="0" applyAlignment="0" applyProtection="0"/>
    <xf numFmtId="0" fontId="19" fillId="4" borderId="0" applyNumberFormat="0" applyBorder="0" applyAlignment="0" applyProtection="0"/>
    <xf numFmtId="0" fontId="19" fillId="5" borderId="0" applyNumberFormat="0" applyBorder="0" applyAlignment="0" applyProtection="0"/>
    <xf numFmtId="0" fontId="19" fillId="7" borderId="0" applyNumberFormat="0" applyBorder="0" applyAlignment="0" applyProtection="0"/>
    <xf numFmtId="0" fontId="19" fillId="8" borderId="0" applyNumberFormat="0" applyBorder="0" applyAlignment="0" applyProtection="0"/>
    <xf numFmtId="0" fontId="19" fillId="5" borderId="0" applyNumberFormat="0" applyBorder="0" applyAlignment="0" applyProtection="0"/>
    <xf numFmtId="0" fontId="20" fillId="9" borderId="0" applyNumberFormat="0" applyBorder="0" applyAlignment="0" applyProtection="0"/>
    <xf numFmtId="0" fontId="20" fillId="4" borderId="0" applyNumberFormat="0" applyBorder="0" applyAlignment="0" applyProtection="0"/>
    <xf numFmtId="0" fontId="20" fillId="10" borderId="0" applyNumberFormat="0" applyBorder="0" applyAlignment="0" applyProtection="0"/>
    <xf numFmtId="0" fontId="20" fillId="7" borderId="0" applyNumberFormat="0" applyBorder="0" applyAlignment="0" applyProtection="0"/>
    <xf numFmtId="0" fontId="20" fillId="9" borderId="0" applyNumberFormat="0" applyBorder="0" applyAlignment="0" applyProtection="0"/>
    <xf numFmtId="0" fontId="20" fillId="5" borderId="0" applyNumberFormat="0" applyBorder="0" applyAlignment="0" applyProtection="0"/>
    <xf numFmtId="0" fontId="20" fillId="9" borderId="0" applyNumberFormat="0" applyBorder="0" applyAlignment="0" applyProtection="0"/>
    <xf numFmtId="0" fontId="20" fillId="4"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9" borderId="0" applyNumberFormat="0" applyBorder="0" applyAlignment="0" applyProtection="0"/>
    <xf numFmtId="0" fontId="20" fillId="4" borderId="0" applyNumberFormat="0" applyBorder="0" applyAlignment="0" applyProtection="0"/>
    <xf numFmtId="0" fontId="21" fillId="12" borderId="0" applyNumberFormat="0" applyBorder="0" applyAlignment="0" applyProtection="0"/>
    <xf numFmtId="0" fontId="51" fillId="0" borderId="0" applyNumberFormat="0" applyFill="0" applyBorder="0" applyAlignment="0" applyProtection="0"/>
    <xf numFmtId="0" fontId="52" fillId="0" borderId="1" applyNumberFormat="0" applyFill="0" applyAlignment="0" applyProtection="0"/>
    <xf numFmtId="3" fontId="53" fillId="0" borderId="0"/>
    <xf numFmtId="178" fontId="49" fillId="0" borderId="0" applyFont="0" applyFill="0" applyBorder="0" applyAlignment="0" applyProtection="0"/>
    <xf numFmtId="0" fontId="22" fillId="0" borderId="0"/>
    <xf numFmtId="0" fontId="23" fillId="13" borderId="2" applyNumberFormat="0" applyAlignment="0" applyProtection="0"/>
    <xf numFmtId="1" fontId="54" fillId="0" borderId="0"/>
    <xf numFmtId="0" fontId="24" fillId="14" borderId="3" applyNumberFormat="0" applyAlignment="0" applyProtection="0"/>
    <xf numFmtId="43" fontId="19" fillId="0" borderId="0" applyFont="0" applyFill="0" applyBorder="0" applyAlignment="0" applyProtection="0"/>
    <xf numFmtId="44" fontId="87" fillId="0" borderId="0" applyFont="0" applyFill="0" applyBorder="0" applyAlignment="0" applyProtection="0"/>
    <xf numFmtId="5" fontId="6" fillId="0" borderId="0" applyFont="0" applyFill="0" applyBorder="0" applyAlignment="0" applyProtection="0"/>
    <xf numFmtId="179" fontId="49" fillId="0" borderId="0" applyFont="0" applyFill="0" applyBorder="0" applyAlignment="0" applyProtection="0"/>
    <xf numFmtId="14" fontId="55" fillId="15" borderId="0" applyFill="0" applyBorder="0" applyProtection="0">
      <alignment horizontal="right"/>
    </xf>
    <xf numFmtId="181" fontId="1" fillId="0" borderId="0" applyFont="0" applyFill="0" applyBorder="0" applyAlignment="0" applyProtection="0"/>
    <xf numFmtId="182" fontId="1" fillId="0" borderId="0" applyFont="0" applyFill="0" applyBorder="0" applyAlignment="0" applyProtection="0"/>
    <xf numFmtId="0" fontId="25" fillId="0" borderId="0" applyNumberFormat="0" applyFill="0" applyBorder="0" applyAlignment="0" applyProtection="0"/>
    <xf numFmtId="0" fontId="56" fillId="0" borderId="0"/>
    <xf numFmtId="0" fontId="57" fillId="16" borderId="0"/>
    <xf numFmtId="0" fontId="26" fillId="17" borderId="0" applyNumberFormat="0" applyBorder="0" applyAlignment="0" applyProtection="0"/>
    <xf numFmtId="38" fontId="2" fillId="18" borderId="0" applyNumberFormat="0" applyBorder="0" applyAlignment="0" applyProtection="0"/>
    <xf numFmtId="0" fontId="58" fillId="0" borderId="4" applyNumberFormat="0" applyAlignment="0" applyProtection="0">
      <alignment horizontal="left"/>
    </xf>
    <xf numFmtId="0" fontId="58" fillId="0" borderId="5">
      <alignment horizontal="left"/>
    </xf>
    <xf numFmtId="0" fontId="27" fillId="0" borderId="6" applyNumberFormat="0" applyFill="0" applyAlignment="0" applyProtection="0"/>
    <xf numFmtId="0" fontId="28" fillId="0" borderId="7" applyNumberFormat="0" applyFill="0" applyAlignment="0" applyProtection="0"/>
    <xf numFmtId="0" fontId="29" fillId="0" borderId="8" applyNumberFormat="0" applyFill="0" applyAlignment="0" applyProtection="0"/>
    <xf numFmtId="0" fontId="29" fillId="0" borderId="0" applyNumberFormat="0" applyFill="0" applyBorder="0" applyAlignment="0" applyProtection="0"/>
    <xf numFmtId="3" fontId="53" fillId="0" borderId="0" applyNumberFormat="0" applyFill="0" applyBorder="0" applyAlignment="0" applyProtection="0"/>
    <xf numFmtId="0" fontId="59" fillId="0" borderId="0">
      <alignment wrapText="1"/>
    </xf>
    <xf numFmtId="0" fontId="30" fillId="5" borderId="2" applyNumberFormat="0" applyAlignment="0" applyProtection="0"/>
    <xf numFmtId="10" fontId="2" fillId="2" borderId="9" applyNumberFormat="0" applyBorder="0" applyAlignment="0" applyProtection="0"/>
    <xf numFmtId="0" fontId="31" fillId="0" borderId="10" applyNumberFormat="0" applyFill="0" applyAlignment="0" applyProtection="0"/>
    <xf numFmtId="0" fontId="57" fillId="0" borderId="0"/>
    <xf numFmtId="0" fontId="60" fillId="0" borderId="0"/>
    <xf numFmtId="0" fontId="61" fillId="0" borderId="0"/>
    <xf numFmtId="175" fontId="2" fillId="0" borderId="0"/>
    <xf numFmtId="0" fontId="32" fillId="5" borderId="0" applyNumberFormat="0" applyBorder="0" applyAlignment="0" applyProtection="0"/>
    <xf numFmtId="180" fontId="62" fillId="0" borderId="0"/>
    <xf numFmtId="0" fontId="1" fillId="0" borderId="0"/>
    <xf numFmtId="0" fontId="17" fillId="0" borderId="0" applyNumberFormat="0" applyFont="0" applyFill="0" applyBorder="0" applyAlignment="0" applyProtection="0"/>
    <xf numFmtId="0" fontId="17" fillId="0" borderId="0" applyNumberFormat="0" applyFont="0" applyFill="0" applyBorder="0" applyAlignment="0" applyProtection="0"/>
    <xf numFmtId="0" fontId="66" fillId="0" borderId="0"/>
    <xf numFmtId="0" fontId="1" fillId="5" borderId="11" applyNumberFormat="0" applyFont="0" applyAlignment="0" applyProtection="0"/>
    <xf numFmtId="1" fontId="63" fillId="0" borderId="0" applyFill="0" applyBorder="0" applyProtection="0"/>
    <xf numFmtId="43" fontId="50" fillId="0" borderId="0" applyFont="0" applyFill="0" applyBorder="0" applyAlignment="0" applyProtection="0"/>
    <xf numFmtId="41" fontId="50" fillId="0" borderId="0" applyFont="0" applyFill="0" applyBorder="0" applyAlignment="0" applyProtection="0"/>
    <xf numFmtId="171" fontId="1" fillId="0" borderId="0"/>
    <xf numFmtId="0" fontId="33" fillId="13" borderId="12" applyNumberFormat="0" applyAlignment="0" applyProtection="0"/>
    <xf numFmtId="0" fontId="34" fillId="0" borderId="0">
      <alignment vertical="center"/>
    </xf>
    <xf numFmtId="0" fontId="61" fillId="0" borderId="0"/>
    <xf numFmtId="9" fontId="1" fillId="0" borderId="0" applyFont="0" applyFill="0" applyBorder="0" applyAlignment="0" applyProtection="0"/>
    <xf numFmtId="10" fontId="1" fillId="0" borderId="0" applyFont="0" applyFill="0" applyBorder="0" applyAlignment="0" applyProtection="0"/>
    <xf numFmtId="170" fontId="6" fillId="0" borderId="0" applyFont="0" applyFill="0" applyBorder="0" applyAlignment="0" applyProtection="0"/>
    <xf numFmtId="0" fontId="18" fillId="0" borderId="0" applyNumberFormat="0" applyFont="0" applyFill="0" applyBorder="0" applyAlignment="0" applyProtection="0">
      <alignment horizontal="left"/>
    </xf>
    <xf numFmtId="15" fontId="18" fillId="0" borderId="0" applyFont="0" applyFill="0" applyBorder="0" applyAlignment="0" applyProtection="0"/>
    <xf numFmtId="4" fontId="18" fillId="0" borderId="0" applyFont="0" applyFill="0" applyBorder="0" applyAlignment="0" applyProtection="0"/>
    <xf numFmtId="0" fontId="64" fillId="0" borderId="13">
      <alignment horizontal="center"/>
    </xf>
    <xf numFmtId="3" fontId="18" fillId="0" borderId="0" applyFont="0" applyFill="0" applyBorder="0" applyAlignment="0" applyProtection="0"/>
    <xf numFmtId="0" fontId="18" fillId="19" borderId="0" applyNumberFormat="0" applyFont="0" applyBorder="0" applyAlignment="0" applyProtection="0"/>
    <xf numFmtId="0" fontId="18" fillId="0" borderId="14" applyNumberFormat="0" applyBorder="0">
      <alignment horizontal="left" vertical="center"/>
    </xf>
    <xf numFmtId="0" fontId="6" fillId="20" borderId="0" applyNumberFormat="0" applyFont="0" applyBorder="0" applyAlignment="0" applyProtection="0"/>
    <xf numFmtId="0" fontId="1" fillId="20" borderId="0" applyNumberFormat="0" applyFont="0" applyBorder="0" applyAlignment="0" applyProtection="0"/>
    <xf numFmtId="0" fontId="35" fillId="0" borderId="0"/>
    <xf numFmtId="0" fontId="35" fillId="0" borderId="15">
      <alignment horizontal="centerContinuous"/>
    </xf>
    <xf numFmtId="0" fontId="36" fillId="0" borderId="15"/>
    <xf numFmtId="0" fontId="1" fillId="21" borderId="0"/>
    <xf numFmtId="0" fontId="37" fillId="0" borderId="0"/>
    <xf numFmtId="0" fontId="1" fillId="0" borderId="0">
      <alignment vertical="top"/>
    </xf>
    <xf numFmtId="0" fontId="38" fillId="0" borderId="0" applyNumberFormat="0" applyBorder="0" applyAlignment="0"/>
    <xf numFmtId="0" fontId="65" fillId="0" borderId="5" applyNumberFormat="0" applyFill="0" applyProtection="0">
      <alignment horizontal="left" vertical="center"/>
    </xf>
    <xf numFmtId="0" fontId="39" fillId="0" borderId="0" applyNumberFormat="0" applyFill="0" applyBorder="0" applyAlignment="0" applyProtection="0"/>
    <xf numFmtId="0" fontId="40" fillId="0" borderId="16" applyNumberFormat="0" applyFill="0" applyAlignment="0" applyProtection="0"/>
    <xf numFmtId="0" fontId="6" fillId="0" borderId="0" applyNumberFormat="0" applyFont="0" applyFill="0" applyBorder="0" applyAlignment="0" applyProtection="0"/>
    <xf numFmtId="183" fontId="1" fillId="0" borderId="0" applyFont="0" applyFill="0" applyBorder="0" applyAlignment="0" applyProtection="0"/>
    <xf numFmtId="184" fontId="1" fillId="0" borderId="0" applyFont="0" applyFill="0" applyBorder="0" applyAlignment="0" applyProtection="0"/>
    <xf numFmtId="0" fontId="41" fillId="0" borderId="0" applyNumberFormat="0" applyFill="0" applyBorder="0" applyAlignment="0" applyProtection="0"/>
    <xf numFmtId="172" fontId="42" fillId="0" borderId="0" applyFont="0" applyFill="0" applyBorder="0" applyAlignment="0" applyProtection="0"/>
    <xf numFmtId="0" fontId="42" fillId="0" borderId="0" applyFont="0" applyFill="0" applyBorder="0" applyAlignment="0" applyProtection="0"/>
    <xf numFmtId="44" fontId="1" fillId="0" borderId="0" applyFont="0" applyFill="0" applyBorder="0" applyAlignment="0" applyProtection="0"/>
    <xf numFmtId="0" fontId="98" fillId="0" borderId="0"/>
  </cellStyleXfs>
  <cellXfs count="445">
    <xf numFmtId="0" fontId="0" fillId="0" borderId="0" xfId="0"/>
    <xf numFmtId="0" fontId="3" fillId="0" borderId="0" xfId="0" applyFont="1"/>
    <xf numFmtId="0" fontId="4" fillId="22" borderId="0" xfId="0" applyFont="1" applyFill="1"/>
    <xf numFmtId="0" fontId="4" fillId="22" borderId="0" xfId="0" applyFont="1" applyFill="1" applyAlignment="1">
      <alignment horizontal="center"/>
    </xf>
    <xf numFmtId="164" fontId="0" fillId="0" borderId="0" xfId="0" applyNumberFormat="1"/>
    <xf numFmtId="7" fontId="0" fillId="0" borderId="0" xfId="0" applyNumberFormat="1"/>
    <xf numFmtId="165" fontId="0" fillId="0" borderId="0" xfId="0" applyNumberFormat="1"/>
    <xf numFmtId="164" fontId="5" fillId="0" borderId="0" xfId="0" applyNumberFormat="1" applyFont="1"/>
    <xf numFmtId="166" fontId="6" fillId="0" borderId="0" xfId="0" applyNumberFormat="1" applyFont="1"/>
    <xf numFmtId="0" fontId="8" fillId="0" borderId="0" xfId="0" applyFont="1"/>
    <xf numFmtId="164" fontId="1" fillId="0" borderId="0" xfId="0" applyNumberFormat="1" applyFont="1"/>
    <xf numFmtId="0" fontId="0" fillId="0" borderId="0" xfId="0" applyBorder="1"/>
    <xf numFmtId="164" fontId="5" fillId="0" borderId="0" xfId="0" applyNumberFormat="1" applyFont="1" applyBorder="1"/>
    <xf numFmtId="0" fontId="0" fillId="0" borderId="0" xfId="0" applyAlignment="1">
      <alignment horizontal="left" indent="1"/>
    </xf>
    <xf numFmtId="0" fontId="9" fillId="0" borderId="0" xfId="0" applyFont="1" applyAlignment="1">
      <alignment horizontal="left" indent="1"/>
    </xf>
    <xf numFmtId="166" fontId="10" fillId="0" borderId="0" xfId="0" applyNumberFormat="1" applyFont="1"/>
    <xf numFmtId="166" fontId="6" fillId="23" borderId="0" xfId="0" applyNumberFormat="1" applyFont="1" applyFill="1"/>
    <xf numFmtId="166" fontId="10" fillId="23" borderId="0" xfId="0" applyNumberFormat="1" applyFont="1" applyFill="1"/>
    <xf numFmtId="164" fontId="6" fillId="23" borderId="0" xfId="0" applyNumberFormat="1" applyFont="1" applyFill="1"/>
    <xf numFmtId="166" fontId="9" fillId="0" borderId="0" xfId="0" applyNumberFormat="1" applyFont="1"/>
    <xf numFmtId="0" fontId="9" fillId="0" borderId="0" xfId="0" applyFont="1"/>
    <xf numFmtId="165" fontId="9" fillId="0" borderId="0" xfId="0" applyNumberFormat="1" applyFont="1"/>
    <xf numFmtId="0" fontId="0" fillId="0" borderId="0" xfId="0" applyFill="1"/>
    <xf numFmtId="0" fontId="9" fillId="0" borderId="0" xfId="0" applyFont="1" applyFill="1"/>
    <xf numFmtId="164" fontId="0" fillId="0" borderId="0" xfId="0" applyNumberFormat="1" applyFill="1"/>
    <xf numFmtId="166" fontId="6" fillId="0" borderId="0" xfId="0" applyNumberFormat="1" applyFont="1" applyFill="1"/>
    <xf numFmtId="166" fontId="10" fillId="0" borderId="0" xfId="0" applyNumberFormat="1" applyFont="1" applyFill="1"/>
    <xf numFmtId="164" fontId="6" fillId="0" borderId="0" xfId="0" applyNumberFormat="1" applyFont="1" applyFill="1"/>
    <xf numFmtId="164" fontId="5" fillId="0" borderId="0" xfId="0" applyNumberFormat="1" applyFont="1" applyFill="1"/>
    <xf numFmtId="164" fontId="5" fillId="23" borderId="0" xfId="0" applyNumberFormat="1" applyFont="1" applyFill="1"/>
    <xf numFmtId="164" fontId="6" fillId="0" borderId="0" xfId="0" applyNumberFormat="1" applyFont="1"/>
    <xf numFmtId="0" fontId="6" fillId="0" borderId="0" xfId="0" applyFont="1"/>
    <xf numFmtId="0" fontId="0" fillId="18" borderId="0" xfId="0" applyFill="1"/>
    <xf numFmtId="164" fontId="0" fillId="18" borderId="0" xfId="0" applyNumberFormat="1" applyFill="1"/>
    <xf numFmtId="164" fontId="5" fillId="18" borderId="0" xfId="0" applyNumberFormat="1" applyFont="1" applyFill="1"/>
    <xf numFmtId="167" fontId="0" fillId="0" borderId="0" xfId="0" applyNumberFormat="1"/>
    <xf numFmtId="167" fontId="5" fillId="0" borderId="0" xfId="0" applyNumberFormat="1" applyFont="1"/>
    <xf numFmtId="167" fontId="5" fillId="18" borderId="0" xfId="0" applyNumberFormat="1" applyFont="1" applyFill="1"/>
    <xf numFmtId="164" fontId="3" fillId="0" borderId="0" xfId="0" applyNumberFormat="1" applyFont="1"/>
    <xf numFmtId="164" fontId="1" fillId="0" borderId="0" xfId="0" applyNumberFormat="1" applyFont="1" applyFill="1"/>
    <xf numFmtId="0" fontId="11" fillId="0" borderId="0" xfId="0" applyFont="1"/>
    <xf numFmtId="164" fontId="1" fillId="0" borderId="0" xfId="0" applyNumberFormat="1" applyFont="1" applyFill="1" applyBorder="1"/>
    <xf numFmtId="166" fontId="10" fillId="0" borderId="0" xfId="0" applyNumberFormat="1" applyFont="1" applyBorder="1"/>
    <xf numFmtId="166" fontId="6" fillId="0" borderId="0" xfId="0" applyNumberFormat="1" applyFont="1" applyBorder="1"/>
    <xf numFmtId="164" fontId="0" fillId="0" borderId="0" xfId="0" applyNumberFormat="1" applyBorder="1"/>
    <xf numFmtId="166" fontId="10" fillId="23" borderId="0" xfId="0" applyNumberFormat="1" applyFont="1" applyFill="1" applyBorder="1"/>
    <xf numFmtId="168" fontId="0" fillId="0" borderId="0" xfId="0" applyNumberFormat="1"/>
    <xf numFmtId="166" fontId="10" fillId="0" borderId="0" xfId="0" applyNumberFormat="1" applyFont="1" applyFill="1" applyBorder="1"/>
    <xf numFmtId="0" fontId="7" fillId="23" borderId="14" xfId="0" applyFont="1" applyFill="1" applyBorder="1"/>
    <xf numFmtId="0" fontId="12" fillId="23" borderId="17" xfId="0" applyFont="1" applyFill="1" applyBorder="1"/>
    <xf numFmtId="0" fontId="8" fillId="0" borderId="0" xfId="0" applyFont="1" applyBorder="1"/>
    <xf numFmtId="164" fontId="3" fillId="0" borderId="0" xfId="0" applyNumberFormat="1" applyFont="1" applyFill="1" applyBorder="1"/>
    <xf numFmtId="164" fontId="3" fillId="0" borderId="0" xfId="0" applyNumberFormat="1" applyFont="1" applyFill="1"/>
    <xf numFmtId="0" fontId="0" fillId="0" borderId="0" xfId="0" applyFill="1" applyBorder="1"/>
    <xf numFmtId="165" fontId="0" fillId="0" borderId="0" xfId="0" applyNumberFormat="1" applyFill="1"/>
    <xf numFmtId="7" fontId="0" fillId="0" borderId="0" xfId="0" applyNumberFormat="1" applyBorder="1"/>
    <xf numFmtId="7" fontId="5" fillId="23" borderId="0" xfId="0" applyNumberFormat="1" applyFont="1" applyFill="1" applyBorder="1"/>
    <xf numFmtId="166" fontId="6" fillId="0" borderId="0" xfId="0" applyNumberFormat="1" applyFont="1" applyFill="1" applyBorder="1"/>
    <xf numFmtId="0" fontId="1" fillId="0" borderId="0" xfId="0" applyFont="1"/>
    <xf numFmtId="0" fontId="6" fillId="0" borderId="0" xfId="0" applyFont="1" applyFill="1"/>
    <xf numFmtId="0" fontId="7" fillId="0" borderId="0" xfId="0" applyFont="1"/>
    <xf numFmtId="0" fontId="14" fillId="0" borderId="0" xfId="0" applyFont="1"/>
    <xf numFmtId="164" fontId="13" fillId="0" borderId="0" xfId="0" applyNumberFormat="1" applyFont="1"/>
    <xf numFmtId="167" fontId="15" fillId="0" borderId="0" xfId="0" applyNumberFormat="1" applyFont="1"/>
    <xf numFmtId="167" fontId="0" fillId="0" borderId="0" xfId="0" applyNumberFormat="1" applyFill="1"/>
    <xf numFmtId="0" fontId="4" fillId="0" borderId="0" xfId="0" applyFont="1" applyFill="1"/>
    <xf numFmtId="0" fontId="4" fillId="0" borderId="0" xfId="0" applyFont="1" applyFill="1" applyAlignment="1">
      <alignment horizontal="center"/>
    </xf>
    <xf numFmtId="166" fontId="9" fillId="0" borderId="0" xfId="0" applyNumberFormat="1" applyFont="1" applyFill="1"/>
    <xf numFmtId="7" fontId="0" fillId="0" borderId="0" xfId="0" applyNumberFormat="1" applyFill="1"/>
    <xf numFmtId="164" fontId="5" fillId="0" borderId="0" xfId="0" applyNumberFormat="1" applyFont="1" applyFill="1" applyBorder="1"/>
    <xf numFmtId="164" fontId="0" fillId="0" borderId="0" xfId="0" applyNumberFormat="1" applyFill="1" applyBorder="1"/>
    <xf numFmtId="168" fontId="0" fillId="0" borderId="0" xfId="0" applyNumberFormat="1" applyFill="1"/>
    <xf numFmtId="0" fontId="11" fillId="0" borderId="0" xfId="0" applyFont="1" applyFill="1"/>
    <xf numFmtId="0" fontId="0" fillId="0" borderId="0" xfId="0" applyFill="1" applyAlignment="1">
      <alignment horizontal="left" indent="1"/>
    </xf>
    <xf numFmtId="0" fontId="0" fillId="0" borderId="0" xfId="0" applyFill="1" applyAlignment="1">
      <alignment horizontal="left"/>
    </xf>
    <xf numFmtId="37" fontId="0" fillId="0" borderId="0" xfId="0" applyNumberFormat="1" applyFill="1"/>
    <xf numFmtId="37" fontId="5" fillId="0" borderId="0" xfId="0" applyNumberFormat="1" applyFont="1" applyFill="1"/>
    <xf numFmtId="37" fontId="6" fillId="0" borderId="0" xfId="0" applyNumberFormat="1" applyFont="1" applyFill="1"/>
    <xf numFmtId="37" fontId="1" fillId="0" borderId="0" xfId="0" applyNumberFormat="1" applyFont="1" applyFill="1"/>
    <xf numFmtId="37" fontId="10" fillId="0" borderId="0" xfId="0" applyNumberFormat="1" applyFont="1" applyFill="1"/>
    <xf numFmtId="0" fontId="16" fillId="0" borderId="0" xfId="0" applyFont="1"/>
    <xf numFmtId="7" fontId="1" fillId="0" borderId="0" xfId="0" applyNumberFormat="1" applyFont="1"/>
    <xf numFmtId="0" fontId="5" fillId="0" borderId="0" xfId="0" applyFont="1"/>
    <xf numFmtId="7" fontId="13" fillId="0" borderId="0" xfId="0" applyNumberFormat="1" applyFont="1"/>
    <xf numFmtId="165" fontId="13" fillId="0" borderId="0" xfId="0" applyNumberFormat="1" applyFont="1"/>
    <xf numFmtId="0" fontId="2" fillId="0" borderId="0" xfId="82" applyFont="1"/>
    <xf numFmtId="169" fontId="43" fillId="0" borderId="0" xfId="82" applyNumberFormat="1" applyFont="1"/>
    <xf numFmtId="164" fontId="2" fillId="0" borderId="0" xfId="82" applyNumberFormat="1" applyFont="1"/>
    <xf numFmtId="166" fontId="45" fillId="0" borderId="0" xfId="82" applyNumberFormat="1" applyFont="1"/>
    <xf numFmtId="166" fontId="46" fillId="0" borderId="0" xfId="82" applyNumberFormat="1" applyFont="1"/>
    <xf numFmtId="5" fontId="43" fillId="0" borderId="0" xfId="82" applyNumberFormat="1" applyFont="1"/>
    <xf numFmtId="169" fontId="2" fillId="0" borderId="0" xfId="82" applyNumberFormat="1" applyFont="1"/>
    <xf numFmtId="0" fontId="44" fillId="0" borderId="0" xfId="82" applyFont="1" applyAlignment="1">
      <alignment horizontal="center"/>
    </xf>
    <xf numFmtId="0" fontId="47" fillId="0" borderId="14" xfId="82" applyFont="1" applyBorder="1"/>
    <xf numFmtId="0" fontId="47" fillId="0" borderId="5" xfId="82" applyFont="1" applyBorder="1" applyAlignment="1">
      <alignment horizontal="center"/>
    </xf>
    <xf numFmtId="0" fontId="47" fillId="0" borderId="17" xfId="82" applyFont="1" applyBorder="1" applyAlignment="1">
      <alignment horizontal="center"/>
    </xf>
    <xf numFmtId="0" fontId="2" fillId="0" borderId="0" xfId="82" applyFont="1" applyAlignment="1">
      <alignment horizontal="center"/>
    </xf>
    <xf numFmtId="0" fontId="48" fillId="0" borderId="0" xfId="82" applyFont="1"/>
    <xf numFmtId="0" fontId="2" fillId="18" borderId="0" xfId="82" applyFont="1" applyFill="1"/>
    <xf numFmtId="7" fontId="2" fillId="18" borderId="0" xfId="82" applyNumberFormat="1" applyFont="1" applyFill="1"/>
    <xf numFmtId="7" fontId="2" fillId="0" borderId="0" xfId="82" applyNumberFormat="1" applyFont="1"/>
    <xf numFmtId="0" fontId="47" fillId="0" borderId="0" xfId="82" applyFont="1"/>
    <xf numFmtId="7" fontId="47" fillId="0" borderId="0" xfId="82" applyNumberFormat="1" applyFont="1"/>
    <xf numFmtId="168" fontId="2" fillId="0" borderId="0" xfId="82" applyNumberFormat="1" applyFont="1"/>
    <xf numFmtId="0" fontId="9" fillId="18" borderId="0" xfId="0" applyFont="1" applyFill="1" applyAlignment="1">
      <alignment horizontal="left" indent="1"/>
    </xf>
    <xf numFmtId="0" fontId="0" fillId="23" borderId="14" xfId="0" applyFill="1" applyBorder="1"/>
    <xf numFmtId="0" fontId="5" fillId="23" borderId="17" xfId="0" applyFont="1" applyFill="1" applyBorder="1"/>
    <xf numFmtId="166" fontId="6" fillId="24" borderId="0" xfId="0" applyNumberFormat="1" applyFont="1" applyFill="1"/>
    <xf numFmtId="166" fontId="10" fillId="24" borderId="0" xfId="0" applyNumberFormat="1" applyFont="1" applyFill="1"/>
    <xf numFmtId="0" fontId="2" fillId="0" borderId="5" xfId="82" applyFont="1" applyBorder="1" applyAlignment="1">
      <alignment horizontal="center"/>
    </xf>
    <xf numFmtId="0" fontId="2" fillId="0" borderId="17" xfId="82" applyFont="1" applyBorder="1" applyAlignment="1">
      <alignment horizontal="center"/>
    </xf>
    <xf numFmtId="37" fontId="6" fillId="0" borderId="0" xfId="82" applyNumberFormat="1" applyFont="1"/>
    <xf numFmtId="166" fontId="6" fillId="0" borderId="0" xfId="82" applyNumberFormat="1" applyFont="1"/>
    <xf numFmtId="0" fontId="68" fillId="0" borderId="0" xfId="82" applyFont="1" applyFill="1" applyBorder="1" applyAlignment="1">
      <alignment horizontal="center"/>
    </xf>
    <xf numFmtId="0" fontId="69" fillId="0" borderId="18" xfId="82" applyFont="1" applyFill="1" applyBorder="1" applyAlignment="1">
      <alignment horizontal="center" vertical="center"/>
    </xf>
    <xf numFmtId="0" fontId="69" fillId="0" borderId="19" xfId="82" applyFont="1" applyFill="1" applyBorder="1" applyAlignment="1">
      <alignment horizontal="center" vertical="center"/>
    </xf>
    <xf numFmtId="0" fontId="69" fillId="0" borderId="20" xfId="82" applyFont="1" applyFill="1" applyBorder="1" applyAlignment="1">
      <alignment horizontal="center" vertical="center"/>
    </xf>
    <xf numFmtId="0" fontId="69" fillId="0" borderId="20" xfId="82" applyFont="1" applyFill="1" applyBorder="1" applyAlignment="1">
      <alignment horizontal="right" vertical="center"/>
    </xf>
    <xf numFmtId="0" fontId="69" fillId="0" borderId="21" xfId="82" applyFont="1" applyFill="1" applyBorder="1" applyAlignment="1">
      <alignment horizontal="center" vertical="center"/>
    </xf>
    <xf numFmtId="0" fontId="69" fillId="0" borderId="22" xfId="82" applyFont="1" applyFill="1" applyBorder="1" applyAlignment="1">
      <alignment horizontal="center" vertical="center"/>
    </xf>
    <xf numFmtId="0" fontId="69" fillId="0" borderId="1" xfId="82" applyFont="1" applyFill="1" applyBorder="1" applyAlignment="1">
      <alignment horizontal="right" vertical="center"/>
    </xf>
    <xf numFmtId="0" fontId="69" fillId="0" borderId="23" xfId="82" applyFont="1" applyFill="1" applyBorder="1" applyAlignment="1">
      <alignment horizontal="right" vertical="center"/>
    </xf>
    <xf numFmtId="0" fontId="69" fillId="0" borderId="24" xfId="82" applyFont="1" applyFill="1" applyBorder="1" applyAlignment="1">
      <alignment horizontal="right" vertical="center"/>
    </xf>
    <xf numFmtId="0" fontId="72" fillId="22" borderId="19" xfId="82" applyFont="1" applyFill="1" applyBorder="1" applyAlignment="1">
      <alignment horizontal="right" vertical="center"/>
    </xf>
    <xf numFmtId="0" fontId="72" fillId="22" borderId="20" xfId="82" applyFont="1" applyFill="1" applyBorder="1" applyAlignment="1">
      <alignment horizontal="right" vertical="center"/>
    </xf>
    <xf numFmtId="0" fontId="72" fillId="22" borderId="21" xfId="82" applyFont="1" applyFill="1" applyBorder="1" applyAlignment="1">
      <alignment horizontal="right" vertical="center"/>
    </xf>
    <xf numFmtId="0" fontId="72" fillId="22" borderId="21" xfId="82" applyFont="1" applyFill="1" applyBorder="1" applyAlignment="1">
      <alignment horizontal="center" vertical="center"/>
    </xf>
    <xf numFmtId="0" fontId="74" fillId="22" borderId="18" xfId="82" applyFont="1" applyFill="1" applyBorder="1" applyAlignment="1">
      <alignment vertical="center"/>
    </xf>
    <xf numFmtId="37" fontId="6" fillId="0" borderId="0" xfId="82" applyNumberFormat="1" applyFont="1" applyBorder="1"/>
    <xf numFmtId="0" fontId="72" fillId="22" borderId="0" xfId="82" applyFont="1" applyFill="1" applyBorder="1" applyAlignment="1">
      <alignment vertical="center"/>
    </xf>
    <xf numFmtId="0" fontId="74" fillId="22" borderId="0" xfId="82" applyFont="1" applyFill="1" applyBorder="1" applyAlignment="1">
      <alignment vertical="center"/>
    </xf>
    <xf numFmtId="0" fontId="68" fillId="0" borderId="0" xfId="82" applyFont="1" applyFill="1" applyAlignment="1">
      <alignment horizontal="center"/>
    </xf>
    <xf numFmtId="164" fontId="75" fillId="0" borderId="0" xfId="95" applyNumberFormat="1" applyFont="1" applyFill="1" applyBorder="1" applyAlignment="1">
      <alignment horizontal="right" vertical="center"/>
    </xf>
    <xf numFmtId="164" fontId="75" fillId="0" borderId="25" xfId="95" applyNumberFormat="1" applyFont="1" applyFill="1" applyBorder="1" applyAlignment="1">
      <alignment horizontal="right" vertical="center"/>
    </xf>
    <xf numFmtId="164" fontId="68" fillId="0" borderId="26" xfId="95" applyNumberFormat="1" applyFont="1" applyFill="1" applyBorder="1" applyAlignment="1">
      <alignment vertical="center"/>
    </xf>
    <xf numFmtId="164" fontId="76" fillId="0" borderId="26" xfId="95" applyNumberFormat="1" applyFont="1" applyFill="1" applyBorder="1" applyAlignment="1">
      <alignment horizontal="right" vertical="center"/>
    </xf>
    <xf numFmtId="164" fontId="69" fillId="0" borderId="26" xfId="95" applyNumberFormat="1" applyFont="1" applyFill="1" applyBorder="1" applyAlignment="1">
      <alignment vertical="center"/>
    </xf>
    <xf numFmtId="0" fontId="68" fillId="0" borderId="0" xfId="83" applyFont="1" applyFill="1" applyBorder="1" applyAlignment="1">
      <alignment horizontal="left" vertical="center"/>
    </xf>
    <xf numFmtId="170" fontId="67" fillId="0" borderId="0" xfId="93" applyNumberFormat="1" applyFont="1" applyFill="1" applyBorder="1" applyAlignment="1">
      <alignment horizontal="centerContinuous" vertical="center"/>
    </xf>
    <xf numFmtId="9" fontId="67" fillId="0" borderId="0" xfId="84" applyNumberFormat="1" applyFont="1" applyFill="1" applyBorder="1" applyAlignment="1">
      <alignment horizontal="center" vertical="center"/>
    </xf>
    <xf numFmtId="9" fontId="78" fillId="0" borderId="0" xfId="84" applyNumberFormat="1" applyFont="1" applyFill="1" applyBorder="1" applyAlignment="1">
      <alignment horizontal="center" vertical="center"/>
    </xf>
    <xf numFmtId="0" fontId="78" fillId="0" borderId="0" xfId="84" applyNumberFormat="1" applyFont="1" applyFill="1" applyBorder="1" applyAlignment="1">
      <alignment horizontal="center" vertical="center"/>
    </xf>
    <xf numFmtId="170" fontId="75" fillId="0" borderId="0" xfId="82" applyNumberFormat="1" applyFont="1" applyFill="1" applyBorder="1" applyAlignment="1">
      <alignment horizontal="right" vertical="center"/>
    </xf>
    <xf numFmtId="173" fontId="68" fillId="0" borderId="26" xfId="95" applyNumberFormat="1" applyFont="1" applyFill="1" applyBorder="1" applyAlignment="1">
      <alignment vertical="center"/>
    </xf>
    <xf numFmtId="170" fontId="68" fillId="0" borderId="26" xfId="82" applyNumberFormat="1" applyFont="1" applyFill="1" applyBorder="1" applyAlignment="1">
      <alignment horizontal="right" vertical="center"/>
    </xf>
    <xf numFmtId="169" fontId="76" fillId="0" borderId="0" xfId="84" applyNumberFormat="1" applyFont="1" applyFill="1" applyBorder="1" applyAlignment="1">
      <alignment horizontal="center" vertical="center"/>
    </xf>
    <xf numFmtId="169" fontId="79" fillId="0" borderId="0" xfId="84" applyNumberFormat="1" applyFont="1" applyFill="1" applyBorder="1" applyAlignment="1">
      <alignment horizontal="center" vertical="center"/>
    </xf>
    <xf numFmtId="0" fontId="68" fillId="0" borderId="0" xfId="83" applyFont="1" applyFill="1" applyBorder="1" applyAlignment="1">
      <alignment horizontal="left" vertical="center" indent="1"/>
    </xf>
    <xf numFmtId="170" fontId="68" fillId="0" borderId="0" xfId="93" applyNumberFormat="1" applyFont="1" applyFill="1" applyBorder="1" applyAlignment="1">
      <alignment horizontal="center" vertical="center"/>
    </xf>
    <xf numFmtId="166" fontId="68" fillId="0" borderId="0" xfId="84" applyNumberFormat="1" applyFont="1" applyFill="1" applyBorder="1" applyAlignment="1">
      <alignment horizontal="center" vertical="center"/>
    </xf>
    <xf numFmtId="164" fontId="75" fillId="0" borderId="27" xfId="95" applyNumberFormat="1" applyFont="1" applyFill="1" applyBorder="1" applyAlignment="1">
      <alignment horizontal="right" vertical="center"/>
    </xf>
    <xf numFmtId="164" fontId="75" fillId="0" borderId="28" xfId="95" applyNumberFormat="1" applyFont="1" applyFill="1" applyBorder="1" applyAlignment="1">
      <alignment horizontal="right" vertical="center"/>
    </xf>
    <xf numFmtId="164" fontId="76" fillId="0" borderId="28" xfId="95" applyNumberFormat="1" applyFont="1" applyFill="1" applyBorder="1" applyAlignment="1">
      <alignment horizontal="right" vertical="center"/>
    </xf>
    <xf numFmtId="164" fontId="68" fillId="0" borderId="29" xfId="95" applyNumberFormat="1" applyFont="1" applyFill="1" applyBorder="1" applyAlignment="1">
      <alignment vertical="center"/>
    </xf>
    <xf numFmtId="164" fontId="69" fillId="0" borderId="29" xfId="95" applyNumberFormat="1" applyFont="1" applyFill="1" applyBorder="1" applyAlignment="1">
      <alignment vertical="center"/>
    </xf>
    <xf numFmtId="9" fontId="77" fillId="0" borderId="29" xfId="84" quotePrefix="1" applyNumberFormat="1" applyFont="1" applyFill="1" applyBorder="1" applyAlignment="1">
      <alignment horizontal="center" vertical="center"/>
    </xf>
    <xf numFmtId="164" fontId="68" fillId="0" borderId="27" xfId="95" applyNumberFormat="1" applyFont="1" applyFill="1" applyBorder="1" applyAlignment="1">
      <alignment horizontal="right" vertical="center"/>
    </xf>
    <xf numFmtId="164" fontId="68" fillId="0" borderId="28" xfId="95" applyNumberFormat="1" applyFont="1" applyFill="1" applyBorder="1" applyAlignment="1">
      <alignment horizontal="right" vertical="center"/>
    </xf>
    <xf numFmtId="164" fontId="68" fillId="0" borderId="29" xfId="95" applyNumberFormat="1" applyFont="1" applyFill="1" applyBorder="1" applyAlignment="1">
      <alignment horizontal="right" vertical="center"/>
    </xf>
    <xf numFmtId="170" fontId="68" fillId="0" borderId="0" xfId="95" applyNumberFormat="1" applyFont="1" applyFill="1" applyBorder="1" applyAlignment="1">
      <alignment horizontal="right" vertical="center"/>
    </xf>
    <xf numFmtId="170" fontId="68" fillId="0" borderId="25" xfId="95" applyNumberFormat="1" applyFont="1" applyFill="1" applyBorder="1" applyAlignment="1">
      <alignment horizontal="right" vertical="center"/>
    </xf>
    <xf numFmtId="164" fontId="76" fillId="0" borderId="29" xfId="95" applyNumberFormat="1" applyFont="1" applyFill="1" applyBorder="1" applyAlignment="1">
      <alignment vertical="center"/>
    </xf>
    <xf numFmtId="0" fontId="68" fillId="0" borderId="0" xfId="82" applyFont="1" applyFill="1" applyBorder="1" applyAlignment="1">
      <alignment horizontal="left" vertical="center"/>
    </xf>
    <xf numFmtId="7" fontId="76" fillId="0" borderId="0" xfId="84" applyNumberFormat="1" applyFont="1" applyFill="1" applyBorder="1" applyAlignment="1">
      <alignment horizontal="center" vertical="center"/>
    </xf>
    <xf numFmtId="7" fontId="79" fillId="0" borderId="0" xfId="84" applyNumberFormat="1" applyFont="1" applyFill="1" applyBorder="1" applyAlignment="1">
      <alignment horizontal="center" vertical="center"/>
    </xf>
    <xf numFmtId="170" fontId="68" fillId="0" borderId="26" xfId="95" applyNumberFormat="1" applyFont="1" applyFill="1" applyBorder="1" applyAlignment="1">
      <alignment horizontal="right" vertical="center"/>
    </xf>
    <xf numFmtId="164" fontId="76" fillId="0" borderId="29" xfId="95" applyNumberFormat="1" applyFont="1" applyFill="1" applyBorder="1" applyAlignment="1">
      <alignment horizontal="right" vertical="center"/>
    </xf>
    <xf numFmtId="164" fontId="80" fillId="0" borderId="29" xfId="95" applyNumberFormat="1" applyFont="1" applyFill="1" applyBorder="1" applyAlignment="1">
      <alignment horizontal="right" vertical="center"/>
    </xf>
    <xf numFmtId="9" fontId="77" fillId="0" borderId="29" xfId="84" applyNumberFormat="1" applyFont="1" applyFill="1" applyBorder="1" applyAlignment="1">
      <alignment horizontal="center" vertical="center" wrapText="1"/>
    </xf>
    <xf numFmtId="164" fontId="80" fillId="0" borderId="26" xfId="95" applyNumberFormat="1" applyFont="1" applyFill="1" applyBorder="1" applyAlignment="1">
      <alignment horizontal="right" vertical="center"/>
    </xf>
    <xf numFmtId="39" fontId="75" fillId="0" borderId="0" xfId="95" applyNumberFormat="1" applyFont="1" applyFill="1" applyBorder="1" applyAlignment="1">
      <alignment horizontal="right" vertical="center"/>
    </xf>
    <xf numFmtId="39" fontId="75" fillId="0" borderId="25" xfId="95" applyNumberFormat="1" applyFont="1" applyFill="1" applyBorder="1" applyAlignment="1">
      <alignment horizontal="right" vertical="center"/>
    </xf>
    <xf numFmtId="39" fontId="76" fillId="0" borderId="25" xfId="95" applyNumberFormat="1" applyFont="1" applyFill="1" applyBorder="1" applyAlignment="1">
      <alignment horizontal="right" vertical="center"/>
    </xf>
    <xf numFmtId="39" fontId="68" fillId="0" borderId="26" xfId="95" applyNumberFormat="1" applyFont="1" applyFill="1" applyBorder="1" applyAlignment="1">
      <alignment vertical="center"/>
    </xf>
    <xf numFmtId="39" fontId="76" fillId="0" borderId="26" xfId="95" applyNumberFormat="1" applyFont="1" applyFill="1" applyBorder="1" applyAlignment="1">
      <alignment horizontal="right" vertical="center"/>
    </xf>
    <xf numFmtId="37" fontId="68" fillId="0" borderId="26" xfId="95" applyNumberFormat="1" applyFont="1" applyFill="1" applyBorder="1" applyAlignment="1">
      <alignment vertical="center"/>
    </xf>
    <xf numFmtId="0" fontId="74" fillId="22" borderId="19" xfId="82" applyFont="1" applyFill="1" applyBorder="1" applyAlignment="1">
      <alignment horizontal="right" vertical="center"/>
    </xf>
    <xf numFmtId="0" fontId="74" fillId="22" borderId="20" xfId="82" applyFont="1" applyFill="1" applyBorder="1" applyAlignment="1">
      <alignment horizontal="right" vertical="center"/>
    </xf>
    <xf numFmtId="0" fontId="74" fillId="22" borderId="21" xfId="82" applyFont="1" applyFill="1" applyBorder="1" applyAlignment="1">
      <alignment horizontal="center" vertical="center"/>
    </xf>
    <xf numFmtId="37" fontId="82" fillId="0" borderId="0" xfId="95" applyNumberFormat="1" applyFont="1" applyFill="1" applyBorder="1" applyAlignment="1">
      <alignment horizontal="right" vertical="center"/>
    </xf>
    <xf numFmtId="37" fontId="82" fillId="0" borderId="25" xfId="95" applyNumberFormat="1" applyFont="1" applyFill="1" applyBorder="1" applyAlignment="1">
      <alignment horizontal="right" vertical="center"/>
    </xf>
    <xf numFmtId="174" fontId="82" fillId="0" borderId="0" xfId="95" applyNumberFormat="1" applyFont="1" applyFill="1" applyBorder="1" applyAlignment="1">
      <alignment horizontal="right" vertical="center"/>
    </xf>
    <xf numFmtId="174" fontId="82" fillId="0" borderId="25" xfId="95" applyNumberFormat="1" applyFont="1" applyFill="1" applyBorder="1" applyAlignment="1">
      <alignment horizontal="right" vertical="center"/>
    </xf>
    <xf numFmtId="0" fontId="68" fillId="0" borderId="19" xfId="82" applyFont="1" applyFill="1" applyBorder="1" applyAlignment="1">
      <alignment horizontal="left" vertical="center"/>
    </xf>
    <xf numFmtId="170" fontId="68" fillId="0" borderId="19" xfId="95" applyNumberFormat="1" applyFont="1" applyFill="1" applyBorder="1" applyAlignment="1">
      <alignment horizontal="right" vertical="center"/>
    </xf>
    <xf numFmtId="173" fontId="68" fillId="0" borderId="19" xfId="95" applyNumberFormat="1" applyFont="1" applyFill="1" applyBorder="1" applyAlignment="1">
      <alignment vertical="center"/>
    </xf>
    <xf numFmtId="9" fontId="77" fillId="0" borderId="19" xfId="84" applyNumberFormat="1" applyFont="1" applyFill="1" applyBorder="1" applyAlignment="1">
      <alignment horizontal="center" vertical="center"/>
    </xf>
    <xf numFmtId="0" fontId="68" fillId="0" borderId="19" xfId="82" applyFont="1" applyBorder="1" applyAlignment="1">
      <alignment horizontal="left" vertical="center"/>
    </xf>
    <xf numFmtId="37" fontId="68" fillId="0" borderId="0" xfId="82" applyNumberFormat="1" applyFont="1" applyBorder="1"/>
    <xf numFmtId="37" fontId="6" fillId="20" borderId="0" xfId="82" applyNumberFormat="1" applyFont="1" applyFill="1"/>
    <xf numFmtId="170" fontId="68" fillId="0" borderId="25" xfId="82" applyNumberFormat="1" applyFont="1" applyFill="1" applyBorder="1" applyAlignment="1">
      <alignment horizontal="right" vertical="center"/>
    </xf>
    <xf numFmtId="166" fontId="76" fillId="0" borderId="0" xfId="84" applyNumberFormat="1" applyFont="1" applyFill="1" applyBorder="1" applyAlignment="1">
      <alignment horizontal="center" vertical="center"/>
    </xf>
    <xf numFmtId="164" fontId="1" fillId="18" borderId="0" xfId="0" applyNumberFormat="1" applyFont="1" applyFill="1"/>
    <xf numFmtId="166" fontId="6" fillId="18" borderId="0" xfId="0" applyNumberFormat="1" applyFont="1" applyFill="1"/>
    <xf numFmtId="165" fontId="9" fillId="18" borderId="0" xfId="0" applyNumberFormat="1" applyFont="1" applyFill="1"/>
    <xf numFmtId="165" fontId="0" fillId="18" borderId="0" xfId="0" applyNumberFormat="1" applyFill="1"/>
    <xf numFmtId="164" fontId="6" fillId="18" borderId="0" xfId="0" applyNumberFormat="1" applyFont="1" applyFill="1"/>
    <xf numFmtId="0" fontId="9" fillId="18" borderId="0" xfId="0" applyFont="1" applyFill="1"/>
    <xf numFmtId="37" fontId="0" fillId="18" borderId="0" xfId="0" applyNumberFormat="1" applyFill="1"/>
    <xf numFmtId="37" fontId="6" fillId="18" borderId="0" xfId="0" applyNumberFormat="1" applyFont="1" applyFill="1"/>
    <xf numFmtId="37" fontId="10" fillId="18" borderId="0" xfId="0" applyNumberFormat="1" applyFont="1" applyFill="1"/>
    <xf numFmtId="166" fontId="10" fillId="18" borderId="0" xfId="0" applyNumberFormat="1" applyFont="1" applyFill="1"/>
    <xf numFmtId="0" fontId="12" fillId="0" borderId="0" xfId="0" applyFont="1" applyFill="1" applyBorder="1"/>
    <xf numFmtId="0" fontId="5" fillId="0" borderId="0" xfId="0" applyFont="1" applyFill="1" applyBorder="1"/>
    <xf numFmtId="0" fontId="44" fillId="0" borderId="0" xfId="82" applyFont="1" applyAlignment="1">
      <alignment horizontal="left"/>
    </xf>
    <xf numFmtId="170" fontId="68" fillId="0" borderId="30" xfId="82" applyNumberFormat="1" applyFont="1" applyFill="1" applyBorder="1" applyAlignment="1">
      <alignment horizontal="right" vertical="center"/>
    </xf>
    <xf numFmtId="37" fontId="10" fillId="0" borderId="0" xfId="82" applyNumberFormat="1" applyFont="1" applyBorder="1"/>
    <xf numFmtId="37" fontId="10" fillId="0" borderId="0" xfId="82" applyNumberFormat="1" applyFont="1"/>
    <xf numFmtId="164" fontId="0" fillId="18" borderId="0" xfId="0" applyNumberFormat="1" applyFill="1" applyBorder="1"/>
    <xf numFmtId="7" fontId="13" fillId="18" borderId="0" xfId="0" applyNumberFormat="1" applyFont="1" applyFill="1"/>
    <xf numFmtId="164" fontId="13" fillId="18" borderId="0" xfId="0" applyNumberFormat="1" applyFont="1" applyFill="1"/>
    <xf numFmtId="165" fontId="13" fillId="18" borderId="0" xfId="0" applyNumberFormat="1" applyFont="1" applyFill="1"/>
    <xf numFmtId="168" fontId="0" fillId="18" borderId="0" xfId="0" applyNumberFormat="1" applyFill="1"/>
    <xf numFmtId="166" fontId="83" fillId="18" borderId="0" xfId="0" applyNumberFormat="1" applyFont="1" applyFill="1"/>
    <xf numFmtId="166" fontId="83" fillId="0" borderId="0" xfId="0" applyNumberFormat="1" applyFont="1" applyFill="1"/>
    <xf numFmtId="164" fontId="83" fillId="0" borderId="0" xfId="0" applyNumberFormat="1" applyFont="1" applyFill="1"/>
    <xf numFmtId="37" fontId="83" fillId="0" borderId="0" xfId="0" applyNumberFormat="1" applyFont="1" applyFill="1"/>
    <xf numFmtId="164" fontId="84" fillId="0" borderId="0" xfId="0" applyNumberFormat="1" applyFont="1" applyFill="1"/>
    <xf numFmtId="37" fontId="13" fillId="18" borderId="0" xfId="0" applyNumberFormat="1" applyFont="1" applyFill="1"/>
    <xf numFmtId="9" fontId="13" fillId="18" borderId="0" xfId="0" applyNumberFormat="1" applyFont="1" applyFill="1"/>
    <xf numFmtId="168" fontId="44" fillId="0" borderId="0" xfId="109" applyNumberFormat="1" applyFont="1"/>
    <xf numFmtId="170" fontId="6" fillId="23" borderId="0" xfId="0" applyNumberFormat="1" applyFont="1" applyFill="1"/>
    <xf numFmtId="170" fontId="1" fillId="0" borderId="0" xfId="0" applyNumberFormat="1" applyFont="1" applyFill="1"/>
    <xf numFmtId="170" fontId="10" fillId="24" borderId="0" xfId="0" applyNumberFormat="1" applyFont="1" applyFill="1"/>
    <xf numFmtId="170" fontId="0" fillId="0" borderId="0" xfId="0" applyNumberFormat="1"/>
    <xf numFmtId="170" fontId="13" fillId="18" borderId="0" xfId="0" applyNumberFormat="1" applyFont="1" applyFill="1"/>
    <xf numFmtId="0" fontId="0" fillId="25" borderId="0" xfId="109" applyFont="1" applyFill="1"/>
    <xf numFmtId="164" fontId="68" fillId="0" borderId="28" xfId="95" applyNumberFormat="1" applyFont="1" applyFill="1" applyBorder="1" applyAlignment="1">
      <alignment vertical="center"/>
    </xf>
    <xf numFmtId="39" fontId="68" fillId="0" borderId="25" xfId="95" applyNumberFormat="1" applyFont="1" applyFill="1" applyBorder="1" applyAlignment="1">
      <alignment vertical="center"/>
    </xf>
    <xf numFmtId="37" fontId="68" fillId="0" borderId="25" xfId="95" applyNumberFormat="1" applyFont="1" applyFill="1" applyBorder="1" applyAlignment="1">
      <alignment vertical="center"/>
    </xf>
    <xf numFmtId="0" fontId="0" fillId="25" borderId="0" xfId="0" applyFill="1"/>
    <xf numFmtId="166" fontId="6" fillId="25" borderId="0" xfId="0" applyNumberFormat="1" applyFont="1" applyFill="1"/>
    <xf numFmtId="0" fontId="0" fillId="25" borderId="0" xfId="0" applyFill="1" applyBorder="1"/>
    <xf numFmtId="0" fontId="6" fillId="25" borderId="0" xfId="0" applyFont="1" applyFill="1"/>
    <xf numFmtId="37" fontId="0" fillId="25" borderId="0" xfId="0" applyNumberFormat="1" applyFill="1"/>
    <xf numFmtId="164" fontId="3" fillId="0" borderId="0" xfId="0" applyNumberFormat="1" applyFont="1" applyBorder="1"/>
    <xf numFmtId="0" fontId="0" fillId="0" borderId="0" xfId="109" applyFont="1"/>
    <xf numFmtId="164" fontId="0" fillId="0" borderId="0" xfId="0" applyNumberFormat="1" applyAlignment="1">
      <alignment horizontal="right"/>
    </xf>
    <xf numFmtId="164" fontId="7" fillId="0" borderId="0" xfId="0" applyNumberFormat="1" applyFont="1" applyAlignment="1">
      <alignment horizontal="right"/>
    </xf>
    <xf numFmtId="173" fontId="68" fillId="0" borderId="25" xfId="95" applyNumberFormat="1" applyFont="1" applyFill="1" applyBorder="1" applyAlignment="1">
      <alignment vertical="center"/>
    </xf>
    <xf numFmtId="49" fontId="0" fillId="0" borderId="0" xfId="0" applyNumberFormat="1"/>
    <xf numFmtId="164" fontId="68" fillId="0" borderId="25" xfId="95" applyNumberFormat="1" applyFont="1" applyFill="1" applyBorder="1" applyAlignment="1">
      <alignment vertical="center"/>
    </xf>
    <xf numFmtId="164" fontId="68" fillId="0" borderId="25" xfId="95" applyNumberFormat="1" applyFont="1" applyFill="1" applyBorder="1" applyAlignment="1">
      <alignment horizontal="right" vertical="center"/>
    </xf>
    <xf numFmtId="0" fontId="8" fillId="18" borderId="0" xfId="0" applyFont="1" applyFill="1"/>
    <xf numFmtId="168" fontId="13" fillId="18" borderId="0" xfId="0" applyNumberFormat="1" applyFont="1" applyFill="1"/>
    <xf numFmtId="169" fontId="13" fillId="18" borderId="0" xfId="0" applyNumberFormat="1" applyFont="1" applyFill="1"/>
    <xf numFmtId="7" fontId="5" fillId="23" borderId="0" xfId="0" applyNumberFormat="1" applyFont="1" applyFill="1"/>
    <xf numFmtId="7" fontId="1" fillId="23" borderId="0" xfId="0" applyNumberFormat="1" applyFont="1" applyFill="1"/>
    <xf numFmtId="165" fontId="0" fillId="0" borderId="0" xfId="0" applyNumberFormat="1" applyFill="1" applyAlignment="1">
      <alignment horizontal="right"/>
    </xf>
    <xf numFmtId="0" fontId="86" fillId="0" borderId="0" xfId="83" applyFont="1" applyFill="1" applyBorder="1" applyAlignment="1">
      <alignment horizontal="left" vertical="center"/>
    </xf>
    <xf numFmtId="0" fontId="72" fillId="22" borderId="0" xfId="82" applyFont="1" applyFill="1" applyBorder="1" applyAlignment="1">
      <alignment horizontal="right" vertical="center"/>
    </xf>
    <xf numFmtId="170" fontId="68" fillId="0" borderId="31" xfId="82" applyNumberFormat="1" applyFont="1" applyFill="1" applyBorder="1" applyAlignment="1">
      <alignment horizontal="right" vertical="center"/>
    </xf>
    <xf numFmtId="169" fontId="68" fillId="0" borderId="0" xfId="84" applyNumberFormat="1" applyFont="1" applyFill="1" applyBorder="1" applyAlignment="1">
      <alignment horizontal="center" vertical="center"/>
    </xf>
    <xf numFmtId="0" fontId="69" fillId="0" borderId="0" xfId="82" applyFont="1" applyFill="1" applyBorder="1" applyAlignment="1">
      <alignment horizontal="right" vertical="center"/>
    </xf>
    <xf numFmtId="0" fontId="69" fillId="0" borderId="21" xfId="82" applyFont="1" applyFill="1" applyBorder="1" applyAlignment="1">
      <alignment horizontal="right" vertical="center"/>
    </xf>
    <xf numFmtId="164" fontId="82" fillId="0" borderId="0" xfId="95" applyNumberFormat="1" applyFont="1" applyFill="1" applyBorder="1" applyAlignment="1">
      <alignment horizontal="right" vertical="center"/>
    </xf>
    <xf numFmtId="164" fontId="82" fillId="0" borderId="25" xfId="95" applyNumberFormat="1" applyFont="1" applyFill="1" applyBorder="1" applyAlignment="1">
      <alignment horizontal="right" vertical="center"/>
    </xf>
    <xf numFmtId="37" fontId="6" fillId="26" borderId="0" xfId="82" applyNumberFormat="1" applyFont="1" applyFill="1"/>
    <xf numFmtId="164" fontId="76" fillId="0" borderId="25" xfId="95" applyNumberFormat="1" applyFont="1" applyFill="1" applyBorder="1" applyAlignment="1">
      <alignment horizontal="right" vertical="center"/>
    </xf>
    <xf numFmtId="9" fontId="76" fillId="0" borderId="25" xfId="95" applyNumberFormat="1" applyFont="1" applyFill="1" applyBorder="1" applyAlignment="1">
      <alignment horizontal="right" vertical="center"/>
    </xf>
    <xf numFmtId="37" fontId="76" fillId="0" borderId="25" xfId="95" applyNumberFormat="1" applyFont="1" applyFill="1" applyBorder="1" applyAlignment="1">
      <alignment horizontal="right" vertical="center"/>
    </xf>
    <xf numFmtId="170" fontId="68" fillId="0" borderId="0" xfId="93" applyNumberFormat="1" applyFont="1" applyFill="1" applyBorder="1" applyAlignment="1">
      <alignment horizontal="centerContinuous" vertical="center"/>
    </xf>
    <xf numFmtId="166" fontId="79" fillId="0" borderId="0" xfId="84" applyNumberFormat="1" applyFont="1" applyFill="1" applyBorder="1" applyAlignment="1">
      <alignment horizontal="center" vertical="center"/>
    </xf>
    <xf numFmtId="165" fontId="5" fillId="0" borderId="0" xfId="0" applyNumberFormat="1" applyFont="1" applyFill="1" applyBorder="1"/>
    <xf numFmtId="165" fontId="1" fillId="0" borderId="0" xfId="0" applyNumberFormat="1" applyFont="1" applyFill="1" applyBorder="1"/>
    <xf numFmtId="165" fontId="5" fillId="23" borderId="0" xfId="0" applyNumberFormat="1" applyFont="1" applyFill="1" applyBorder="1"/>
    <xf numFmtId="165" fontId="0" fillId="0" borderId="0" xfId="0" applyNumberFormat="1" applyBorder="1"/>
    <xf numFmtId="165" fontId="0" fillId="0" borderId="0" xfId="0" applyNumberFormat="1" applyFill="1" applyBorder="1"/>
    <xf numFmtId="165" fontId="6" fillId="0" borderId="0" xfId="82" applyNumberFormat="1" applyFont="1"/>
    <xf numFmtId="170" fontId="68" fillId="0" borderId="0" xfId="82" applyNumberFormat="1" applyFont="1" applyFill="1" applyBorder="1" applyAlignment="1">
      <alignment horizontal="right" vertical="center"/>
    </xf>
    <xf numFmtId="0" fontId="72" fillId="22" borderId="18" xfId="82" applyFont="1" applyFill="1" applyBorder="1" applyAlignment="1">
      <alignment vertical="center"/>
    </xf>
    <xf numFmtId="0" fontId="68" fillId="0" borderId="32" xfId="82" applyFont="1" applyFill="1" applyBorder="1" applyAlignment="1">
      <alignment vertical="center"/>
    </xf>
    <xf numFmtId="0" fontId="68" fillId="0" borderId="32" xfId="82" applyFont="1" applyFill="1" applyBorder="1" applyAlignment="1">
      <alignment horizontal="left" vertical="center" indent="1"/>
    </xf>
    <xf numFmtId="0" fontId="68" fillId="0" borderId="33" xfId="82" applyFont="1" applyFill="1" applyBorder="1" applyAlignment="1">
      <alignment vertical="center"/>
    </xf>
    <xf numFmtId="0" fontId="68" fillId="0" borderId="33" xfId="82" applyFont="1" applyFill="1" applyBorder="1" applyAlignment="1">
      <alignment horizontal="left" vertical="center"/>
    </xf>
    <xf numFmtId="0" fontId="68" fillId="0" borderId="32" xfId="82" applyFont="1" applyFill="1" applyBorder="1" applyAlignment="1">
      <alignment horizontal="left" vertical="center"/>
    </xf>
    <xf numFmtId="170" fontId="82" fillId="0" borderId="0" xfId="95" applyNumberFormat="1" applyFont="1" applyFill="1" applyBorder="1" applyAlignment="1">
      <alignment horizontal="right" vertical="center"/>
    </xf>
    <xf numFmtId="170" fontId="82" fillId="0" borderId="25" xfId="95" applyNumberFormat="1" applyFont="1" applyFill="1" applyBorder="1" applyAlignment="1">
      <alignment horizontal="right" vertical="center"/>
    </xf>
    <xf numFmtId="166" fontId="76" fillId="0" borderId="25" xfId="95" applyNumberFormat="1" applyFont="1" applyFill="1" applyBorder="1" applyAlignment="1">
      <alignment horizontal="right" vertical="center"/>
    </xf>
    <xf numFmtId="174" fontId="82" fillId="0" borderId="34" xfId="95" applyNumberFormat="1" applyFont="1" applyFill="1" applyBorder="1" applyAlignment="1">
      <alignment horizontal="right" vertical="center"/>
    </xf>
    <xf numFmtId="164" fontId="82" fillId="0" borderId="34" xfId="95" applyNumberFormat="1" applyFont="1" applyFill="1" applyBorder="1" applyAlignment="1">
      <alignment horizontal="right" vertical="center"/>
    </xf>
    <xf numFmtId="164" fontId="82" fillId="0" borderId="35" xfId="95" applyNumberFormat="1" applyFont="1" applyFill="1" applyBorder="1" applyAlignment="1">
      <alignment horizontal="right" vertical="center"/>
    </xf>
    <xf numFmtId="164" fontId="68" fillId="0" borderId="36" xfId="95" applyNumberFormat="1" applyFont="1" applyFill="1" applyBorder="1" applyAlignment="1">
      <alignment vertical="center"/>
    </xf>
    <xf numFmtId="170" fontId="68" fillId="0" borderId="36" xfId="95" applyNumberFormat="1" applyFont="1" applyFill="1" applyBorder="1" applyAlignment="1">
      <alignment horizontal="right" vertical="center"/>
    </xf>
    <xf numFmtId="9" fontId="77" fillId="0" borderId="35" xfId="84" applyNumberFormat="1" applyFont="1" applyFill="1" applyBorder="1" applyAlignment="1">
      <alignment horizontal="center" vertical="center"/>
    </xf>
    <xf numFmtId="0" fontId="81" fillId="0" borderId="34" xfId="0" applyFont="1" applyBorder="1" applyAlignment="1">
      <alignment horizontal="left" vertical="center" wrapText="1"/>
    </xf>
    <xf numFmtId="0" fontId="0" fillId="27" borderId="0" xfId="0" applyFill="1"/>
    <xf numFmtId="165" fontId="5" fillId="0" borderId="0" xfId="0" applyNumberFormat="1" applyFont="1" applyBorder="1"/>
    <xf numFmtId="7" fontId="5" fillId="0" borderId="0" xfId="0" applyNumberFormat="1" applyFont="1" applyFill="1" applyBorder="1"/>
    <xf numFmtId="0" fontId="0" fillId="0" borderId="0" xfId="0" applyAlignment="1">
      <alignment horizontal="left"/>
    </xf>
    <xf numFmtId="164" fontId="76" fillId="0" borderId="35" xfId="95" applyNumberFormat="1" applyFont="1" applyFill="1" applyBorder="1" applyAlignment="1">
      <alignment horizontal="right" vertical="center"/>
    </xf>
    <xf numFmtId="164" fontId="90" fillId="0" borderId="0" xfId="0" applyNumberFormat="1" applyFont="1"/>
    <xf numFmtId="164" fontId="91" fillId="0" borderId="0" xfId="0" applyNumberFormat="1" applyFont="1"/>
    <xf numFmtId="0" fontId="48" fillId="0" borderId="0" xfId="82" applyFont="1" applyAlignment="1">
      <alignment horizontal="center"/>
    </xf>
    <xf numFmtId="0" fontId="1" fillId="18" borderId="0" xfId="0" applyFont="1" applyFill="1"/>
    <xf numFmtId="185" fontId="1" fillId="23" borderId="0" xfId="0" applyNumberFormat="1" applyFont="1" applyFill="1"/>
    <xf numFmtId="9" fontId="77" fillId="0" borderId="26" xfId="84" applyNumberFormat="1" applyFont="1" applyFill="1" applyBorder="1" applyAlignment="1">
      <alignment horizontal="center" vertical="center"/>
    </xf>
    <xf numFmtId="9" fontId="77" fillId="0" borderId="29" xfId="84" applyNumberFormat="1" applyFont="1" applyFill="1" applyBorder="1" applyAlignment="1">
      <alignment horizontal="center" vertical="center"/>
    </xf>
    <xf numFmtId="0" fontId="68" fillId="0" borderId="37" xfId="82" applyFont="1" applyFill="1" applyBorder="1" applyAlignment="1">
      <alignment horizontal="left" vertical="center"/>
    </xf>
    <xf numFmtId="0" fontId="68" fillId="0" borderId="0" xfId="82" applyFont="1" applyBorder="1" applyAlignment="1">
      <alignment horizontal="left" vertical="center"/>
    </xf>
    <xf numFmtId="9" fontId="77" fillId="0" borderId="26" xfId="84" quotePrefix="1" applyNumberFormat="1" applyFont="1" applyFill="1" applyBorder="1" applyAlignment="1">
      <alignment horizontal="center" vertical="center"/>
    </xf>
    <xf numFmtId="9" fontId="77" fillId="0" borderId="24" xfId="84" quotePrefix="1" applyNumberFormat="1" applyFont="1" applyFill="1" applyBorder="1" applyAlignment="1">
      <alignment horizontal="center" vertical="center"/>
    </xf>
    <xf numFmtId="0" fontId="74" fillId="22" borderId="19" xfId="82" applyFont="1" applyFill="1" applyBorder="1" applyAlignment="1">
      <alignment vertical="center"/>
    </xf>
    <xf numFmtId="0" fontId="68" fillId="0" borderId="27" xfId="82" applyFont="1" applyBorder="1" applyAlignment="1">
      <alignment horizontal="left" vertical="center"/>
    </xf>
    <xf numFmtId="0" fontId="68" fillId="0" borderId="27" xfId="82" applyFont="1" applyBorder="1" applyAlignment="1">
      <alignment horizontal="left" vertical="center" wrapText="1"/>
    </xf>
    <xf numFmtId="171" fontId="73" fillId="22" borderId="20" xfId="54" applyNumberFormat="1" applyFont="1" applyFill="1" applyBorder="1" applyAlignment="1">
      <alignment horizontal="center" vertical="center"/>
    </xf>
    <xf numFmtId="166" fontId="1" fillId="0" borderId="0" xfId="0" applyNumberFormat="1" applyFont="1" applyFill="1"/>
    <xf numFmtId="170" fontId="1" fillId="24" borderId="0" xfId="0" applyNumberFormat="1" applyFont="1" applyFill="1"/>
    <xf numFmtId="7" fontId="1" fillId="0" borderId="0" xfId="0" applyNumberFormat="1" applyFont="1" applyFill="1"/>
    <xf numFmtId="0" fontId="1" fillId="0" borderId="0" xfId="0" applyFont="1" applyAlignment="1">
      <alignment horizontal="left" indent="1"/>
    </xf>
    <xf numFmtId="166" fontId="1" fillId="0" borderId="0" xfId="0" applyNumberFormat="1" applyFont="1"/>
    <xf numFmtId="165" fontId="1" fillId="0" borderId="0" xfId="0" applyNumberFormat="1" applyFont="1" applyFill="1"/>
    <xf numFmtId="0" fontId="1" fillId="25" borderId="0" xfId="0" applyFont="1" applyFill="1"/>
    <xf numFmtId="164" fontId="92" fillId="0" borderId="0" xfId="0" applyNumberFormat="1" applyFont="1" applyFill="1"/>
    <xf numFmtId="0" fontId="1" fillId="0" borderId="0" xfId="0" applyFont="1" applyFill="1"/>
    <xf numFmtId="166" fontId="90" fillId="0" borderId="0" xfId="0" applyNumberFormat="1" applyFont="1" applyFill="1"/>
    <xf numFmtId="173" fontId="68" fillId="0" borderId="36" xfId="95" applyNumberFormat="1" applyFont="1" applyFill="1" applyBorder="1" applyAlignment="1">
      <alignment vertical="center"/>
    </xf>
    <xf numFmtId="166" fontId="90" fillId="24" borderId="0" xfId="0" applyNumberFormat="1" applyFont="1" applyFill="1"/>
    <xf numFmtId="164" fontId="91" fillId="28" borderId="0" xfId="0" applyNumberFormat="1" applyFont="1" applyFill="1"/>
    <xf numFmtId="164" fontId="90" fillId="28" borderId="0" xfId="0" applyNumberFormat="1" applyFont="1" applyFill="1"/>
    <xf numFmtId="37" fontId="91" fillId="28" borderId="0" xfId="0" applyNumberFormat="1" applyFont="1" applyFill="1"/>
    <xf numFmtId="164" fontId="6" fillId="0" borderId="0" xfId="82" applyNumberFormat="1" applyFont="1"/>
    <xf numFmtId="0" fontId="93" fillId="0" borderId="0" xfId="82" applyFont="1"/>
    <xf numFmtId="164" fontId="94" fillId="0" borderId="0" xfId="82" applyNumberFormat="1" applyFont="1"/>
    <xf numFmtId="169" fontId="94" fillId="0" borderId="0" xfId="82" applyNumberFormat="1" applyFont="1"/>
    <xf numFmtId="166" fontId="1" fillId="23" borderId="0" xfId="0" applyNumberFormat="1" applyFont="1" applyFill="1"/>
    <xf numFmtId="0" fontId="1" fillId="0" borderId="0" xfId="0" applyFont="1" applyBorder="1"/>
    <xf numFmtId="0" fontId="1" fillId="0" borderId="0" xfId="0" applyFont="1" applyFill="1" applyBorder="1"/>
    <xf numFmtId="170" fontId="0" fillId="0" borderId="0" xfId="0" applyNumberFormat="1" applyBorder="1"/>
    <xf numFmtId="0" fontId="1" fillId="0" borderId="0" xfId="0" applyFont="1" applyFill="1" applyBorder="1" applyAlignment="1">
      <alignment horizontal="left" indent="1"/>
    </xf>
    <xf numFmtId="0" fontId="7" fillId="0" borderId="0" xfId="0" applyFont="1" applyAlignment="1">
      <alignment horizontal="centerContinuous"/>
    </xf>
    <xf numFmtId="186" fontId="0" fillId="0" borderId="0" xfId="0" applyNumberFormat="1" applyAlignment="1">
      <alignment horizontal="center"/>
    </xf>
    <xf numFmtId="0" fontId="11" fillId="0" borderId="19" xfId="0" applyFont="1" applyBorder="1" applyAlignment="1">
      <alignment horizontal="centerContinuous"/>
    </xf>
    <xf numFmtId="170" fontId="1" fillId="29" borderId="0" xfId="0" applyNumberFormat="1" applyFont="1" applyFill="1"/>
    <xf numFmtId="170" fontId="90" fillId="29" borderId="0" xfId="0" applyNumberFormat="1" applyFont="1" applyFill="1"/>
    <xf numFmtId="170" fontId="5" fillId="0" borderId="0" xfId="0" applyNumberFormat="1" applyFont="1"/>
    <xf numFmtId="170" fontId="0" fillId="24" borderId="0" xfId="0" applyNumberFormat="1" applyFill="1"/>
    <xf numFmtId="170" fontId="0" fillId="23" borderId="0" xfId="0" applyNumberFormat="1" applyFill="1"/>
    <xf numFmtId="166" fontId="6" fillId="30" borderId="0" xfId="0" applyNumberFormat="1" applyFont="1" applyFill="1"/>
    <xf numFmtId="170" fontId="0" fillId="0" borderId="0" xfId="0" applyNumberFormat="1" applyFill="1"/>
    <xf numFmtId="0" fontId="1" fillId="0" borderId="0" xfId="0" applyFont="1" applyFill="1" applyAlignment="1">
      <alignment horizontal="left" indent="1"/>
    </xf>
    <xf numFmtId="166" fontId="90" fillId="23" borderId="0" xfId="0" applyNumberFormat="1" applyFont="1" applyFill="1"/>
    <xf numFmtId="0" fontId="68" fillId="0" borderId="39" xfId="82" applyFont="1" applyFill="1" applyBorder="1" applyAlignment="1">
      <alignment horizontal="left" vertical="center"/>
    </xf>
    <xf numFmtId="174" fontId="82" fillId="0" borderId="40" xfId="95" applyNumberFormat="1" applyFont="1" applyFill="1" applyBorder="1" applyAlignment="1">
      <alignment horizontal="right" vertical="center"/>
    </xf>
    <xf numFmtId="164" fontId="82" fillId="0" borderId="40" xfId="95" applyNumberFormat="1" applyFont="1" applyFill="1" applyBorder="1" applyAlignment="1">
      <alignment horizontal="right" vertical="center"/>
    </xf>
    <xf numFmtId="164" fontId="82" fillId="0" borderId="41" xfId="95" applyNumberFormat="1" applyFont="1" applyFill="1" applyBorder="1" applyAlignment="1">
      <alignment horizontal="right" vertical="center"/>
    </xf>
    <xf numFmtId="164" fontId="76" fillId="0" borderId="41" xfId="95" applyNumberFormat="1" applyFont="1" applyFill="1" applyBorder="1" applyAlignment="1">
      <alignment horizontal="right" vertical="center"/>
    </xf>
    <xf numFmtId="164" fontId="68" fillId="0" borderId="41" xfId="95" applyNumberFormat="1" applyFont="1" applyFill="1" applyBorder="1" applyAlignment="1">
      <alignment vertical="center"/>
    </xf>
    <xf numFmtId="170" fontId="68" fillId="0" borderId="42" xfId="95" applyNumberFormat="1" applyFont="1" applyFill="1" applyBorder="1" applyAlignment="1">
      <alignment horizontal="right" vertical="center"/>
    </xf>
    <xf numFmtId="173" fontId="68" fillId="0" borderId="42" xfId="95" applyNumberFormat="1" applyFont="1" applyFill="1" applyBorder="1" applyAlignment="1">
      <alignment vertical="center"/>
    </xf>
    <xf numFmtId="9" fontId="77" fillId="0" borderId="41" xfId="84" applyNumberFormat="1" applyFont="1" applyFill="1" applyBorder="1" applyAlignment="1">
      <alignment horizontal="center" vertical="center"/>
    </xf>
    <xf numFmtId="0" fontId="0" fillId="0" borderId="40" xfId="0" applyBorder="1" applyAlignment="1">
      <alignment horizontal="left" vertical="center" wrapText="1"/>
    </xf>
    <xf numFmtId="169" fontId="95" fillId="0" borderId="0" xfId="84" applyNumberFormat="1" applyFont="1" applyFill="1" applyBorder="1" applyAlignment="1">
      <alignment horizontal="center" vertical="center"/>
    </xf>
    <xf numFmtId="170" fontId="90" fillId="24" borderId="0" xfId="0" applyNumberFormat="1" applyFont="1" applyFill="1"/>
    <xf numFmtId="170" fontId="96" fillId="0" borderId="0" xfId="93" applyNumberFormat="1" applyFont="1" applyFill="1" applyBorder="1" applyAlignment="1">
      <alignment horizontal="centerContinuous" vertical="center"/>
    </xf>
    <xf numFmtId="0" fontId="0" fillId="0" borderId="0" xfId="0" applyFont="1" applyFill="1" applyBorder="1"/>
    <xf numFmtId="165" fontId="1" fillId="0" borderId="0" xfId="0" applyNumberFormat="1" applyFont="1"/>
    <xf numFmtId="0" fontId="0" fillId="31" borderId="0" xfId="0" applyFill="1"/>
    <xf numFmtId="166" fontId="90" fillId="0" borderId="0" xfId="0" applyNumberFormat="1" applyFont="1" applyBorder="1"/>
    <xf numFmtId="0" fontId="91" fillId="18" borderId="0" xfId="0" applyFont="1" applyFill="1"/>
    <xf numFmtId="164" fontId="7" fillId="0" borderId="0" xfId="0" applyNumberFormat="1" applyFont="1" applyFill="1"/>
    <xf numFmtId="170" fontId="96" fillId="0" borderId="0" xfId="93" applyNumberFormat="1" applyFont="1" applyFill="1" applyBorder="1" applyAlignment="1">
      <alignment horizontal="left" vertical="center"/>
    </xf>
    <xf numFmtId="169" fontId="76" fillId="0" borderId="0" xfId="84" applyNumberFormat="1" applyFont="1" applyFill="1" applyBorder="1" applyAlignment="1">
      <alignment horizontal="left" vertical="center"/>
    </xf>
    <xf numFmtId="7" fontId="76" fillId="0" borderId="0" xfId="84" applyNumberFormat="1" applyFont="1" applyFill="1" applyBorder="1" applyAlignment="1">
      <alignment horizontal="left" vertical="center"/>
    </xf>
    <xf numFmtId="37" fontId="1" fillId="0" borderId="0" xfId="82" applyNumberFormat="1" applyFont="1"/>
    <xf numFmtId="37" fontId="6" fillId="0" borderId="0" xfId="82" applyNumberFormat="1" applyFont="1" applyAlignment="1">
      <alignment horizontal="center"/>
    </xf>
    <xf numFmtId="37" fontId="6" fillId="0" borderId="0" xfId="82" applyNumberFormat="1" applyFont="1" applyBorder="1" applyAlignment="1">
      <alignment horizontal="center"/>
    </xf>
    <xf numFmtId="37" fontId="1" fillId="0" borderId="0" xfId="82" applyNumberFormat="1" applyFont="1" applyAlignment="1">
      <alignment horizontal="center"/>
    </xf>
    <xf numFmtId="170" fontId="6" fillId="0" borderId="0" xfId="93" applyNumberFormat="1" applyFont="1" applyAlignment="1">
      <alignment horizontal="center"/>
    </xf>
    <xf numFmtId="37" fontId="1" fillId="0" borderId="0" xfId="82" applyNumberFormat="1" applyFont="1" applyAlignment="1">
      <alignment horizontal="right"/>
    </xf>
    <xf numFmtId="164" fontId="90" fillId="30" borderId="0" xfId="0" applyNumberFormat="1" applyFont="1" applyFill="1"/>
    <xf numFmtId="170" fontId="79" fillId="0" borderId="0" xfId="93" applyNumberFormat="1" applyFont="1" applyFill="1" applyBorder="1" applyAlignment="1">
      <alignment horizontal="center" vertical="center"/>
    </xf>
    <xf numFmtId="0" fontId="1" fillId="0" borderId="0" xfId="81"/>
    <xf numFmtId="37" fontId="11" fillId="0" borderId="0" xfId="82" applyNumberFormat="1" applyFont="1" applyAlignment="1">
      <alignment horizontal="center"/>
    </xf>
    <xf numFmtId="0" fontId="11" fillId="0" borderId="0" xfId="0" applyFont="1" applyAlignment="1">
      <alignment horizontal="center"/>
    </xf>
    <xf numFmtId="0" fontId="0" fillId="30" borderId="0" xfId="0" applyFill="1"/>
    <xf numFmtId="164" fontId="0" fillId="0" borderId="0" xfId="0" applyNumberFormat="1" applyFill="1" applyAlignment="1">
      <alignment horizontal="right"/>
    </xf>
    <xf numFmtId="7" fontId="90" fillId="0" borderId="0" xfId="0" applyNumberFormat="1" applyFont="1" applyBorder="1"/>
    <xf numFmtId="166" fontId="91" fillId="24" borderId="0" xfId="0" applyNumberFormat="1" applyFont="1" applyFill="1"/>
    <xf numFmtId="0" fontId="0" fillId="28" borderId="0" xfId="0" applyFill="1"/>
    <xf numFmtId="0" fontId="1" fillId="28" borderId="0" xfId="0" applyFont="1" applyFill="1"/>
    <xf numFmtId="166" fontId="90" fillId="28" borderId="0" xfId="0" applyNumberFormat="1" applyFont="1" applyFill="1"/>
    <xf numFmtId="166" fontId="6" fillId="28" borderId="0" xfId="0" applyNumberFormat="1" applyFont="1" applyFill="1"/>
    <xf numFmtId="164" fontId="91" fillId="0" borderId="0" xfId="0" applyNumberFormat="1" applyFont="1" applyFill="1"/>
    <xf numFmtId="7" fontId="91" fillId="23" borderId="0" xfId="0" applyNumberFormat="1" applyFont="1" applyFill="1"/>
    <xf numFmtId="0" fontId="2" fillId="0" borderId="0" xfId="82" applyFont="1" applyFill="1"/>
    <xf numFmtId="169" fontId="43" fillId="0" borderId="0" xfId="82" applyNumberFormat="1" applyFont="1" applyFill="1"/>
    <xf numFmtId="168" fontId="44" fillId="0" borderId="0" xfId="82" applyNumberFormat="1" applyFont="1" applyFill="1"/>
    <xf numFmtId="169" fontId="2" fillId="0" borderId="0" xfId="82" applyNumberFormat="1" applyFont="1" applyFill="1"/>
    <xf numFmtId="164" fontId="2" fillId="0" borderId="0" xfId="82" applyNumberFormat="1" applyFont="1" applyFill="1"/>
    <xf numFmtId="7" fontId="2" fillId="0" borderId="0" xfId="82" applyNumberFormat="1" applyFont="1" applyFill="1"/>
    <xf numFmtId="7" fontId="47" fillId="0" borderId="0" xfId="82" applyNumberFormat="1" applyFont="1" applyFill="1"/>
    <xf numFmtId="168" fontId="2" fillId="0" borderId="0" xfId="82" applyNumberFormat="1" applyFont="1" applyFill="1"/>
    <xf numFmtId="0" fontId="0" fillId="32" borderId="0" xfId="0" applyFill="1"/>
    <xf numFmtId="164" fontId="0" fillId="32" borderId="0" xfId="0" applyNumberFormat="1" applyFill="1"/>
    <xf numFmtId="0" fontId="1" fillId="33" borderId="0" xfId="122" applyFont="1" applyFill="1" applyAlignment="1">
      <alignment vertical="top"/>
    </xf>
    <xf numFmtId="0" fontId="1" fillId="33" borderId="0" xfId="81" applyFill="1" applyAlignment="1">
      <alignment vertical="top"/>
    </xf>
    <xf numFmtId="0" fontId="1" fillId="33" borderId="0" xfId="81" applyFill="1"/>
    <xf numFmtId="0" fontId="85" fillId="33" borderId="0" xfId="122" applyFont="1" applyFill="1" applyAlignment="1">
      <alignment horizontal="left" vertical="top"/>
    </xf>
    <xf numFmtId="0" fontId="1" fillId="33" borderId="0" xfId="81" applyFont="1" applyFill="1" applyAlignment="1">
      <alignment vertical="top"/>
    </xf>
    <xf numFmtId="0" fontId="9" fillId="33" borderId="0" xfId="122" applyFont="1" applyFill="1" applyAlignment="1">
      <alignment vertical="top"/>
    </xf>
    <xf numFmtId="0" fontId="0" fillId="33" borderId="0" xfId="0" applyFill="1" applyAlignment="1">
      <alignment vertical="top"/>
    </xf>
    <xf numFmtId="0" fontId="99" fillId="33" borderId="0" xfId="0" applyFont="1" applyFill="1" applyAlignment="1">
      <alignment vertical="top"/>
    </xf>
    <xf numFmtId="0" fontId="100" fillId="33" borderId="0" xfId="0" applyFont="1" applyFill="1" applyAlignment="1">
      <alignment vertical="top"/>
    </xf>
    <xf numFmtId="0" fontId="99" fillId="33" borderId="43" xfId="0" applyFont="1" applyFill="1" applyBorder="1" applyAlignment="1">
      <alignment vertical="top"/>
    </xf>
    <xf numFmtId="9" fontId="99" fillId="33" borderId="43" xfId="0" applyNumberFormat="1" applyFont="1" applyFill="1" applyBorder="1" applyAlignment="1">
      <alignment vertical="top"/>
    </xf>
    <xf numFmtId="3" fontId="99" fillId="33" borderId="43" xfId="0" applyNumberFormat="1" applyFont="1" applyFill="1" applyBorder="1" applyAlignment="1">
      <alignment vertical="top"/>
    </xf>
    <xf numFmtId="2" fontId="1" fillId="0" borderId="0" xfId="81" applyNumberFormat="1" applyAlignment="1">
      <alignment horizontal="left"/>
    </xf>
    <xf numFmtId="0" fontId="1" fillId="0" borderId="0" xfId="81" applyNumberFormat="1" applyAlignment="1">
      <alignment horizontal="left"/>
    </xf>
    <xf numFmtId="1" fontId="1" fillId="0" borderId="0" xfId="81" applyNumberFormat="1" applyAlignment="1">
      <alignment horizontal="left"/>
    </xf>
    <xf numFmtId="0" fontId="1" fillId="0" borderId="0" xfId="81" applyFont="1"/>
    <xf numFmtId="187" fontId="1" fillId="0" borderId="0" xfId="81" applyNumberFormat="1" applyAlignment="1">
      <alignment horizontal="left"/>
    </xf>
    <xf numFmtId="49" fontId="1" fillId="0" borderId="0" xfId="81" applyNumberFormat="1"/>
    <xf numFmtId="0" fontId="101" fillId="0" borderId="0" xfId="81" applyFont="1" applyAlignment="1">
      <alignment wrapText="1"/>
    </xf>
    <xf numFmtId="0" fontId="101" fillId="0" borderId="0" xfId="81" applyFont="1" applyAlignment="1">
      <alignment horizontal="left" wrapText="1" indent="3"/>
    </xf>
    <xf numFmtId="0" fontId="101" fillId="0" borderId="0" xfId="81" applyFont="1" applyAlignment="1">
      <alignment horizontal="left" wrapText="1" indent="1"/>
    </xf>
    <xf numFmtId="0" fontId="103" fillId="0" borderId="0" xfId="81" applyFont="1" applyAlignment="1">
      <alignment wrapText="1"/>
    </xf>
    <xf numFmtId="37" fontId="11" fillId="0" borderId="0" xfId="82" applyNumberFormat="1" applyFont="1" applyAlignment="1">
      <alignment horizontal="center"/>
    </xf>
    <xf numFmtId="0" fontId="11" fillId="0" borderId="0" xfId="0" applyFont="1" applyAlignment="1">
      <alignment horizontal="center"/>
    </xf>
    <xf numFmtId="9" fontId="77" fillId="0" borderId="29" xfId="84" applyNumberFormat="1" applyFont="1" applyFill="1" applyBorder="1" applyAlignment="1">
      <alignment horizontal="center" vertical="center"/>
    </xf>
    <xf numFmtId="0" fontId="2" fillId="0" borderId="38" xfId="82" applyFont="1" applyBorder="1" applyAlignment="1">
      <alignment horizontal="center" vertical="center"/>
    </xf>
    <xf numFmtId="0" fontId="68" fillId="0" borderId="27" xfId="82" applyFont="1" applyBorder="1" applyAlignment="1">
      <alignment horizontal="left" vertical="center" wrapText="1"/>
    </xf>
    <xf numFmtId="0" fontId="2" fillId="0" borderId="30" xfId="82" applyFont="1" applyBorder="1" applyAlignment="1">
      <alignment horizontal="left" vertical="center" wrapText="1"/>
    </xf>
    <xf numFmtId="9" fontId="77" fillId="0" borderId="26" xfId="84" applyNumberFormat="1" applyFont="1" applyFill="1" applyBorder="1" applyAlignment="1">
      <alignment horizontal="center" vertical="center"/>
    </xf>
    <xf numFmtId="0" fontId="68" fillId="0" borderId="0" xfId="82" applyFont="1" applyBorder="1" applyAlignment="1">
      <alignment horizontal="left" vertical="center" wrapText="1"/>
    </xf>
    <xf numFmtId="0" fontId="68" fillId="0" borderId="30" xfId="82" applyFont="1" applyBorder="1" applyAlignment="1">
      <alignment horizontal="left" vertical="center" wrapText="1"/>
    </xf>
    <xf numFmtId="37" fontId="68" fillId="0" borderId="0" xfId="82" applyNumberFormat="1" applyFont="1" applyBorder="1" applyAlignment="1">
      <alignment horizontal="left" vertical="center" wrapText="1"/>
    </xf>
    <xf numFmtId="0" fontId="0" fillId="0" borderId="0" xfId="0" applyBorder="1" applyAlignment="1">
      <alignment horizontal="left" vertical="center" wrapText="1"/>
    </xf>
    <xf numFmtId="0" fontId="81" fillId="0" borderId="27" xfId="82" applyFont="1" applyBorder="1" applyAlignment="1">
      <alignment horizontal="left" vertical="center" wrapText="1"/>
    </xf>
    <xf numFmtId="0" fontId="81" fillId="0" borderId="30" xfId="82" applyFont="1" applyBorder="1" applyAlignment="1">
      <alignment horizontal="left" vertical="center" wrapText="1"/>
    </xf>
    <xf numFmtId="171" fontId="70" fillId="0" borderId="21" xfId="54" quotePrefix="1" applyNumberFormat="1" applyFont="1" applyFill="1" applyBorder="1" applyAlignment="1">
      <alignment horizontal="center" vertical="center"/>
    </xf>
    <xf numFmtId="171" fontId="70" fillId="0" borderId="24" xfId="54" applyNumberFormat="1" applyFont="1" applyFill="1" applyBorder="1" applyAlignment="1">
      <alignment horizontal="center" vertical="center"/>
    </xf>
    <xf numFmtId="171" fontId="71" fillId="0" borderId="20" xfId="54" applyNumberFormat="1" applyFont="1" applyFill="1" applyBorder="1" applyAlignment="1">
      <alignment horizontal="center" vertical="center"/>
    </xf>
    <xf numFmtId="171" fontId="71" fillId="0" borderId="23" xfId="54" applyNumberFormat="1" applyFont="1" applyFill="1" applyBorder="1" applyAlignment="1">
      <alignment horizontal="center" vertical="center"/>
    </xf>
    <xf numFmtId="0" fontId="2" fillId="0" borderId="26" xfId="82" applyFont="1" applyBorder="1" applyAlignment="1">
      <alignment horizontal="center" vertical="center"/>
    </xf>
    <xf numFmtId="0" fontId="2" fillId="0" borderId="0" xfId="82" applyFont="1" applyBorder="1" applyAlignment="1">
      <alignment horizontal="left" vertical="center" wrapText="1"/>
    </xf>
    <xf numFmtId="170" fontId="68" fillId="0" borderId="27" xfId="82" applyNumberFormat="1" applyFont="1" applyBorder="1" applyAlignment="1">
      <alignment horizontal="left" vertical="center" wrapText="1"/>
    </xf>
    <xf numFmtId="0" fontId="99" fillId="33" borderId="0" xfId="0" applyFont="1" applyFill="1" applyAlignment="1">
      <alignment vertical="top"/>
    </xf>
    <xf numFmtId="0" fontId="0" fillId="33" borderId="47" xfId="0" applyFill="1" applyBorder="1" applyAlignment="1">
      <alignment vertical="top"/>
    </xf>
    <xf numFmtId="0" fontId="100" fillId="33" borderId="0" xfId="0" applyFont="1" applyFill="1" applyAlignment="1">
      <alignment vertical="top"/>
    </xf>
    <xf numFmtId="0" fontId="0" fillId="33" borderId="0" xfId="0" applyFill="1" applyAlignment="1">
      <alignment vertical="top"/>
    </xf>
    <xf numFmtId="0" fontId="0" fillId="33" borderId="48" xfId="0" applyFill="1" applyBorder="1" applyAlignment="1">
      <alignment vertical="top"/>
    </xf>
    <xf numFmtId="0" fontId="99" fillId="33" borderId="44" xfId="0" applyFont="1" applyFill="1" applyBorder="1" applyAlignment="1">
      <alignment vertical="top"/>
    </xf>
    <xf numFmtId="0" fontId="99" fillId="33" borderId="45" xfId="0" applyFont="1" applyFill="1" applyBorder="1" applyAlignment="1">
      <alignment vertical="top"/>
    </xf>
    <xf numFmtId="0" fontId="99" fillId="33" borderId="46" xfId="0" applyFont="1" applyFill="1" applyBorder="1" applyAlignment="1">
      <alignment vertical="top"/>
    </xf>
  </cellXfs>
  <cellStyles count="123">
    <cellStyle name=" 1" xfId="1"/>
    <cellStyle name="%" xfId="2"/>
    <cellStyle name="******************************************" xfId="3"/>
    <cellStyle name="_Alternative Telco Comps" xfId="4"/>
    <cellStyle name="_MS Data center comps" xfId="5"/>
    <cellStyle name="_RRS1" xfId="6"/>
    <cellStyle name="_RRS5" xfId="7"/>
    <cellStyle name="_RRS9" xfId="8"/>
    <cellStyle name="_Sheet1" xfId="9"/>
    <cellStyle name="_SUMMARY " xfId="10"/>
    <cellStyle name="£ BP" xfId="11"/>
    <cellStyle name="¥ JY" xfId="12"/>
    <cellStyle name="=C:\WINNT35\SYSTEM32\COMMAND.COM" xfId="13"/>
    <cellStyle name="•W€_GE 3 MINIMUM" xfId="14"/>
    <cellStyle name="•W_GE 3 MINIMUM" xfId="15"/>
    <cellStyle name="0_Capex &amp; Depreciation " xfId="16"/>
    <cellStyle name="0_Valuing BP " xfId="17"/>
    <cellStyle name="2" xfId="18"/>
    <cellStyle name="20% - Accent1" xfId="19" builtinId="30" customBuiltin="1"/>
    <cellStyle name="20% - Accent2" xfId="20" builtinId="34" customBuiltin="1"/>
    <cellStyle name="20% - Accent3" xfId="21" builtinId="38" customBuiltin="1"/>
    <cellStyle name="20% - Accent4" xfId="22" builtinId="42" customBuiltin="1"/>
    <cellStyle name="20% - Accent5" xfId="23" builtinId="46" customBuiltin="1"/>
    <cellStyle name="20% - Accent6" xfId="24" builtinId="50" customBuiltin="1"/>
    <cellStyle name="40% - Accent1" xfId="25" builtinId="31" customBuiltin="1"/>
    <cellStyle name="40% - Accent2" xfId="26" builtinId="35" customBuiltin="1"/>
    <cellStyle name="40% - Accent3" xfId="27" builtinId="39" customBuiltin="1"/>
    <cellStyle name="40% - Accent4" xfId="28" builtinId="43" customBuiltin="1"/>
    <cellStyle name="40% - Accent5" xfId="29" builtinId="47" customBuiltin="1"/>
    <cellStyle name="40% - Accent6" xfId="30" builtinId="51" customBuiltin="1"/>
    <cellStyle name="60% - Accent1" xfId="31" builtinId="32" customBuiltin="1"/>
    <cellStyle name="60% - Accent2" xfId="32" builtinId="36" customBuiltin="1"/>
    <cellStyle name="60% - Accent3" xfId="33" builtinId="40" customBuiltin="1"/>
    <cellStyle name="60% - Accent4" xfId="34" builtinId="44" customBuiltin="1"/>
    <cellStyle name="60% - Accent5" xfId="35" builtinId="48" customBuiltin="1"/>
    <cellStyle name="60% - Accent6" xfId="36" builtinId="52" customBuiltin="1"/>
    <cellStyle name="Accent1" xfId="37" builtinId="29" customBuiltin="1"/>
    <cellStyle name="Accent2" xfId="38" builtinId="33" customBuiltin="1"/>
    <cellStyle name="Accent3" xfId="39" builtinId="37" customBuiltin="1"/>
    <cellStyle name="Accent4" xfId="40" builtinId="41" customBuiltin="1"/>
    <cellStyle name="Accent5" xfId="41" builtinId="45" customBuiltin="1"/>
    <cellStyle name="Accent6" xfId="42" builtinId="49" customBuiltin="1"/>
    <cellStyle name="Bad" xfId="43" builtinId="27" customBuiltin="1"/>
    <cellStyle name="Blue" xfId="44"/>
    <cellStyle name="Bold/Border" xfId="45"/>
    <cellStyle name="brad" xfId="46"/>
    <cellStyle name="Bullet" xfId="47"/>
    <cellStyle name="c_HardInc " xfId="48"/>
    <cellStyle name="Calculation" xfId="49" builtinId="22" customBuiltin="1"/>
    <cellStyle name="Changeable" xfId="50"/>
    <cellStyle name="Check Cell" xfId="51" builtinId="23" customBuiltin="1"/>
    <cellStyle name="Comma 10" xfId="52"/>
    <cellStyle name="Currency 2" xfId="53"/>
    <cellStyle name="Currency 3" xfId="121"/>
    <cellStyle name="Currency_LVLT Morgan Stanley - v1" xfId="54"/>
    <cellStyle name="Dash" xfId="55"/>
    <cellStyle name="Date" xfId="56"/>
    <cellStyle name="Dezimal [0]_Compiling Utility Macros" xfId="57"/>
    <cellStyle name="Dezimal_Compiling Utility Macros" xfId="58"/>
    <cellStyle name="Explanatory Text" xfId="59" builtinId="53" customBuiltin="1"/>
    <cellStyle name="Fail" xfId="60"/>
    <cellStyle name="FiscalPeriod" xfId="61"/>
    <cellStyle name="Good" xfId="62" builtinId="26" customBuiltin="1"/>
    <cellStyle name="Grey" xfId="63"/>
    <cellStyle name="Header1" xfId="64"/>
    <cellStyle name="Header2" xfId="65"/>
    <cellStyle name="Heading 1" xfId="66" builtinId="16" customBuiltin="1"/>
    <cellStyle name="Heading 2" xfId="67" builtinId="17" customBuiltin="1"/>
    <cellStyle name="Heading 3" xfId="68" builtinId="18" customBuiltin="1"/>
    <cellStyle name="Heading 4" xfId="69" builtinId="19" customBuiltin="1"/>
    <cellStyle name="helv narrow 8" xfId="70"/>
    <cellStyle name="Hidden" xfId="71"/>
    <cellStyle name="Input" xfId="72" builtinId="20" customBuiltin="1"/>
    <cellStyle name="Input [yellow]" xfId="73"/>
    <cellStyle name="Linked Cell" xfId="74" builtinId="24" customBuiltin="1"/>
    <cellStyle name="MetricLabel" xfId="75"/>
    <cellStyle name="MetricLabelBlue" xfId="76"/>
    <cellStyle name="MetricValue" xfId="77"/>
    <cellStyle name="MW" xfId="78"/>
    <cellStyle name="Neutral" xfId="79" builtinId="28" customBuiltin="1"/>
    <cellStyle name="Normal" xfId="0" builtinId="0"/>
    <cellStyle name="Normal - Style1" xfId="80"/>
    <cellStyle name="Normal 2" xfId="81"/>
    <cellStyle name="Normal_CONE Morgan Stanley" xfId="82"/>
    <cellStyle name="Normal_DisclaimerSheet Samples" xfId="122"/>
    <cellStyle name="Normal_LVLT Morgan Stanley - v1" xfId="83"/>
    <cellStyle name="Normal_theHUNTER32" xfId="84"/>
    <cellStyle name="Note" xfId="85" builtinId="10" customBuiltin="1"/>
    <cellStyle name="Number" xfId="86"/>
    <cellStyle name="Œ…‹æØ‚è [0.00]_GE 3 MINIMUM" xfId="87"/>
    <cellStyle name="Œ…‹æØ‚è_GE 3 MINIMUM" xfId="88"/>
    <cellStyle name="Onedec_FT Valuation " xfId="89"/>
    <cellStyle name="Output" xfId="90" builtinId="21" customBuiltin="1"/>
    <cellStyle name="p " xfId="91"/>
    <cellStyle name="Pass" xfId="92"/>
    <cellStyle name="Percent" xfId="93" builtinId="5"/>
    <cellStyle name="Percent [2]" xfId="94"/>
    <cellStyle name="Percent_LVLT Morgan Stanley - v1" xfId="95"/>
    <cellStyle name="PSChar" xfId="96"/>
    <cellStyle name="PSDate" xfId="97"/>
    <cellStyle name="PSDec" xfId="98"/>
    <cellStyle name="PSHeading" xfId="99"/>
    <cellStyle name="PSInt" xfId="100"/>
    <cellStyle name="PSSpacer" xfId="101"/>
    <cellStyle name="Rob" xfId="102"/>
    <cellStyle name="RRSInstruction" xfId="103"/>
    <cellStyle name="RRSInstruction 2" xfId="104"/>
    <cellStyle name="s_HardInc " xfId="105"/>
    <cellStyle name="s_Valuation " xfId="106"/>
    <cellStyle name="ssp " xfId="107"/>
    <cellStyle name="Standard_Anpassen der Amortisation" xfId="108"/>
    <cellStyle name="Style 1" xfId="109"/>
    <cellStyle name="Style 2" xfId="110"/>
    <cellStyle name="STYLE3 12" xfId="111"/>
    <cellStyle name="Subtotal_left" xfId="112"/>
    <cellStyle name="Title" xfId="113" builtinId="15" customBuiltin="1"/>
    <cellStyle name="Total" xfId="114" builtinId="25" customBuiltin="1"/>
    <cellStyle name="TRHyperlink" xfId="115"/>
    <cellStyle name="Währung [0]_Compiling Utility Macros" xfId="116"/>
    <cellStyle name="Währung_Compiling Utility Macros" xfId="117"/>
    <cellStyle name="Warning Text" xfId="118" builtinId="11" customBuiltin="1"/>
    <cellStyle name="콤마 [0]_#3이설 견적_준공내역총괄표 " xfId="119"/>
    <cellStyle name="콤마_#3이설 견적_준공내역총괄표 " xfId="120"/>
  </cellStyles>
  <dxfs count="7">
    <dxf>
      <fill>
        <patternFill>
          <bgColor rgb="FF9DC9DC"/>
        </patternFill>
      </fill>
    </dxf>
    <dxf>
      <fill>
        <patternFill>
          <bgColor rgb="FF9DC9DC"/>
        </patternFill>
      </fill>
    </dxf>
    <dxf>
      <fill>
        <patternFill>
          <bgColor rgb="FF9DC9DC"/>
        </patternFill>
      </fill>
    </dxf>
    <dxf>
      <fill>
        <patternFill>
          <bgColor rgb="FF9DC9DC"/>
        </patternFill>
      </fill>
    </dxf>
    <dxf>
      <fill>
        <patternFill>
          <bgColor rgb="FF9DC9DC"/>
        </patternFill>
      </fill>
    </dxf>
    <dxf>
      <fill>
        <patternFill>
          <bgColor rgb="FF9DC9DC"/>
        </patternFill>
      </fill>
    </dxf>
    <dxf>
      <fill>
        <patternFill>
          <bgColor rgb="FF9DC9DC"/>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externalLinks/externalLink1.xml" Type="http://schemas.openxmlformats.org/officeDocument/2006/relationships/externalLink"/>
<Relationship Id="rId15" Target="externalLinks/externalLink2.xml" Type="http://schemas.openxmlformats.org/officeDocument/2006/relationships/externalLink"/>
<Relationship Id="rId16" Target="externalLinks/externalLink3.xml" Type="http://schemas.openxmlformats.org/officeDocument/2006/relationships/externalLink"/>
<Relationship Id="rId17" Target="externalLinks/externalLink4.xml" Type="http://schemas.openxmlformats.org/officeDocument/2006/relationships/externalLink"/>
<Relationship Id="rId18" Target="externalLinks/externalLink5.xml" Type="http://schemas.openxmlformats.org/officeDocument/2006/relationships/externalLink"/>
<Relationship Id="rId19" Target="externalLinks/externalLink6.xml" Type="http://schemas.openxmlformats.org/officeDocument/2006/relationships/externalLink"/>
<Relationship Id="rId2" Target="worksheets/sheet2.xml" Type="http://schemas.openxmlformats.org/officeDocument/2006/relationships/worksheet"/>
<Relationship Id="rId20" Target="externalLinks/externalLink7.xml" Type="http://schemas.openxmlformats.org/officeDocument/2006/relationships/externalLink"/>
<Relationship Id="rId21" Target="externalLinks/externalLink8.xml" Type="http://schemas.openxmlformats.org/officeDocument/2006/relationships/externalLink"/>
<Relationship Id="rId22" Target="externalLinks/externalLink9.xml" Type="http://schemas.openxmlformats.org/officeDocument/2006/relationships/externalLink"/>
<Relationship Id="rId23" Target="externalLinks/externalLink10.xml" Type="http://schemas.openxmlformats.org/officeDocument/2006/relationships/externalLink"/>
<Relationship Id="rId24" Target="externalLinks/externalLink11.xml" Type="http://schemas.openxmlformats.org/officeDocument/2006/relationships/externalLink"/>
<Relationship Id="rId25" Target="externalLinks/externalLink12.xml" Type="http://schemas.openxmlformats.org/officeDocument/2006/relationships/externalLink"/>
<Relationship Id="rId26" Target="externalLinks/externalLink13.xml" Type="http://schemas.openxmlformats.org/officeDocument/2006/relationships/externalLink"/>
<Relationship Id="rId27" Target="externalLinks/externalLink14.xml" Type="http://schemas.openxmlformats.org/officeDocument/2006/relationships/externalLink"/>
<Relationship Id="rId28" Target="externalLinks/externalLink15.xml" Type="http://schemas.openxmlformats.org/officeDocument/2006/relationships/externalLink"/>
<Relationship Id="rId29" Target="theme/theme1.xml" Type="http://schemas.openxmlformats.org/officeDocument/2006/relationships/theme"/>
<Relationship Id="rId3" Target="worksheets/sheet3.xml" Type="http://schemas.openxmlformats.org/officeDocument/2006/relationships/worksheet"/>
<Relationship Id="rId30" Target="styles.xml" Type="http://schemas.openxmlformats.org/officeDocument/2006/relationships/styles"/>
<Relationship Id="rId31" Target="sharedStrings.xml" Type="http://schemas.openxmlformats.org/officeDocument/2006/relationships/sharedStrings"/>
<Relationship Id="rId32" Target="calcChain.xml" Type="http://schemas.openxmlformats.org/officeDocument/2006/relationships/calcChain"/>
<Relationship Id="rId33" Target="../customXml/item1.xml" Type="http://schemas.openxmlformats.org/officeDocument/2006/relationships/customXml"/>
<Relationship Id="rId34" Target="../customXml/item2.xml" Type="http://schemas.openxmlformats.org/officeDocument/2006/relationships/customXml"/>
<Relationship Id="rId35"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REVENUE % Q/Q</a:t>
            </a:r>
          </a:p>
        </c:rich>
      </c:tx>
      <c:layout>
        <c:manualLayout>
          <c:xMode val="edge"/>
          <c:yMode val="edge"/>
          <c:x val="1.2048192771084338E-2"/>
          <c:y val="2.0491803278688523E-2"/>
        </c:manualLayout>
      </c:layout>
      <c:overlay val="0"/>
      <c:spPr>
        <a:noFill/>
        <a:ln w="25400">
          <a:noFill/>
        </a:ln>
      </c:spPr>
    </c:title>
    <c:autoTitleDeleted val="0"/>
    <c:plotArea>
      <c:layout>
        <c:manualLayout>
          <c:layoutTarget val="inner"/>
          <c:xMode val="edge"/>
          <c:yMode val="edge"/>
          <c:x val="0.13493991780393191"/>
          <c:y val="0.15573801657357952"/>
          <c:w val="0.75421775486840514"/>
          <c:h val="0.61475532857991921"/>
        </c:manualLayout>
      </c:layout>
      <c:barChart>
        <c:barDir val="col"/>
        <c:grouping val="clustered"/>
        <c:varyColors val="0"/>
        <c:ser>
          <c:idx val="1"/>
          <c:order val="0"/>
          <c:tx>
            <c:strRef>
              <c:f>Charts!$B$5</c:f>
              <c:strCache>
                <c:ptCount val="1"/>
                <c:pt idx="0">
                  <c:v>Revenue</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Charts!$S$3:$Z$3</c:f>
              <c:strCache>
                <c:ptCount val="8"/>
                <c:pt idx="0">
                  <c:v>4Q15</c:v>
                </c:pt>
                <c:pt idx="1">
                  <c:v>1Q16</c:v>
                </c:pt>
                <c:pt idx="2">
                  <c:v>2Q16</c:v>
                </c:pt>
                <c:pt idx="3">
                  <c:v>3Q16</c:v>
                </c:pt>
                <c:pt idx="4">
                  <c:v>4Q16</c:v>
                </c:pt>
                <c:pt idx="5">
                  <c:v>1Q17</c:v>
                </c:pt>
                <c:pt idx="6">
                  <c:v>2Q17</c:v>
                </c:pt>
                <c:pt idx="7">
                  <c:v>3Q17</c:v>
                </c:pt>
              </c:strCache>
            </c:strRef>
          </c:cat>
          <c:val>
            <c:numRef>
              <c:f>Charts!$S$5:$Z$5</c:f>
              <c:numCache>
                <c:formatCode>#,##0.0_);\(#,##0.0\)</c:formatCode>
                <c:ptCount val="8"/>
                <c:pt idx="0">
                  <c:v>92.690000000000012</c:v>
                </c:pt>
                <c:pt idx="1">
                  <c:v>94.768000000000001</c:v>
                </c:pt>
                <c:pt idx="2">
                  <c:v>98.687000000000012</c:v>
                </c:pt>
                <c:pt idx="3">
                  <c:v>103.46499999999999</c:v>
                </c:pt>
                <c:pt idx="4">
                  <c:v>105.44300000000001</c:v>
                </c:pt>
                <c:pt idx="5">
                  <c:v>105.96400000000001</c:v>
                </c:pt>
                <c:pt idx="6">
                  <c:v>107.86799999999999</c:v>
                </c:pt>
                <c:pt idx="7">
                  <c:v>113.767</c:v>
                </c:pt>
              </c:numCache>
            </c:numRef>
          </c:val>
        </c:ser>
        <c:dLbls>
          <c:showLegendKey val="0"/>
          <c:showVal val="0"/>
          <c:showCatName val="0"/>
          <c:showSerName val="0"/>
          <c:showPercent val="0"/>
          <c:showBubbleSize val="0"/>
        </c:dLbls>
        <c:gapWidth val="150"/>
        <c:axId val="231918592"/>
        <c:axId val="232359424"/>
      </c:barChart>
      <c:lineChart>
        <c:grouping val="standard"/>
        <c:varyColors val="0"/>
        <c:ser>
          <c:idx val="0"/>
          <c:order val="1"/>
          <c:tx>
            <c:strRef>
              <c:f>Charts!$B$7</c:f>
              <c:strCache>
                <c:ptCount val="1"/>
                <c:pt idx="0">
                  <c:v>%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val>
            <c:numRef>
              <c:f>Charts!$S$7:$Z$7</c:f>
              <c:numCache>
                <c:formatCode>0.0%_);\(0.0%\);"–"_)</c:formatCode>
                <c:ptCount val="8"/>
                <c:pt idx="0">
                  <c:v>4.2749465631679806E-2</c:v>
                </c:pt>
                <c:pt idx="1">
                  <c:v>2.2418815406192616E-2</c:v>
                </c:pt>
                <c:pt idx="2">
                  <c:v>4.1353621475603619E-2</c:v>
                </c:pt>
                <c:pt idx="3">
                  <c:v>4.8415698116266448E-2</c:v>
                </c:pt>
                <c:pt idx="4">
                  <c:v>1.9117575991881575E-2</c:v>
                </c:pt>
                <c:pt idx="5">
                  <c:v>4.9410582020616989E-3</c:v>
                </c:pt>
                <c:pt idx="6">
                  <c:v>1.7968366615076725E-2</c:v>
                </c:pt>
                <c:pt idx="7">
                  <c:v>5.4687210294063204E-2</c:v>
                </c:pt>
              </c:numCache>
            </c:numRef>
          </c:val>
          <c:smooth val="0"/>
        </c:ser>
        <c:dLbls>
          <c:showLegendKey val="0"/>
          <c:showVal val="0"/>
          <c:showCatName val="0"/>
          <c:showSerName val="0"/>
          <c:showPercent val="0"/>
          <c:showBubbleSize val="0"/>
        </c:dLbls>
        <c:marker val="1"/>
        <c:smooth val="0"/>
        <c:axId val="255066112"/>
        <c:axId val="255068032"/>
      </c:lineChart>
      <c:catAx>
        <c:axId val="23191859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232359424"/>
        <c:crosses val="autoZero"/>
        <c:auto val="0"/>
        <c:lblAlgn val="ctr"/>
        <c:lblOffset val="100"/>
        <c:tickLblSkip val="1"/>
        <c:tickMarkSkip val="1"/>
        <c:noMultiLvlLbl val="0"/>
      </c:catAx>
      <c:valAx>
        <c:axId val="232359424"/>
        <c:scaling>
          <c:orientation val="minMax"/>
        </c:scaling>
        <c:delete val="0"/>
        <c:axPos val="l"/>
        <c:numFmt formatCode="\$#,##0.0_);\(\$#,##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1918592"/>
        <c:crosses val="autoZero"/>
        <c:crossBetween val="between"/>
        <c:majorUnit val="20"/>
      </c:valAx>
      <c:catAx>
        <c:axId val="255066112"/>
        <c:scaling>
          <c:orientation val="minMax"/>
        </c:scaling>
        <c:delete val="1"/>
        <c:axPos val="b"/>
        <c:majorTickMark val="out"/>
        <c:minorTickMark val="none"/>
        <c:tickLblPos val="nextTo"/>
        <c:crossAx val="255068032"/>
        <c:crosses val="autoZero"/>
        <c:auto val="0"/>
        <c:lblAlgn val="ctr"/>
        <c:lblOffset val="100"/>
        <c:noMultiLvlLbl val="0"/>
      </c:catAx>
      <c:valAx>
        <c:axId val="255068032"/>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5066112"/>
        <c:crosses val="max"/>
        <c:crossBetween val="between"/>
      </c:valAx>
      <c:spPr>
        <a:noFill/>
        <a:ln w="25400">
          <a:noFill/>
        </a:ln>
      </c:spPr>
    </c:plotArea>
    <c:legend>
      <c:legendPos val="t"/>
      <c:layout>
        <c:manualLayout>
          <c:xMode val="edge"/>
          <c:yMode val="edge"/>
          <c:x val="0.49558308825854597"/>
          <c:y val="2.0491803278688523E-2"/>
          <c:w val="0.49477962242671475"/>
          <c:h val="8.1967213114754106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REVENUE % Y/Y</a:t>
            </a:r>
          </a:p>
        </c:rich>
      </c:tx>
      <c:layout>
        <c:manualLayout>
          <c:xMode val="edge"/>
          <c:yMode val="edge"/>
          <c:x val="1.201923076923077E-2"/>
          <c:y val="2.0408163265306121E-2"/>
        </c:manualLayout>
      </c:layout>
      <c:overlay val="0"/>
      <c:spPr>
        <a:noFill/>
        <a:ln w="25400">
          <a:noFill/>
        </a:ln>
      </c:spPr>
    </c:title>
    <c:autoTitleDeleted val="0"/>
    <c:plotArea>
      <c:layout>
        <c:manualLayout>
          <c:layoutTarget val="inner"/>
          <c:xMode val="edge"/>
          <c:yMode val="edge"/>
          <c:x val="0.13461538461538461"/>
          <c:y val="0.15510204081632653"/>
          <c:w val="0.75480769230769229"/>
          <c:h val="0.64081632653061227"/>
        </c:manualLayout>
      </c:layout>
      <c:barChart>
        <c:barDir val="col"/>
        <c:grouping val="clustered"/>
        <c:varyColors val="0"/>
        <c:ser>
          <c:idx val="1"/>
          <c:order val="0"/>
          <c:tx>
            <c:strRef>
              <c:f>Charts!$B$5</c:f>
              <c:strCache>
                <c:ptCount val="1"/>
                <c:pt idx="0">
                  <c:v>Revenue</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Charts!$S$3:$Z$3</c:f>
              <c:strCache>
                <c:ptCount val="8"/>
                <c:pt idx="0">
                  <c:v>4Q15</c:v>
                </c:pt>
                <c:pt idx="1">
                  <c:v>1Q16</c:v>
                </c:pt>
                <c:pt idx="2">
                  <c:v>2Q16</c:v>
                </c:pt>
                <c:pt idx="3">
                  <c:v>3Q16</c:v>
                </c:pt>
                <c:pt idx="4">
                  <c:v>4Q16</c:v>
                </c:pt>
                <c:pt idx="5">
                  <c:v>1Q17</c:v>
                </c:pt>
                <c:pt idx="6">
                  <c:v>2Q17</c:v>
                </c:pt>
                <c:pt idx="7">
                  <c:v>3Q17</c:v>
                </c:pt>
              </c:strCache>
            </c:strRef>
          </c:cat>
          <c:val>
            <c:numRef>
              <c:f>Charts!$S$5:$Z$5</c:f>
              <c:numCache>
                <c:formatCode>#,##0.0_);\(#,##0.0\)</c:formatCode>
                <c:ptCount val="8"/>
                <c:pt idx="0">
                  <c:v>92.690000000000012</c:v>
                </c:pt>
                <c:pt idx="1">
                  <c:v>94.768000000000001</c:v>
                </c:pt>
                <c:pt idx="2">
                  <c:v>98.687000000000012</c:v>
                </c:pt>
                <c:pt idx="3">
                  <c:v>103.46499999999999</c:v>
                </c:pt>
                <c:pt idx="4">
                  <c:v>105.44300000000001</c:v>
                </c:pt>
                <c:pt idx="5">
                  <c:v>105.96400000000001</c:v>
                </c:pt>
                <c:pt idx="6">
                  <c:v>107.86799999999999</c:v>
                </c:pt>
                <c:pt idx="7">
                  <c:v>113.767</c:v>
                </c:pt>
              </c:numCache>
            </c:numRef>
          </c:val>
        </c:ser>
        <c:dLbls>
          <c:showLegendKey val="0"/>
          <c:showVal val="0"/>
          <c:showCatName val="0"/>
          <c:showSerName val="0"/>
          <c:showPercent val="0"/>
          <c:showBubbleSize val="0"/>
        </c:dLbls>
        <c:gapWidth val="150"/>
        <c:axId val="255756160"/>
        <c:axId val="341491712"/>
      </c:barChart>
      <c:lineChart>
        <c:grouping val="standard"/>
        <c:varyColors val="0"/>
        <c:ser>
          <c:idx val="0"/>
          <c:order val="1"/>
          <c:tx>
            <c:strRef>
              <c:f>Charts!$B$6</c:f>
              <c:strCache>
                <c:ptCount val="1"/>
                <c:pt idx="0">
                  <c:v>% Y/Y</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Charts!$S$3:$Z$3</c:f>
              <c:strCache>
                <c:ptCount val="8"/>
                <c:pt idx="0">
                  <c:v>4Q15</c:v>
                </c:pt>
                <c:pt idx="1">
                  <c:v>1Q16</c:v>
                </c:pt>
                <c:pt idx="2">
                  <c:v>2Q16</c:v>
                </c:pt>
                <c:pt idx="3">
                  <c:v>3Q16</c:v>
                </c:pt>
                <c:pt idx="4">
                  <c:v>4Q16</c:v>
                </c:pt>
                <c:pt idx="5">
                  <c:v>1Q17</c:v>
                </c:pt>
                <c:pt idx="6">
                  <c:v>2Q17</c:v>
                </c:pt>
                <c:pt idx="7">
                  <c:v>3Q17</c:v>
                </c:pt>
              </c:strCache>
            </c:strRef>
          </c:cat>
          <c:val>
            <c:numRef>
              <c:f>Charts!$S$6:$Z$6</c:f>
              <c:numCache>
                <c:formatCode>0.0%_);\(0.0%\);"–"_)</c:formatCode>
                <c:ptCount val="8"/>
                <c:pt idx="0">
                  <c:v>0.55616741937108638</c:v>
                </c:pt>
                <c:pt idx="1">
                  <c:v>0.54380477633336577</c:v>
                </c:pt>
                <c:pt idx="2">
                  <c:v>0.44878664650527766</c:v>
                </c:pt>
                <c:pt idx="3">
                  <c:v>0.16396670041624462</c:v>
                </c:pt>
                <c:pt idx="4">
                  <c:v>0.13758765778401116</c:v>
                </c:pt>
                <c:pt idx="5">
                  <c:v>0.11814114469019099</c:v>
                </c:pt>
                <c:pt idx="6">
                  <c:v>9.3031503642830193E-2</c:v>
                </c:pt>
                <c:pt idx="7">
                  <c:v>9.9569902865703552E-2</c:v>
                </c:pt>
              </c:numCache>
            </c:numRef>
          </c:val>
          <c:smooth val="0"/>
        </c:ser>
        <c:dLbls>
          <c:showLegendKey val="0"/>
          <c:showVal val="0"/>
          <c:showCatName val="0"/>
          <c:showSerName val="0"/>
          <c:showPercent val="0"/>
          <c:showBubbleSize val="0"/>
        </c:dLbls>
        <c:marker val="1"/>
        <c:smooth val="0"/>
        <c:axId val="341493248"/>
        <c:axId val="341495168"/>
      </c:lineChart>
      <c:catAx>
        <c:axId val="25575616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341491712"/>
        <c:crosses val="autoZero"/>
        <c:auto val="0"/>
        <c:lblAlgn val="ctr"/>
        <c:lblOffset val="100"/>
        <c:tickLblSkip val="1"/>
        <c:tickMarkSkip val="1"/>
        <c:noMultiLvlLbl val="0"/>
      </c:catAx>
      <c:valAx>
        <c:axId val="341491712"/>
        <c:scaling>
          <c:orientation val="minMax"/>
        </c:scaling>
        <c:delete val="0"/>
        <c:axPos val="l"/>
        <c:numFmt formatCode="\$#,##0.0_);\(\$#,##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5756160"/>
        <c:crosses val="autoZero"/>
        <c:crossBetween val="between"/>
        <c:majorUnit val="20"/>
      </c:valAx>
      <c:catAx>
        <c:axId val="341493248"/>
        <c:scaling>
          <c:orientation val="minMax"/>
        </c:scaling>
        <c:delete val="1"/>
        <c:axPos val="b"/>
        <c:majorTickMark val="out"/>
        <c:minorTickMark val="none"/>
        <c:tickLblPos val="nextTo"/>
        <c:crossAx val="341495168"/>
        <c:crosses val="autoZero"/>
        <c:auto val="0"/>
        <c:lblAlgn val="ctr"/>
        <c:lblOffset val="100"/>
        <c:noMultiLvlLbl val="0"/>
      </c:catAx>
      <c:valAx>
        <c:axId val="341495168"/>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1493248"/>
        <c:crosses val="max"/>
        <c:crossBetween val="between"/>
      </c:valAx>
      <c:spPr>
        <a:noFill/>
        <a:ln w="25400">
          <a:noFill/>
        </a:ln>
      </c:spPr>
    </c:plotArea>
    <c:legend>
      <c:legendPos val="t"/>
      <c:layout>
        <c:manualLayout>
          <c:xMode val="edge"/>
          <c:yMode val="edge"/>
          <c:x val="0.47115384615384615"/>
          <c:y val="2.0408163265306121E-2"/>
          <c:w val="0.51923076923076927"/>
          <c:h val="8.1632653061224497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ADJUSTED EBITDA</a:t>
            </a:r>
          </a:p>
        </c:rich>
      </c:tx>
      <c:layout>
        <c:manualLayout>
          <c:xMode val="edge"/>
          <c:yMode val="edge"/>
          <c:x val="1.2048192771084338E-2"/>
          <c:y val="2.0491803278688523E-2"/>
        </c:manualLayout>
      </c:layout>
      <c:overlay val="0"/>
      <c:spPr>
        <a:noFill/>
        <a:ln w="25400">
          <a:noFill/>
        </a:ln>
      </c:spPr>
    </c:title>
    <c:autoTitleDeleted val="0"/>
    <c:plotArea>
      <c:layout>
        <c:manualLayout>
          <c:layoutTarget val="inner"/>
          <c:xMode val="edge"/>
          <c:yMode val="edge"/>
          <c:x val="0.13493991780393191"/>
          <c:y val="0.15573801657357952"/>
          <c:w val="0.75421775486840514"/>
          <c:h val="0.63934554172311597"/>
        </c:manualLayout>
      </c:layout>
      <c:barChart>
        <c:barDir val="col"/>
        <c:grouping val="clustered"/>
        <c:varyColors val="0"/>
        <c:ser>
          <c:idx val="1"/>
          <c:order val="0"/>
          <c:tx>
            <c:strRef>
              <c:f>Charts!$B$39</c:f>
              <c:strCache>
                <c:ptCount val="1"/>
                <c:pt idx="0">
                  <c:v>Adjusted EBITDA</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Charts!$S$3:$Z$3</c:f>
              <c:strCache>
                <c:ptCount val="8"/>
                <c:pt idx="0">
                  <c:v>4Q15</c:v>
                </c:pt>
                <c:pt idx="1">
                  <c:v>1Q16</c:v>
                </c:pt>
                <c:pt idx="2">
                  <c:v>2Q16</c:v>
                </c:pt>
                <c:pt idx="3">
                  <c:v>3Q16</c:v>
                </c:pt>
                <c:pt idx="4">
                  <c:v>4Q16</c:v>
                </c:pt>
                <c:pt idx="5">
                  <c:v>1Q17</c:v>
                </c:pt>
                <c:pt idx="6">
                  <c:v>2Q17</c:v>
                </c:pt>
                <c:pt idx="7">
                  <c:v>3Q17</c:v>
                </c:pt>
              </c:strCache>
            </c:strRef>
          </c:cat>
          <c:val>
            <c:numRef>
              <c:f>Charts!$S$39:$Z$39</c:f>
              <c:numCache>
                <c:formatCode>#,##0.0_);\(#,##0.0\)</c:formatCode>
                <c:ptCount val="8"/>
                <c:pt idx="0">
                  <c:v>41.047000000000004</c:v>
                </c:pt>
                <c:pt idx="1">
                  <c:v>43.010999999999996</c:v>
                </c:pt>
                <c:pt idx="2">
                  <c:v>45.613000000000014</c:v>
                </c:pt>
                <c:pt idx="3">
                  <c:v>47.30599999999999</c:v>
                </c:pt>
                <c:pt idx="4">
                  <c:v>48.404000000000003</c:v>
                </c:pt>
                <c:pt idx="5">
                  <c:v>48.281000000000013</c:v>
                </c:pt>
                <c:pt idx="6">
                  <c:v>49.245999999999995</c:v>
                </c:pt>
                <c:pt idx="7">
                  <c:v>52.948999999999984</c:v>
                </c:pt>
              </c:numCache>
            </c:numRef>
          </c:val>
        </c:ser>
        <c:dLbls>
          <c:showLegendKey val="0"/>
          <c:showVal val="0"/>
          <c:showCatName val="0"/>
          <c:showSerName val="0"/>
          <c:showPercent val="0"/>
          <c:showBubbleSize val="0"/>
        </c:dLbls>
        <c:gapWidth val="150"/>
        <c:axId val="370098944"/>
        <c:axId val="370100480"/>
      </c:barChart>
      <c:lineChart>
        <c:grouping val="standard"/>
        <c:varyColors val="0"/>
        <c:ser>
          <c:idx val="0"/>
          <c:order val="1"/>
          <c:tx>
            <c:strRef>
              <c:f>Charts!$B$40</c:f>
              <c:strCache>
                <c:ptCount val="1"/>
                <c:pt idx="0">
                  <c:v>% Margin</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Charts!$S$3:$Z$3</c:f>
              <c:strCache>
                <c:ptCount val="8"/>
                <c:pt idx="0">
                  <c:v>4Q15</c:v>
                </c:pt>
                <c:pt idx="1">
                  <c:v>1Q16</c:v>
                </c:pt>
                <c:pt idx="2">
                  <c:v>2Q16</c:v>
                </c:pt>
                <c:pt idx="3">
                  <c:v>3Q16</c:v>
                </c:pt>
                <c:pt idx="4">
                  <c:v>4Q16</c:v>
                </c:pt>
                <c:pt idx="5">
                  <c:v>1Q17</c:v>
                </c:pt>
                <c:pt idx="6">
                  <c:v>2Q17</c:v>
                </c:pt>
                <c:pt idx="7">
                  <c:v>3Q17</c:v>
                </c:pt>
              </c:strCache>
            </c:strRef>
          </c:cat>
          <c:val>
            <c:numRef>
              <c:f>Charts!$S$40:$Z$40</c:f>
              <c:numCache>
                <c:formatCode>0.0%_);\(0.0%\);"–"_)</c:formatCode>
                <c:ptCount val="8"/>
                <c:pt idx="0">
                  <c:v>0.44284173049951447</c:v>
                </c:pt>
                <c:pt idx="1">
                  <c:v>0.45385573189262196</c:v>
                </c:pt>
                <c:pt idx="2">
                  <c:v>0.46219866851763663</c:v>
                </c:pt>
                <c:pt idx="3">
                  <c:v>0.45721741651766296</c:v>
                </c:pt>
                <c:pt idx="4">
                  <c:v>0.45905370674203122</c:v>
                </c:pt>
                <c:pt idx="5">
                  <c:v>0.45563587633535924</c:v>
                </c:pt>
                <c:pt idx="6">
                  <c:v>0.45653947417213631</c:v>
                </c:pt>
                <c:pt idx="7">
                  <c:v>0.46541615758523991</c:v>
                </c:pt>
              </c:numCache>
            </c:numRef>
          </c:val>
          <c:smooth val="0"/>
        </c:ser>
        <c:dLbls>
          <c:showLegendKey val="0"/>
          <c:showVal val="0"/>
          <c:showCatName val="0"/>
          <c:showSerName val="0"/>
          <c:showPercent val="0"/>
          <c:showBubbleSize val="0"/>
        </c:dLbls>
        <c:marker val="1"/>
        <c:smooth val="0"/>
        <c:axId val="370152576"/>
        <c:axId val="370154880"/>
      </c:lineChart>
      <c:catAx>
        <c:axId val="37009894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370100480"/>
        <c:crosses val="autoZero"/>
        <c:auto val="0"/>
        <c:lblAlgn val="ctr"/>
        <c:lblOffset val="100"/>
        <c:tickLblSkip val="1"/>
        <c:tickMarkSkip val="1"/>
        <c:noMultiLvlLbl val="0"/>
      </c:catAx>
      <c:valAx>
        <c:axId val="370100480"/>
        <c:scaling>
          <c:orientation val="minMax"/>
        </c:scaling>
        <c:delete val="0"/>
        <c:axPos val="l"/>
        <c:numFmt formatCode="\$#,##0.0_);\(\$#,##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70098944"/>
        <c:crosses val="autoZero"/>
        <c:crossBetween val="between"/>
        <c:majorUnit val="10"/>
      </c:valAx>
      <c:catAx>
        <c:axId val="370152576"/>
        <c:scaling>
          <c:orientation val="minMax"/>
        </c:scaling>
        <c:delete val="1"/>
        <c:axPos val="b"/>
        <c:majorTickMark val="out"/>
        <c:minorTickMark val="none"/>
        <c:tickLblPos val="nextTo"/>
        <c:crossAx val="370154880"/>
        <c:crosses val="autoZero"/>
        <c:auto val="0"/>
        <c:lblAlgn val="ctr"/>
        <c:lblOffset val="100"/>
        <c:noMultiLvlLbl val="0"/>
      </c:catAx>
      <c:valAx>
        <c:axId val="370154880"/>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70152576"/>
        <c:crosses val="max"/>
        <c:crossBetween val="between"/>
        <c:majorUnit val="2.0000000000000004E-2"/>
      </c:valAx>
      <c:spPr>
        <a:noFill/>
        <a:ln w="25400">
          <a:noFill/>
        </a:ln>
      </c:spPr>
    </c:plotArea>
    <c:legend>
      <c:legendPos val="t"/>
      <c:layout>
        <c:manualLayout>
          <c:xMode val="edge"/>
          <c:yMode val="edge"/>
          <c:x val="0.44096436138253803"/>
          <c:y val="2.0491803278688523E-2"/>
          <c:w val="0.54939809632229708"/>
          <c:h val="8.1967213114754106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CAPEX</a:t>
            </a:r>
          </a:p>
        </c:rich>
      </c:tx>
      <c:layout>
        <c:manualLayout>
          <c:xMode val="edge"/>
          <c:yMode val="edge"/>
          <c:x val="2.4096385542168676E-2"/>
          <c:y val="2.0491803278688523E-2"/>
        </c:manualLayout>
      </c:layout>
      <c:overlay val="0"/>
      <c:spPr>
        <a:noFill/>
        <a:ln w="25400">
          <a:noFill/>
        </a:ln>
      </c:spPr>
    </c:title>
    <c:autoTitleDeleted val="0"/>
    <c:plotArea>
      <c:layout>
        <c:manualLayout>
          <c:layoutTarget val="inner"/>
          <c:xMode val="edge"/>
          <c:yMode val="edge"/>
          <c:x val="0.13493991780393191"/>
          <c:y val="0.15573801657357952"/>
          <c:w val="0.73975990653226953"/>
          <c:h val="0.61475532857991921"/>
        </c:manualLayout>
      </c:layout>
      <c:barChart>
        <c:barDir val="col"/>
        <c:grouping val="clustered"/>
        <c:varyColors val="0"/>
        <c:ser>
          <c:idx val="1"/>
          <c:order val="0"/>
          <c:tx>
            <c:strRef>
              <c:f>Charts!$B$57</c:f>
              <c:strCache>
                <c:ptCount val="1"/>
                <c:pt idx="0">
                  <c:v>Capex</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Charts!$S$3:$Z$3</c:f>
              <c:strCache>
                <c:ptCount val="8"/>
                <c:pt idx="0">
                  <c:v>4Q15</c:v>
                </c:pt>
                <c:pt idx="1">
                  <c:v>1Q16</c:v>
                </c:pt>
                <c:pt idx="2">
                  <c:v>2Q16</c:v>
                </c:pt>
                <c:pt idx="3">
                  <c:v>3Q16</c:v>
                </c:pt>
                <c:pt idx="4">
                  <c:v>4Q16</c:v>
                </c:pt>
                <c:pt idx="5">
                  <c:v>1Q17</c:v>
                </c:pt>
                <c:pt idx="6">
                  <c:v>2Q17</c:v>
                </c:pt>
                <c:pt idx="7">
                  <c:v>3Q17</c:v>
                </c:pt>
              </c:strCache>
            </c:strRef>
          </c:cat>
          <c:val>
            <c:numRef>
              <c:f>Charts!$S$57:$Z$57</c:f>
              <c:numCache>
                <c:formatCode>#,##0.0_);\(#,##0.0\)</c:formatCode>
                <c:ptCount val="8"/>
                <c:pt idx="0">
                  <c:v>71.72199999999998</c:v>
                </c:pt>
                <c:pt idx="1">
                  <c:v>78.052999999999997</c:v>
                </c:pt>
                <c:pt idx="2">
                  <c:v>194.23099999999999</c:v>
                </c:pt>
                <c:pt idx="3">
                  <c:v>48.448000000000008</c:v>
                </c:pt>
                <c:pt idx="4">
                  <c:v>132.23999999999998</c:v>
                </c:pt>
                <c:pt idx="5">
                  <c:v>66.119</c:v>
                </c:pt>
                <c:pt idx="6">
                  <c:v>78.718000000000018</c:v>
                </c:pt>
                <c:pt idx="7">
                  <c:v>139.14699999999999</c:v>
                </c:pt>
              </c:numCache>
            </c:numRef>
          </c:val>
        </c:ser>
        <c:dLbls>
          <c:showLegendKey val="0"/>
          <c:showVal val="0"/>
          <c:showCatName val="0"/>
          <c:showSerName val="0"/>
          <c:showPercent val="0"/>
          <c:showBubbleSize val="0"/>
        </c:dLbls>
        <c:gapWidth val="150"/>
        <c:axId val="231753984"/>
        <c:axId val="231772160"/>
      </c:barChart>
      <c:lineChart>
        <c:grouping val="standard"/>
        <c:varyColors val="0"/>
        <c:ser>
          <c:idx val="0"/>
          <c:order val="1"/>
          <c:tx>
            <c:strRef>
              <c:f>Charts!$B$58</c:f>
              <c:strCache>
                <c:ptCount val="1"/>
                <c:pt idx="0">
                  <c:v>% Revenue</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Charts!$S$3:$Z$3</c:f>
              <c:strCache>
                <c:ptCount val="8"/>
                <c:pt idx="0">
                  <c:v>4Q15</c:v>
                </c:pt>
                <c:pt idx="1">
                  <c:v>1Q16</c:v>
                </c:pt>
                <c:pt idx="2">
                  <c:v>2Q16</c:v>
                </c:pt>
                <c:pt idx="3">
                  <c:v>3Q16</c:v>
                </c:pt>
                <c:pt idx="4">
                  <c:v>4Q16</c:v>
                </c:pt>
                <c:pt idx="5">
                  <c:v>1Q17</c:v>
                </c:pt>
                <c:pt idx="6">
                  <c:v>2Q17</c:v>
                </c:pt>
                <c:pt idx="7">
                  <c:v>3Q17</c:v>
                </c:pt>
              </c:strCache>
            </c:strRef>
          </c:cat>
          <c:val>
            <c:numRef>
              <c:f>Charts!$S$58:$Z$58</c:f>
              <c:numCache>
                <c:formatCode>0.0%_);\(0.0%\);"–"_)</c:formatCode>
                <c:ptCount val="8"/>
                <c:pt idx="0">
                  <c:v>0.77378357967418243</c:v>
                </c:pt>
                <c:pt idx="1">
                  <c:v>0.82362189768698291</c:v>
                </c:pt>
                <c:pt idx="2">
                  <c:v>1.9681518335748374</c:v>
                </c:pt>
                <c:pt idx="3">
                  <c:v>0.46825496544725281</c:v>
                </c:pt>
                <c:pt idx="4">
                  <c:v>1.2541373064119947</c:v>
                </c:pt>
                <c:pt idx="5">
                  <c:v>0.6239760673436261</c:v>
                </c:pt>
                <c:pt idx="6">
                  <c:v>0.72976230207290416</c:v>
                </c:pt>
                <c:pt idx="7">
                  <c:v>1.223087538565665</c:v>
                </c:pt>
              </c:numCache>
            </c:numRef>
          </c:val>
          <c:smooth val="0"/>
        </c:ser>
        <c:dLbls>
          <c:showLegendKey val="0"/>
          <c:showVal val="0"/>
          <c:showCatName val="0"/>
          <c:showSerName val="0"/>
          <c:showPercent val="0"/>
          <c:showBubbleSize val="0"/>
        </c:dLbls>
        <c:marker val="1"/>
        <c:smooth val="0"/>
        <c:axId val="231773696"/>
        <c:axId val="231775232"/>
      </c:lineChart>
      <c:catAx>
        <c:axId val="23175398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231772160"/>
        <c:crosses val="autoZero"/>
        <c:auto val="0"/>
        <c:lblAlgn val="ctr"/>
        <c:lblOffset val="100"/>
        <c:tickLblSkip val="1"/>
        <c:tickMarkSkip val="1"/>
        <c:noMultiLvlLbl val="0"/>
      </c:catAx>
      <c:valAx>
        <c:axId val="231772160"/>
        <c:scaling>
          <c:orientation val="minMax"/>
        </c:scaling>
        <c:delete val="0"/>
        <c:axPos val="l"/>
        <c:numFmt formatCode="\$#,##0.0_);\(\$#,##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1753984"/>
        <c:crosses val="autoZero"/>
        <c:crossBetween val="between"/>
        <c:majorUnit val="50"/>
      </c:valAx>
      <c:catAx>
        <c:axId val="231773696"/>
        <c:scaling>
          <c:orientation val="minMax"/>
        </c:scaling>
        <c:delete val="1"/>
        <c:axPos val="b"/>
        <c:majorTickMark val="out"/>
        <c:minorTickMark val="none"/>
        <c:tickLblPos val="nextTo"/>
        <c:crossAx val="231775232"/>
        <c:crosses val="autoZero"/>
        <c:auto val="0"/>
        <c:lblAlgn val="ctr"/>
        <c:lblOffset val="100"/>
        <c:noMultiLvlLbl val="0"/>
      </c:catAx>
      <c:valAx>
        <c:axId val="231775232"/>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1773696"/>
        <c:crosses val="max"/>
        <c:crossBetween val="between"/>
      </c:valAx>
      <c:spPr>
        <a:noFill/>
        <a:ln w="25400">
          <a:noFill/>
        </a:ln>
      </c:spPr>
    </c:plotArea>
    <c:legend>
      <c:legendPos val="t"/>
      <c:layout>
        <c:manualLayout>
          <c:xMode val="edge"/>
          <c:yMode val="edge"/>
          <c:x val="0.52449875090914833"/>
          <c:y val="2.0491803278688523E-2"/>
          <c:w val="0.46586395977611228"/>
          <c:h val="8.1967213114754106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ADJUSTED EBITDA</a:t>
            </a:r>
          </a:p>
        </c:rich>
      </c:tx>
      <c:overlay val="0"/>
      <c:spPr>
        <a:noFill/>
        <a:ln w="25400">
          <a:noFill/>
        </a:ln>
      </c:spPr>
    </c:title>
    <c:autoTitleDeleted val="0"/>
    <c:plotArea>
      <c:layout/>
      <c:barChart>
        <c:barDir val="col"/>
        <c:grouping val="clustered"/>
        <c:varyColors val="0"/>
        <c:ser>
          <c:idx val="1"/>
          <c:order val="0"/>
          <c:tx>
            <c:strRef>
              <c:f>Charts!$B$57</c:f>
              <c:strCache>
                <c:ptCount val="1"/>
                <c:pt idx="0">
                  <c:v>Capex</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Charts!$H$3:$O$3</c:f>
              <c:strCache>
                <c:ptCount val="8"/>
                <c:pt idx="0">
                  <c:v>1Q13</c:v>
                </c:pt>
                <c:pt idx="1">
                  <c:v>2Q13</c:v>
                </c:pt>
                <c:pt idx="2">
                  <c:v>3Q13</c:v>
                </c:pt>
                <c:pt idx="3">
                  <c:v>4Q13</c:v>
                </c:pt>
                <c:pt idx="4">
                  <c:v>1Q14</c:v>
                </c:pt>
                <c:pt idx="5">
                  <c:v>2Q14</c:v>
                </c:pt>
                <c:pt idx="6">
                  <c:v>3Q14</c:v>
                </c:pt>
                <c:pt idx="7">
                  <c:v>4Q14</c:v>
                </c:pt>
              </c:strCache>
            </c:strRef>
          </c:cat>
          <c:val>
            <c:numRef>
              <c:f>Charts!$H$57:$O$57</c:f>
              <c:numCache>
                <c:formatCode>#,##0.0_);\(#,##0.0\)</c:formatCode>
                <c:ptCount val="8"/>
                <c:pt idx="0">
                  <c:v>41.503999999999998</c:v>
                </c:pt>
                <c:pt idx="1">
                  <c:v>45.022000000000006</c:v>
                </c:pt>
                <c:pt idx="2">
                  <c:v>37.572000000000003</c:v>
                </c:pt>
                <c:pt idx="3">
                  <c:v>44.739999999999981</c:v>
                </c:pt>
                <c:pt idx="4">
                  <c:v>59.164999999999999</c:v>
                </c:pt>
                <c:pt idx="5">
                  <c:v>128.292</c:v>
                </c:pt>
                <c:pt idx="6">
                  <c:v>59.615000000000016</c:v>
                </c:pt>
                <c:pt idx="7">
                  <c:v>45.136999999999993</c:v>
                </c:pt>
              </c:numCache>
            </c:numRef>
          </c:val>
        </c:ser>
        <c:dLbls>
          <c:showLegendKey val="0"/>
          <c:showVal val="0"/>
          <c:showCatName val="0"/>
          <c:showSerName val="0"/>
          <c:showPercent val="0"/>
          <c:showBubbleSize val="0"/>
        </c:dLbls>
        <c:gapWidth val="150"/>
        <c:axId val="231876864"/>
        <c:axId val="231890944"/>
      </c:barChart>
      <c:lineChart>
        <c:grouping val="standard"/>
        <c:varyColors val="0"/>
        <c:ser>
          <c:idx val="0"/>
          <c:order val="1"/>
          <c:tx>
            <c:strRef>
              <c:f>Charts!$B$58</c:f>
              <c:strCache>
                <c:ptCount val="1"/>
                <c:pt idx="0">
                  <c:v>% Revenue</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val>
            <c:numRef>
              <c:f>Charts!$H$58:$O$58</c:f>
              <c:numCache>
                <c:formatCode>0.0%_);\(0.0%\);"–"_)</c:formatCode>
                <c:ptCount val="8"/>
                <c:pt idx="0">
                  <c:v>1.0001445852812183</c:v>
                </c:pt>
                <c:pt idx="1">
                  <c:v>1.0484862598975315</c:v>
                </c:pt>
                <c:pt idx="2">
                  <c:v>0.81642764015645375</c:v>
                </c:pt>
                <c:pt idx="3">
                  <c:v>0.94330472917413355</c:v>
                </c:pt>
                <c:pt idx="4">
                  <c:v>1.2088551989048484</c:v>
                </c:pt>
                <c:pt idx="5">
                  <c:v>2.4989676263196854</c:v>
                </c:pt>
                <c:pt idx="6">
                  <c:v>1.0288204331693851</c:v>
                </c:pt>
                <c:pt idx="7">
                  <c:v>0.75780266272686059</c:v>
                </c:pt>
              </c:numCache>
            </c:numRef>
          </c:val>
          <c:smooth val="0"/>
        </c:ser>
        <c:dLbls>
          <c:showLegendKey val="0"/>
          <c:showVal val="0"/>
          <c:showCatName val="0"/>
          <c:showSerName val="0"/>
          <c:showPercent val="0"/>
          <c:showBubbleSize val="0"/>
        </c:dLbls>
        <c:marker val="1"/>
        <c:smooth val="0"/>
        <c:axId val="231892480"/>
        <c:axId val="231894016"/>
      </c:lineChart>
      <c:catAx>
        <c:axId val="23187686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231890944"/>
        <c:crosses val="autoZero"/>
        <c:auto val="0"/>
        <c:lblAlgn val="ctr"/>
        <c:lblOffset val="100"/>
        <c:tickLblSkip val="1"/>
        <c:tickMarkSkip val="1"/>
        <c:noMultiLvlLbl val="0"/>
      </c:catAx>
      <c:valAx>
        <c:axId val="231890944"/>
        <c:scaling>
          <c:orientation val="minMax"/>
        </c:scaling>
        <c:delete val="0"/>
        <c:axPos val="l"/>
        <c:numFmt formatCode="\$#,##0.0_);\(\$#,##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1876864"/>
        <c:crosses val="autoZero"/>
        <c:crossBetween val="between"/>
        <c:majorUnit val="20"/>
      </c:valAx>
      <c:catAx>
        <c:axId val="231892480"/>
        <c:scaling>
          <c:orientation val="minMax"/>
        </c:scaling>
        <c:delete val="1"/>
        <c:axPos val="b"/>
        <c:majorTickMark val="out"/>
        <c:minorTickMark val="none"/>
        <c:tickLblPos val="nextTo"/>
        <c:crossAx val="231894016"/>
        <c:crosses val="autoZero"/>
        <c:auto val="0"/>
        <c:lblAlgn val="ctr"/>
        <c:lblOffset val="100"/>
        <c:noMultiLvlLbl val="0"/>
      </c:catAx>
      <c:valAx>
        <c:axId val="231894016"/>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1892480"/>
        <c:crosses val="max"/>
        <c:crossBetween val="between"/>
      </c:valAx>
      <c:spPr>
        <a:noFill/>
        <a:ln w="25400">
          <a:noFill/>
        </a:ln>
      </c:spPr>
    </c:plotArea>
    <c:legend>
      <c:legendPos val="t"/>
      <c:overlay val="0"/>
      <c:spPr>
        <a:noFill/>
        <a:ln w="25400">
          <a:noFill/>
        </a:ln>
      </c:spPr>
      <c:txPr>
        <a:bodyPr/>
        <a:lstStyle/>
        <a:p>
          <a:pPr>
            <a:defRPr sz="17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PORTFOLIO OVERVIEW</a:t>
            </a:r>
          </a:p>
        </c:rich>
      </c:tx>
      <c:layout>
        <c:manualLayout>
          <c:xMode val="edge"/>
          <c:yMode val="edge"/>
          <c:x val="1.2048192771084338E-2"/>
          <c:y val="2.0491803278688523E-2"/>
        </c:manualLayout>
      </c:layout>
      <c:overlay val="0"/>
      <c:spPr>
        <a:noFill/>
        <a:ln w="25400">
          <a:noFill/>
        </a:ln>
      </c:spPr>
    </c:title>
    <c:autoTitleDeleted val="0"/>
    <c:plotArea>
      <c:layout>
        <c:manualLayout>
          <c:layoutTarget val="inner"/>
          <c:xMode val="edge"/>
          <c:yMode val="edge"/>
          <c:x val="0.16385561447620303"/>
          <c:y val="0.15573801657357952"/>
          <c:w val="0.71084420985999841"/>
          <c:h val="0.61475532857991921"/>
        </c:manualLayout>
      </c:layout>
      <c:barChart>
        <c:barDir val="col"/>
        <c:grouping val="clustered"/>
        <c:varyColors val="0"/>
        <c:ser>
          <c:idx val="1"/>
          <c:order val="0"/>
          <c:tx>
            <c:strRef>
              <c:f>Charts!$B$109</c:f>
              <c:strCache>
                <c:ptCount val="1"/>
                <c:pt idx="0">
                  <c:v>NRSF available for lease</c:v>
                </c:pt>
              </c:strCache>
            </c:strRef>
          </c:tx>
          <c:spPr>
            <a:solidFill>
              <a:srgbClr val="EACC80"/>
            </a:solidFill>
            <a:ln w="25400">
              <a:noFill/>
            </a:ln>
          </c:spPr>
          <c:invertIfNegative val="0"/>
          <c:dLbls>
            <c:numFmt formatCode="#,##0_);\(#,##0\)" sourceLinked="0"/>
            <c:spPr>
              <a:noFill/>
              <a:ln w="25400">
                <a:noFill/>
              </a:ln>
            </c:spPr>
            <c:txPr>
              <a:bodyPr rot="-5400000" vert="horz"/>
              <a:lstStyle/>
              <a:p>
                <a:pPr algn="ct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Charts!$S$3:$Z$3</c:f>
              <c:strCache>
                <c:ptCount val="8"/>
                <c:pt idx="0">
                  <c:v>4Q15</c:v>
                </c:pt>
                <c:pt idx="1">
                  <c:v>1Q16</c:v>
                </c:pt>
                <c:pt idx="2">
                  <c:v>2Q16</c:v>
                </c:pt>
                <c:pt idx="3">
                  <c:v>3Q16</c:v>
                </c:pt>
                <c:pt idx="4">
                  <c:v>4Q16</c:v>
                </c:pt>
                <c:pt idx="5">
                  <c:v>1Q17</c:v>
                </c:pt>
                <c:pt idx="6">
                  <c:v>2Q17</c:v>
                </c:pt>
                <c:pt idx="7">
                  <c:v>3Q17</c:v>
                </c:pt>
              </c:strCache>
            </c:strRef>
          </c:cat>
          <c:val>
            <c:numRef>
              <c:f>Charts!$S$109:$Z$109</c:f>
              <c:numCache>
                <c:formatCode>#,##0_);\(#,##0\)</c:formatCode>
                <c:ptCount val="8"/>
                <c:pt idx="0">
                  <c:v>839356</c:v>
                </c:pt>
                <c:pt idx="1">
                  <c:v>895511</c:v>
                </c:pt>
                <c:pt idx="2">
                  <c:v>1012203</c:v>
                </c:pt>
                <c:pt idx="3">
                  <c:v>1020901</c:v>
                </c:pt>
                <c:pt idx="4">
                  <c:v>1083708</c:v>
                </c:pt>
                <c:pt idx="5">
                  <c:v>1084001</c:v>
                </c:pt>
                <c:pt idx="6">
                  <c:v>1112994</c:v>
                </c:pt>
                <c:pt idx="7">
                  <c:v>1111462</c:v>
                </c:pt>
              </c:numCache>
            </c:numRef>
          </c:val>
        </c:ser>
        <c:dLbls>
          <c:showLegendKey val="0"/>
          <c:showVal val="0"/>
          <c:showCatName val="0"/>
          <c:showSerName val="0"/>
          <c:showPercent val="0"/>
          <c:showBubbleSize val="0"/>
        </c:dLbls>
        <c:gapWidth val="150"/>
        <c:axId val="232138624"/>
        <c:axId val="232140160"/>
      </c:barChart>
      <c:lineChart>
        <c:grouping val="standard"/>
        <c:varyColors val="0"/>
        <c:ser>
          <c:idx val="0"/>
          <c:order val="1"/>
          <c:tx>
            <c:strRef>
              <c:f>Charts!$B$110</c:f>
              <c:strCache>
                <c:ptCount val="1"/>
                <c:pt idx="0">
                  <c:v>Utilization</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Charts!$S$3:$Z$3</c:f>
              <c:strCache>
                <c:ptCount val="8"/>
                <c:pt idx="0">
                  <c:v>4Q15</c:v>
                </c:pt>
                <c:pt idx="1">
                  <c:v>1Q16</c:v>
                </c:pt>
                <c:pt idx="2">
                  <c:v>2Q16</c:v>
                </c:pt>
                <c:pt idx="3">
                  <c:v>3Q16</c:v>
                </c:pt>
                <c:pt idx="4">
                  <c:v>4Q16</c:v>
                </c:pt>
                <c:pt idx="5">
                  <c:v>1Q17</c:v>
                </c:pt>
                <c:pt idx="6">
                  <c:v>2Q17</c:v>
                </c:pt>
                <c:pt idx="7">
                  <c:v>3Q17</c:v>
                </c:pt>
              </c:strCache>
            </c:strRef>
          </c:cat>
          <c:val>
            <c:numRef>
              <c:f>Charts!$S$110:$Z$110</c:f>
              <c:numCache>
                <c:formatCode>0.0%_);\(0.0%\);"–"_)</c:formatCode>
                <c:ptCount val="8"/>
                <c:pt idx="0">
                  <c:v>0.90684524802348465</c:v>
                </c:pt>
                <c:pt idx="1">
                  <c:v>0.8761790754105756</c:v>
                </c:pt>
                <c:pt idx="2">
                  <c:v>0.87974151430098513</c:v>
                </c:pt>
                <c:pt idx="3">
                  <c:v>0.88628378265865149</c:v>
                </c:pt>
                <c:pt idx="4">
                  <c:v>0.88201249783151914</c:v>
                </c:pt>
                <c:pt idx="5">
                  <c:v>0.87578793746500239</c:v>
                </c:pt>
                <c:pt idx="6">
                  <c:v>0.86999121289063552</c:v>
                </c:pt>
                <c:pt idx="7">
                  <c:v>0.87373567427406429</c:v>
                </c:pt>
              </c:numCache>
            </c:numRef>
          </c:val>
          <c:smooth val="0"/>
        </c:ser>
        <c:dLbls>
          <c:showLegendKey val="0"/>
          <c:showVal val="0"/>
          <c:showCatName val="0"/>
          <c:showSerName val="0"/>
          <c:showPercent val="0"/>
          <c:showBubbleSize val="0"/>
        </c:dLbls>
        <c:marker val="1"/>
        <c:smooth val="0"/>
        <c:axId val="232182912"/>
        <c:axId val="232184448"/>
      </c:lineChart>
      <c:catAx>
        <c:axId val="23213862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232140160"/>
        <c:crosses val="autoZero"/>
        <c:auto val="0"/>
        <c:lblAlgn val="ctr"/>
        <c:lblOffset val="100"/>
        <c:tickLblSkip val="1"/>
        <c:tickMarkSkip val="1"/>
        <c:noMultiLvlLbl val="0"/>
      </c:catAx>
      <c:valAx>
        <c:axId val="232140160"/>
        <c:scaling>
          <c:orientation val="minMax"/>
        </c:scaling>
        <c:delete val="0"/>
        <c:axPos val="l"/>
        <c:numFmt formatCode="#,##0_);\(#,##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2138624"/>
        <c:crosses val="autoZero"/>
        <c:crossBetween val="between"/>
        <c:majorUnit val="200000"/>
      </c:valAx>
      <c:catAx>
        <c:axId val="232182912"/>
        <c:scaling>
          <c:orientation val="minMax"/>
        </c:scaling>
        <c:delete val="1"/>
        <c:axPos val="b"/>
        <c:majorTickMark val="out"/>
        <c:minorTickMark val="none"/>
        <c:tickLblPos val="nextTo"/>
        <c:crossAx val="232184448"/>
        <c:crosses val="autoZero"/>
        <c:auto val="0"/>
        <c:lblAlgn val="ctr"/>
        <c:lblOffset val="100"/>
        <c:noMultiLvlLbl val="0"/>
      </c:catAx>
      <c:valAx>
        <c:axId val="232184448"/>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2182912"/>
        <c:crosses val="max"/>
        <c:crossBetween val="between"/>
      </c:valAx>
      <c:spPr>
        <a:noFill/>
        <a:ln w="25400">
          <a:noFill/>
        </a:ln>
      </c:spPr>
    </c:plotArea>
    <c:legend>
      <c:legendPos val="t"/>
      <c:layout>
        <c:manualLayout>
          <c:xMode val="edge"/>
          <c:yMode val="edge"/>
          <c:x val="0.3413659678082408"/>
          <c:y val="2.0491803278688523E-2"/>
          <c:w val="0.64899674287701981"/>
          <c:h val="8.1967213114754106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MONTHLY RECURRING REVENUE</a:t>
            </a:r>
          </a:p>
        </c:rich>
      </c:tx>
      <c:layout>
        <c:manualLayout>
          <c:xMode val="edge"/>
          <c:yMode val="edge"/>
          <c:x val="1.2048192771084338E-2"/>
          <c:y val="2.0491803278688523E-2"/>
        </c:manualLayout>
      </c:layout>
      <c:overlay val="0"/>
      <c:spPr>
        <a:noFill/>
        <a:ln w="25400">
          <a:noFill/>
        </a:ln>
      </c:spPr>
    </c:title>
    <c:autoTitleDeleted val="0"/>
    <c:plotArea>
      <c:layout>
        <c:manualLayout>
          <c:layoutTarget val="inner"/>
          <c:xMode val="edge"/>
          <c:yMode val="edge"/>
          <c:x val="0.13493991780393191"/>
          <c:y val="0.15573801657357952"/>
          <c:w val="0.76867560320454065"/>
          <c:h val="0.61475532857991921"/>
        </c:manualLayout>
      </c:layout>
      <c:barChart>
        <c:barDir val="col"/>
        <c:grouping val="clustered"/>
        <c:varyColors val="0"/>
        <c:ser>
          <c:idx val="1"/>
          <c:order val="0"/>
          <c:tx>
            <c:strRef>
              <c:f>Charts!$B$75</c:f>
              <c:strCache>
                <c:ptCount val="1"/>
                <c:pt idx="0">
                  <c:v>MRR (as defined by MS)</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Charts!$S$3:$Z$3</c:f>
              <c:strCache>
                <c:ptCount val="8"/>
                <c:pt idx="0">
                  <c:v>4Q15</c:v>
                </c:pt>
                <c:pt idx="1">
                  <c:v>1Q16</c:v>
                </c:pt>
                <c:pt idx="2">
                  <c:v>2Q16</c:v>
                </c:pt>
                <c:pt idx="3">
                  <c:v>3Q16</c:v>
                </c:pt>
                <c:pt idx="4">
                  <c:v>4Q16</c:v>
                </c:pt>
                <c:pt idx="5">
                  <c:v>1Q17</c:v>
                </c:pt>
                <c:pt idx="6">
                  <c:v>2Q17</c:v>
                </c:pt>
                <c:pt idx="7">
                  <c:v>3Q17</c:v>
                </c:pt>
              </c:strCache>
            </c:strRef>
          </c:cat>
          <c:val>
            <c:numRef>
              <c:f>Charts!$S$75:$Z$75</c:f>
              <c:numCache>
                <c:formatCode>#,##0.0_);\(#,##0.0\)</c:formatCode>
                <c:ptCount val="8"/>
                <c:pt idx="0">
                  <c:v>28.548666666666662</c:v>
                </c:pt>
                <c:pt idx="1">
                  <c:v>29.105333333333334</c:v>
                </c:pt>
                <c:pt idx="2">
                  <c:v>29.561666666666667</c:v>
                </c:pt>
                <c:pt idx="3">
                  <c:v>31.082666666666665</c:v>
                </c:pt>
                <c:pt idx="4">
                  <c:v>31.654</c:v>
                </c:pt>
                <c:pt idx="5">
                  <c:v>32.027333333333338</c:v>
                </c:pt>
                <c:pt idx="6">
                  <c:v>32.549666666666667</c:v>
                </c:pt>
                <c:pt idx="7">
                  <c:v>34.018333333333338</c:v>
                </c:pt>
              </c:numCache>
            </c:numRef>
          </c:val>
        </c:ser>
        <c:dLbls>
          <c:showLegendKey val="0"/>
          <c:showVal val="0"/>
          <c:showCatName val="0"/>
          <c:showSerName val="0"/>
          <c:showPercent val="0"/>
          <c:showBubbleSize val="0"/>
        </c:dLbls>
        <c:gapWidth val="150"/>
        <c:axId val="232379520"/>
        <c:axId val="232381056"/>
      </c:barChart>
      <c:lineChart>
        <c:grouping val="standard"/>
        <c:varyColors val="0"/>
        <c:ser>
          <c:idx val="0"/>
          <c:order val="1"/>
          <c:tx>
            <c:strRef>
              <c:f>Charts!$B$77</c:f>
              <c:strCache>
                <c:ptCount val="1"/>
                <c:pt idx="0">
                  <c:v>% Q/Q</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val>
            <c:numRef>
              <c:f>Charts!$S$77:$Z$77</c:f>
              <c:numCache>
                <c:formatCode>0.0%_);\(0.0%\);"–"_)</c:formatCode>
                <c:ptCount val="8"/>
                <c:pt idx="0">
                  <c:v>5.3236100692351851E-2</c:v>
                </c:pt>
                <c:pt idx="1">
                  <c:v>1.9498867431053668E-2</c:v>
                </c:pt>
                <c:pt idx="2">
                  <c:v>1.5678684319025082E-2</c:v>
                </c:pt>
                <c:pt idx="3">
                  <c:v>5.1451767491683897E-2</c:v>
                </c:pt>
                <c:pt idx="4">
                  <c:v>1.8381091283459217E-2</c:v>
                </c:pt>
                <c:pt idx="5">
                  <c:v>1.179419136075488E-2</c:v>
                </c:pt>
                <c:pt idx="6">
                  <c:v>1.6308986074394571E-2</c:v>
                </c:pt>
                <c:pt idx="7">
                  <c:v>4.512078976743239E-2</c:v>
                </c:pt>
              </c:numCache>
            </c:numRef>
          </c:val>
          <c:smooth val="0"/>
        </c:ser>
        <c:dLbls>
          <c:showLegendKey val="0"/>
          <c:showVal val="0"/>
          <c:showCatName val="0"/>
          <c:showSerName val="0"/>
          <c:showPercent val="0"/>
          <c:showBubbleSize val="0"/>
        </c:dLbls>
        <c:marker val="1"/>
        <c:smooth val="0"/>
        <c:axId val="232386944"/>
        <c:axId val="232388480"/>
      </c:lineChart>
      <c:catAx>
        <c:axId val="23237952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232381056"/>
        <c:crosses val="autoZero"/>
        <c:auto val="0"/>
        <c:lblAlgn val="ctr"/>
        <c:lblOffset val="100"/>
        <c:tickLblSkip val="1"/>
        <c:tickMarkSkip val="1"/>
        <c:noMultiLvlLbl val="0"/>
      </c:catAx>
      <c:valAx>
        <c:axId val="232381056"/>
        <c:scaling>
          <c:orientation val="minMax"/>
        </c:scaling>
        <c:delete val="0"/>
        <c:axPos val="l"/>
        <c:numFmt formatCode="\$#,##0.0_);\(\$#,##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2379520"/>
        <c:crosses val="autoZero"/>
        <c:crossBetween val="between"/>
        <c:majorUnit val="5"/>
      </c:valAx>
      <c:catAx>
        <c:axId val="232386944"/>
        <c:scaling>
          <c:orientation val="minMax"/>
        </c:scaling>
        <c:delete val="1"/>
        <c:axPos val="b"/>
        <c:majorTickMark val="out"/>
        <c:minorTickMark val="none"/>
        <c:tickLblPos val="nextTo"/>
        <c:crossAx val="232388480"/>
        <c:crosses val="autoZero"/>
        <c:auto val="0"/>
        <c:lblAlgn val="ctr"/>
        <c:lblOffset val="100"/>
        <c:noMultiLvlLbl val="0"/>
      </c:catAx>
      <c:valAx>
        <c:axId val="232388480"/>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2386944"/>
        <c:crosses val="max"/>
        <c:crossBetween val="between"/>
      </c:valAx>
      <c:spPr>
        <a:noFill/>
        <a:ln w="25400">
          <a:noFill/>
        </a:ln>
      </c:spPr>
    </c:plotArea>
    <c:legend>
      <c:legendPos val="t"/>
      <c:layout>
        <c:manualLayout>
          <c:xMode val="edge"/>
          <c:yMode val="edge"/>
          <c:x val="0.43293223286848176"/>
          <c:y val="2.0491803278688523E-2"/>
          <c:w val="0.55743022483635318"/>
          <c:h val="0.1214168925605611"/>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ADJUSTED EBITDA</a:t>
            </a:r>
          </a:p>
        </c:rich>
      </c:tx>
      <c:overlay val="0"/>
      <c:spPr>
        <a:noFill/>
        <a:ln w="25400">
          <a:noFill/>
        </a:ln>
      </c:spPr>
    </c:title>
    <c:autoTitleDeleted val="0"/>
    <c:plotArea>
      <c:layout/>
      <c:barChart>
        <c:barDir val="col"/>
        <c:grouping val="clustered"/>
        <c:varyColors val="0"/>
        <c:ser>
          <c:idx val="1"/>
          <c:order val="0"/>
          <c:tx>
            <c:strRef>
              <c:f>Charts!$B$57</c:f>
              <c:strCache>
                <c:ptCount val="1"/>
                <c:pt idx="0">
                  <c:v>Capex</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Charts!$H$3:$O$3</c:f>
              <c:strCache>
                <c:ptCount val="8"/>
                <c:pt idx="0">
                  <c:v>1Q13</c:v>
                </c:pt>
                <c:pt idx="1">
                  <c:v>2Q13</c:v>
                </c:pt>
                <c:pt idx="2">
                  <c:v>3Q13</c:v>
                </c:pt>
                <c:pt idx="3">
                  <c:v>4Q13</c:v>
                </c:pt>
                <c:pt idx="4">
                  <c:v>1Q14</c:v>
                </c:pt>
                <c:pt idx="5">
                  <c:v>2Q14</c:v>
                </c:pt>
                <c:pt idx="6">
                  <c:v>3Q14</c:v>
                </c:pt>
                <c:pt idx="7">
                  <c:v>4Q14</c:v>
                </c:pt>
              </c:strCache>
            </c:strRef>
          </c:cat>
          <c:val>
            <c:numRef>
              <c:f>Charts!$H$57:$O$57</c:f>
              <c:numCache>
                <c:formatCode>#,##0.0_);\(#,##0.0\)</c:formatCode>
                <c:ptCount val="8"/>
                <c:pt idx="0">
                  <c:v>41.503999999999998</c:v>
                </c:pt>
                <c:pt idx="1">
                  <c:v>45.022000000000006</c:v>
                </c:pt>
                <c:pt idx="2">
                  <c:v>37.572000000000003</c:v>
                </c:pt>
                <c:pt idx="3">
                  <c:v>44.739999999999981</c:v>
                </c:pt>
                <c:pt idx="4">
                  <c:v>59.164999999999999</c:v>
                </c:pt>
                <c:pt idx="5">
                  <c:v>128.292</c:v>
                </c:pt>
                <c:pt idx="6">
                  <c:v>59.615000000000016</c:v>
                </c:pt>
                <c:pt idx="7">
                  <c:v>45.136999999999993</c:v>
                </c:pt>
              </c:numCache>
            </c:numRef>
          </c:val>
        </c:ser>
        <c:dLbls>
          <c:showLegendKey val="0"/>
          <c:showVal val="0"/>
          <c:showCatName val="0"/>
          <c:showSerName val="0"/>
          <c:showPercent val="0"/>
          <c:showBubbleSize val="0"/>
        </c:dLbls>
        <c:gapWidth val="150"/>
        <c:axId val="251831040"/>
        <c:axId val="251832576"/>
      </c:barChart>
      <c:lineChart>
        <c:grouping val="standard"/>
        <c:varyColors val="0"/>
        <c:ser>
          <c:idx val="0"/>
          <c:order val="1"/>
          <c:tx>
            <c:strRef>
              <c:f>Charts!$B$58</c:f>
              <c:strCache>
                <c:ptCount val="1"/>
                <c:pt idx="0">
                  <c:v>% Revenue</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val>
            <c:numRef>
              <c:f>Charts!$H$58:$O$58</c:f>
              <c:numCache>
                <c:formatCode>0.0%_);\(0.0%\);"–"_)</c:formatCode>
                <c:ptCount val="8"/>
                <c:pt idx="0">
                  <c:v>1.0001445852812183</c:v>
                </c:pt>
                <c:pt idx="1">
                  <c:v>1.0484862598975315</c:v>
                </c:pt>
                <c:pt idx="2">
                  <c:v>0.81642764015645375</c:v>
                </c:pt>
                <c:pt idx="3">
                  <c:v>0.94330472917413355</c:v>
                </c:pt>
                <c:pt idx="4">
                  <c:v>1.2088551989048484</c:v>
                </c:pt>
                <c:pt idx="5">
                  <c:v>2.4989676263196854</c:v>
                </c:pt>
                <c:pt idx="6">
                  <c:v>1.0288204331693851</c:v>
                </c:pt>
                <c:pt idx="7">
                  <c:v>0.75780266272686059</c:v>
                </c:pt>
              </c:numCache>
            </c:numRef>
          </c:val>
          <c:smooth val="0"/>
        </c:ser>
        <c:dLbls>
          <c:showLegendKey val="0"/>
          <c:showVal val="0"/>
          <c:showCatName val="0"/>
          <c:showSerName val="0"/>
          <c:showPercent val="0"/>
          <c:showBubbleSize val="0"/>
        </c:dLbls>
        <c:marker val="1"/>
        <c:smooth val="0"/>
        <c:axId val="251838464"/>
        <c:axId val="251840000"/>
      </c:lineChart>
      <c:catAx>
        <c:axId val="25183104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251832576"/>
        <c:crosses val="autoZero"/>
        <c:auto val="0"/>
        <c:lblAlgn val="ctr"/>
        <c:lblOffset val="100"/>
        <c:tickLblSkip val="1"/>
        <c:tickMarkSkip val="1"/>
        <c:noMultiLvlLbl val="0"/>
      </c:catAx>
      <c:valAx>
        <c:axId val="251832576"/>
        <c:scaling>
          <c:orientation val="minMax"/>
        </c:scaling>
        <c:delete val="0"/>
        <c:axPos val="l"/>
        <c:numFmt formatCode="\$#,##0.0_);\(\$#,##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1831040"/>
        <c:crosses val="autoZero"/>
        <c:crossBetween val="between"/>
        <c:majorUnit val="20"/>
      </c:valAx>
      <c:catAx>
        <c:axId val="251838464"/>
        <c:scaling>
          <c:orientation val="minMax"/>
        </c:scaling>
        <c:delete val="1"/>
        <c:axPos val="b"/>
        <c:majorTickMark val="out"/>
        <c:minorTickMark val="none"/>
        <c:tickLblPos val="nextTo"/>
        <c:crossAx val="251840000"/>
        <c:crosses val="autoZero"/>
        <c:auto val="0"/>
        <c:lblAlgn val="ctr"/>
        <c:lblOffset val="100"/>
        <c:noMultiLvlLbl val="0"/>
      </c:catAx>
      <c:valAx>
        <c:axId val="251840000"/>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1838464"/>
        <c:crosses val="max"/>
        <c:crossBetween val="between"/>
      </c:valAx>
      <c:spPr>
        <a:noFill/>
        <a:ln w="25400">
          <a:noFill/>
        </a:ln>
      </c:spPr>
    </c:plotArea>
    <c:legend>
      <c:legendPos val="t"/>
      <c:overlay val="0"/>
      <c:spPr>
        <a:noFill/>
        <a:ln w="25400">
          <a:noFill/>
        </a:ln>
      </c:spPr>
      <c:txPr>
        <a:bodyPr/>
        <a:lstStyle/>
        <a:p>
          <a:pPr>
            <a:defRPr sz="17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REVENUE SEGMENTS</a:t>
            </a:r>
          </a:p>
        </c:rich>
      </c:tx>
      <c:layout>
        <c:manualLayout>
          <c:xMode val="edge"/>
          <c:yMode val="edge"/>
          <c:x val="1.2048192771084338E-2"/>
          <c:y val="2.0491803278688523E-2"/>
        </c:manualLayout>
      </c:layout>
      <c:overlay val="0"/>
      <c:spPr>
        <a:noFill/>
        <a:ln w="25400">
          <a:noFill/>
        </a:ln>
      </c:spPr>
    </c:title>
    <c:autoTitleDeleted val="0"/>
    <c:plotArea>
      <c:layout>
        <c:manualLayout>
          <c:layoutTarget val="inner"/>
          <c:xMode val="edge"/>
          <c:yMode val="edge"/>
          <c:x val="0.28433768394399939"/>
          <c:y val="0.29508255771836123"/>
          <c:w val="0.36626549118210089"/>
          <c:h val="0.6229520662943181"/>
        </c:manualLayout>
      </c:layout>
      <c:pieChart>
        <c:varyColors val="1"/>
        <c:ser>
          <c:idx val="1"/>
          <c:order val="0"/>
          <c:spPr>
            <a:solidFill>
              <a:srgbClr val="EACC80"/>
            </a:solidFill>
            <a:ln w="25400">
              <a:noFill/>
            </a:ln>
          </c:spPr>
          <c:dPt>
            <c:idx val="0"/>
            <c:bubble3D val="0"/>
            <c:spPr>
              <a:solidFill>
                <a:srgbClr val="137CB1"/>
              </a:solidFill>
              <a:ln w="25400">
                <a:noFill/>
              </a:ln>
            </c:spPr>
          </c:dPt>
          <c:dPt>
            <c:idx val="1"/>
            <c:bubble3D val="0"/>
          </c:dPt>
          <c:dPt>
            <c:idx val="2"/>
            <c:bubble3D val="0"/>
            <c:spPr>
              <a:solidFill>
                <a:srgbClr val="4AAC6B"/>
              </a:solidFill>
              <a:ln w="25400">
                <a:noFill/>
              </a:ln>
            </c:spPr>
          </c:dPt>
          <c:dPt>
            <c:idx val="3"/>
            <c:bubble3D val="0"/>
            <c:spPr>
              <a:solidFill>
                <a:srgbClr val="A8D7E2"/>
              </a:solidFill>
              <a:ln w="25400">
                <a:noFill/>
              </a:ln>
            </c:spPr>
          </c:dPt>
          <c:dLbls>
            <c:dLbl>
              <c:idx val="0"/>
              <c:layout>
                <c:manualLayout>
                  <c:x val="2.9337298179612273E-3"/>
                  <c:y val="-4.230966232557333E-2"/>
                </c:manualLayout>
              </c:layout>
              <c:dLblPos val="bestFit"/>
              <c:showLegendKey val="0"/>
              <c:showVal val="1"/>
              <c:showCatName val="1"/>
              <c:showSerName val="0"/>
              <c:showPercent val="0"/>
              <c:showBubbleSize val="0"/>
            </c:dLbl>
            <c:dLbl>
              <c:idx val="1"/>
              <c:layout>
                <c:manualLayout>
                  <c:x val="-2.6001965177531967E-2"/>
                  <c:y val="3.4561771622398138E-2"/>
                </c:manualLayout>
              </c:layout>
              <c:dLblPos val="bestFit"/>
              <c:showLegendKey val="0"/>
              <c:showVal val="1"/>
              <c:showCatName val="1"/>
              <c:showSerName val="0"/>
              <c:showPercent val="0"/>
              <c:showBubbleSize val="0"/>
            </c:dLbl>
            <c:dLbl>
              <c:idx val="2"/>
              <c:layout>
                <c:manualLayout>
                  <c:x val="5.1366477914273789E-2"/>
                  <c:y val="-3.6584025031017112E-2"/>
                </c:manualLayout>
              </c:layout>
              <c:dLblPos val="bestFit"/>
              <c:showLegendKey val="0"/>
              <c:showVal val="1"/>
              <c:showCatName val="1"/>
              <c:showSerName val="0"/>
              <c:showPercent val="0"/>
              <c:showBubbleSize val="0"/>
            </c:dLbl>
            <c:dLbl>
              <c:idx val="3"/>
              <c:layout>
                <c:manualLayout>
                  <c:x val="0.11035874391138453"/>
                  <c:y val="-9.1163287822213224E-3"/>
                </c:manualLayout>
              </c:layout>
              <c:dLblPos val="bestFit"/>
              <c:showLegendKey val="0"/>
              <c:showVal val="1"/>
              <c:showCatName val="1"/>
              <c:showSerName val="0"/>
              <c:showPercent val="0"/>
              <c:showBubbleSize val="0"/>
            </c:dLbl>
            <c:numFmt formatCode="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0"/>
            <c:showVal val="1"/>
            <c:showCatName val="1"/>
            <c:showSerName val="0"/>
            <c:showPercent val="0"/>
            <c:showBubbleSize val="0"/>
            <c:showLeaderLines val="1"/>
          </c:dLbls>
          <c:cat>
            <c:strRef>
              <c:f>Charts!$B$126:$B$129</c:f>
              <c:strCache>
                <c:ptCount val="4"/>
                <c:pt idx="0">
                  <c:v>Rental</c:v>
                </c:pt>
                <c:pt idx="1">
                  <c:v>Recoveries from customers</c:v>
                </c:pt>
                <c:pt idx="2">
                  <c:v>Cloud and managed services</c:v>
                </c:pt>
                <c:pt idx="3">
                  <c:v>Other</c:v>
                </c:pt>
              </c:strCache>
            </c:strRef>
          </c:cat>
          <c:val>
            <c:numRef>
              <c:f>Charts!$R$126:$R$129</c:f>
              <c:numCache>
                <c:formatCode>0%</c:formatCode>
                <c:ptCount val="4"/>
                <c:pt idx="0">
                  <c:v>0.70586117673529081</c:v>
                </c:pt>
                <c:pt idx="1">
                  <c:v>6.9276634042074473E-2</c:v>
                </c:pt>
                <c:pt idx="2">
                  <c:v>0.20894363820452244</c:v>
                </c:pt>
                <c:pt idx="3">
                  <c:v>1.5918551018112275E-2</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TOTAL DIVIDEND</a:t>
            </a:r>
          </a:p>
        </c:rich>
      </c:tx>
      <c:layout>
        <c:manualLayout>
          <c:xMode val="edge"/>
          <c:yMode val="edge"/>
          <c:x val="1.2048192771084338E-2"/>
          <c:y val="2.0491803278688523E-2"/>
        </c:manualLayout>
      </c:layout>
      <c:overlay val="0"/>
      <c:spPr>
        <a:noFill/>
        <a:ln w="25400">
          <a:noFill/>
        </a:ln>
      </c:spPr>
    </c:title>
    <c:autoTitleDeleted val="0"/>
    <c:plotArea>
      <c:layout>
        <c:manualLayout>
          <c:layoutTarget val="inner"/>
          <c:xMode val="edge"/>
          <c:yMode val="edge"/>
          <c:x val="0.13493991780393191"/>
          <c:y val="0.15573801657357952"/>
          <c:w val="0.75421775486840514"/>
          <c:h val="0.61475532857991921"/>
        </c:manualLayout>
      </c:layout>
      <c:barChart>
        <c:barDir val="col"/>
        <c:grouping val="clustered"/>
        <c:varyColors val="0"/>
        <c:ser>
          <c:idx val="1"/>
          <c:order val="0"/>
          <c:tx>
            <c:strRef>
              <c:f>Charts!$B$147</c:f>
              <c:strCache>
                <c:ptCount val="1"/>
                <c:pt idx="0">
                  <c:v>Dividend ($M)</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Charts!$R$3:$Z$3</c:f>
              <c:strCache>
                <c:ptCount val="9"/>
                <c:pt idx="0">
                  <c:v>3Q15</c:v>
                </c:pt>
                <c:pt idx="1">
                  <c:v>4Q15</c:v>
                </c:pt>
                <c:pt idx="2">
                  <c:v>1Q16</c:v>
                </c:pt>
                <c:pt idx="3">
                  <c:v>2Q16</c:v>
                </c:pt>
                <c:pt idx="4">
                  <c:v>3Q16</c:v>
                </c:pt>
                <c:pt idx="5">
                  <c:v>4Q16</c:v>
                </c:pt>
                <c:pt idx="6">
                  <c:v>1Q17</c:v>
                </c:pt>
                <c:pt idx="7">
                  <c:v>2Q17</c:v>
                </c:pt>
                <c:pt idx="8">
                  <c:v>3Q17</c:v>
                </c:pt>
              </c:strCache>
            </c:strRef>
          </c:cat>
          <c:val>
            <c:numRef>
              <c:f>Charts!$R$147:$Z$147</c:f>
              <c:numCache>
                <c:formatCode>#,##0.0_);\(#,##0.0\)</c:formatCode>
                <c:ptCount val="9"/>
                <c:pt idx="0">
                  <c:v>15.594693440000002</c:v>
                </c:pt>
                <c:pt idx="1">
                  <c:v>17.57870136</c:v>
                </c:pt>
                <c:pt idx="2">
                  <c:v>17.630586359999999</c:v>
                </c:pt>
                <c:pt idx="3">
                  <c:v>20.006836199999999</c:v>
                </c:pt>
                <c:pt idx="4">
                  <c:v>20.047559400000001</c:v>
                </c:pt>
                <c:pt idx="5">
                  <c:v>21.673099499999999</c:v>
                </c:pt>
                <c:pt idx="6">
                  <c:v>21.691901400000003</c:v>
                </c:pt>
                <c:pt idx="7">
                  <c:v>21.628787310000003</c:v>
                </c:pt>
                <c:pt idx="8">
                  <c:v>22.16481306</c:v>
                </c:pt>
              </c:numCache>
            </c:numRef>
          </c:val>
        </c:ser>
        <c:dLbls>
          <c:showLegendKey val="0"/>
          <c:showVal val="0"/>
          <c:showCatName val="0"/>
          <c:showSerName val="0"/>
          <c:showPercent val="0"/>
          <c:showBubbleSize val="0"/>
        </c:dLbls>
        <c:gapWidth val="150"/>
        <c:axId val="254345216"/>
        <c:axId val="254346752"/>
      </c:barChart>
      <c:lineChart>
        <c:grouping val="standard"/>
        <c:varyColors val="0"/>
        <c:ser>
          <c:idx val="0"/>
          <c:order val="1"/>
          <c:tx>
            <c:strRef>
              <c:f>Charts!$B$148</c:f>
              <c:strCache>
                <c:ptCount val="1"/>
                <c:pt idx="0">
                  <c:v>% AFFO</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Charts!$R$3:$Z$3</c:f>
              <c:strCache>
                <c:ptCount val="9"/>
                <c:pt idx="0">
                  <c:v>3Q15</c:v>
                </c:pt>
                <c:pt idx="1">
                  <c:v>4Q15</c:v>
                </c:pt>
                <c:pt idx="2">
                  <c:v>1Q16</c:v>
                </c:pt>
                <c:pt idx="3">
                  <c:v>2Q16</c:v>
                </c:pt>
                <c:pt idx="4">
                  <c:v>3Q16</c:v>
                </c:pt>
                <c:pt idx="5">
                  <c:v>4Q16</c:v>
                </c:pt>
                <c:pt idx="6">
                  <c:v>1Q17</c:v>
                </c:pt>
                <c:pt idx="7">
                  <c:v>2Q17</c:v>
                </c:pt>
                <c:pt idx="8">
                  <c:v>3Q17</c:v>
                </c:pt>
              </c:strCache>
            </c:strRef>
          </c:cat>
          <c:val>
            <c:numRef>
              <c:f>Charts!$R$148:$Z$148</c:f>
              <c:numCache>
                <c:formatCode>0.0%_);\(0.0%\);"–"_)</c:formatCode>
                <c:ptCount val="9"/>
                <c:pt idx="0">
                  <c:v>0.52560476710481963</c:v>
                </c:pt>
                <c:pt idx="1">
                  <c:v>0.63135083719426777</c:v>
                </c:pt>
                <c:pt idx="2">
                  <c:v>0.58466544055712144</c:v>
                </c:pt>
                <c:pt idx="3">
                  <c:v>0.5781153003727566</c:v>
                </c:pt>
                <c:pt idx="4">
                  <c:v>0.57414896468768817</c:v>
                </c:pt>
                <c:pt idx="5">
                  <c:v>0.62930021777003486</c:v>
                </c:pt>
                <c:pt idx="6">
                  <c:v>0.59757304132231392</c:v>
                </c:pt>
                <c:pt idx="7">
                  <c:v>0.58921181513566534</c:v>
                </c:pt>
                <c:pt idx="8">
                  <c:v>0.59722504405464416</c:v>
                </c:pt>
              </c:numCache>
            </c:numRef>
          </c:val>
          <c:smooth val="0"/>
        </c:ser>
        <c:dLbls>
          <c:showLegendKey val="0"/>
          <c:showVal val="0"/>
          <c:showCatName val="0"/>
          <c:showSerName val="0"/>
          <c:showPercent val="0"/>
          <c:showBubbleSize val="0"/>
        </c:dLbls>
        <c:marker val="1"/>
        <c:smooth val="0"/>
        <c:axId val="254348288"/>
        <c:axId val="254370560"/>
      </c:lineChart>
      <c:catAx>
        <c:axId val="25434521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254346752"/>
        <c:crosses val="autoZero"/>
        <c:auto val="0"/>
        <c:lblAlgn val="ctr"/>
        <c:lblOffset val="100"/>
        <c:tickLblSkip val="1"/>
        <c:tickMarkSkip val="1"/>
        <c:noMultiLvlLbl val="0"/>
      </c:catAx>
      <c:valAx>
        <c:axId val="254346752"/>
        <c:scaling>
          <c:orientation val="minMax"/>
        </c:scaling>
        <c:delete val="0"/>
        <c:axPos val="l"/>
        <c:numFmt formatCode="\$#,##0.0_);\(\$#,##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4345216"/>
        <c:crosses val="autoZero"/>
        <c:crossBetween val="between"/>
      </c:valAx>
      <c:catAx>
        <c:axId val="254348288"/>
        <c:scaling>
          <c:orientation val="minMax"/>
        </c:scaling>
        <c:delete val="1"/>
        <c:axPos val="b"/>
        <c:majorTickMark val="out"/>
        <c:minorTickMark val="none"/>
        <c:tickLblPos val="nextTo"/>
        <c:crossAx val="254370560"/>
        <c:crosses val="autoZero"/>
        <c:auto val="0"/>
        <c:lblAlgn val="ctr"/>
        <c:lblOffset val="100"/>
        <c:noMultiLvlLbl val="0"/>
      </c:catAx>
      <c:valAx>
        <c:axId val="254370560"/>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4348288"/>
        <c:crosses val="max"/>
        <c:crossBetween val="between"/>
      </c:valAx>
      <c:spPr>
        <a:noFill/>
        <a:ln w="25400">
          <a:noFill/>
        </a:ln>
      </c:spPr>
    </c:plotArea>
    <c:legend>
      <c:legendPos val="t"/>
      <c:layout>
        <c:manualLayout>
          <c:xMode val="edge"/>
          <c:yMode val="edge"/>
          <c:x val="0.46024172279669856"/>
          <c:y val="2.0491803278688523E-2"/>
          <c:w val="0.53012098788856199"/>
          <c:h val="8.1967213114754106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MONTHLY RECURRING REVENUE</a:t>
            </a:r>
          </a:p>
        </c:rich>
      </c:tx>
      <c:layout>
        <c:manualLayout>
          <c:xMode val="edge"/>
          <c:yMode val="edge"/>
          <c:x val="1.201923076923077E-2"/>
          <c:y val="2.0408163265306121E-2"/>
        </c:manualLayout>
      </c:layout>
      <c:overlay val="0"/>
      <c:spPr>
        <a:noFill/>
        <a:ln w="25400">
          <a:noFill/>
        </a:ln>
      </c:spPr>
    </c:title>
    <c:autoTitleDeleted val="0"/>
    <c:plotArea>
      <c:layout>
        <c:manualLayout>
          <c:layoutTarget val="inner"/>
          <c:xMode val="edge"/>
          <c:yMode val="edge"/>
          <c:x val="0.13461538461538461"/>
          <c:y val="0.15510204081632653"/>
          <c:w val="0.75480769230769229"/>
          <c:h val="0.61632653061224485"/>
        </c:manualLayout>
      </c:layout>
      <c:barChart>
        <c:barDir val="col"/>
        <c:grouping val="clustered"/>
        <c:varyColors val="0"/>
        <c:ser>
          <c:idx val="1"/>
          <c:order val="0"/>
          <c:tx>
            <c:strRef>
              <c:f>Charts!$B$75</c:f>
              <c:strCache>
                <c:ptCount val="1"/>
                <c:pt idx="0">
                  <c:v>MRR (as defined by MS)</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Charts!$S$3:$Z$3</c:f>
              <c:strCache>
                <c:ptCount val="8"/>
                <c:pt idx="0">
                  <c:v>4Q15</c:v>
                </c:pt>
                <c:pt idx="1">
                  <c:v>1Q16</c:v>
                </c:pt>
                <c:pt idx="2">
                  <c:v>2Q16</c:v>
                </c:pt>
                <c:pt idx="3">
                  <c:v>3Q16</c:v>
                </c:pt>
                <c:pt idx="4">
                  <c:v>4Q16</c:v>
                </c:pt>
                <c:pt idx="5">
                  <c:v>1Q17</c:v>
                </c:pt>
                <c:pt idx="6">
                  <c:v>2Q17</c:v>
                </c:pt>
                <c:pt idx="7">
                  <c:v>3Q17</c:v>
                </c:pt>
              </c:strCache>
            </c:strRef>
          </c:cat>
          <c:val>
            <c:numRef>
              <c:f>Charts!$S$75:$Z$75</c:f>
              <c:numCache>
                <c:formatCode>#,##0.0_);\(#,##0.0\)</c:formatCode>
                <c:ptCount val="8"/>
                <c:pt idx="0">
                  <c:v>28.548666666666662</c:v>
                </c:pt>
                <c:pt idx="1">
                  <c:v>29.105333333333334</c:v>
                </c:pt>
                <c:pt idx="2">
                  <c:v>29.561666666666667</c:v>
                </c:pt>
                <c:pt idx="3">
                  <c:v>31.082666666666665</c:v>
                </c:pt>
                <c:pt idx="4">
                  <c:v>31.654</c:v>
                </c:pt>
                <c:pt idx="5">
                  <c:v>32.027333333333338</c:v>
                </c:pt>
                <c:pt idx="6">
                  <c:v>32.549666666666667</c:v>
                </c:pt>
                <c:pt idx="7">
                  <c:v>34.018333333333338</c:v>
                </c:pt>
              </c:numCache>
            </c:numRef>
          </c:val>
        </c:ser>
        <c:dLbls>
          <c:showLegendKey val="0"/>
          <c:showVal val="0"/>
          <c:showCatName val="0"/>
          <c:showSerName val="0"/>
          <c:showPercent val="0"/>
          <c:showBubbleSize val="0"/>
        </c:dLbls>
        <c:gapWidth val="150"/>
        <c:axId val="255012224"/>
        <c:axId val="255014016"/>
      </c:barChart>
      <c:lineChart>
        <c:grouping val="standard"/>
        <c:varyColors val="0"/>
        <c:ser>
          <c:idx val="0"/>
          <c:order val="1"/>
          <c:tx>
            <c:strRef>
              <c:f>Charts!$B$78</c:f>
              <c:strCache>
                <c:ptCount val="1"/>
                <c:pt idx="0">
                  <c:v>% of revenues</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val>
            <c:numRef>
              <c:f>Charts!$S$78:$Z$78</c:f>
              <c:numCache>
                <c:formatCode>0.0%_);\(0.0%\);"–"_)</c:formatCode>
                <c:ptCount val="8"/>
                <c:pt idx="0">
                  <c:v>0.92400474700614932</c:v>
                </c:pt>
                <c:pt idx="1">
                  <c:v>0.92136586189431036</c:v>
                </c:pt>
                <c:pt idx="2">
                  <c:v>0.89864926484744689</c:v>
                </c:pt>
                <c:pt idx="3">
                  <c:v>0.90125163098632388</c:v>
                </c:pt>
                <c:pt idx="4">
                  <c:v>0.90060032434585502</c:v>
                </c:pt>
                <c:pt idx="5">
                  <c:v>0.90674191234758983</c:v>
                </c:pt>
                <c:pt idx="6">
                  <c:v>0.90526384099084067</c:v>
                </c:pt>
                <c:pt idx="7">
                  <c:v>0.89705274816071456</c:v>
                </c:pt>
              </c:numCache>
            </c:numRef>
          </c:val>
          <c:smooth val="0"/>
        </c:ser>
        <c:dLbls>
          <c:showLegendKey val="0"/>
          <c:showVal val="0"/>
          <c:showCatName val="0"/>
          <c:showSerName val="0"/>
          <c:showPercent val="0"/>
          <c:showBubbleSize val="0"/>
        </c:dLbls>
        <c:marker val="1"/>
        <c:smooth val="0"/>
        <c:axId val="255015552"/>
        <c:axId val="255033728"/>
      </c:lineChart>
      <c:catAx>
        <c:axId val="25501222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255014016"/>
        <c:crosses val="autoZero"/>
        <c:auto val="0"/>
        <c:lblAlgn val="ctr"/>
        <c:lblOffset val="100"/>
        <c:tickLblSkip val="1"/>
        <c:tickMarkSkip val="1"/>
        <c:noMultiLvlLbl val="0"/>
      </c:catAx>
      <c:valAx>
        <c:axId val="255014016"/>
        <c:scaling>
          <c:orientation val="minMax"/>
        </c:scaling>
        <c:delete val="0"/>
        <c:axPos val="l"/>
        <c:numFmt formatCode="\$#,##0.0_);\(\$#,##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5012224"/>
        <c:crosses val="autoZero"/>
        <c:crossBetween val="between"/>
        <c:majorUnit val="5"/>
      </c:valAx>
      <c:catAx>
        <c:axId val="255015552"/>
        <c:scaling>
          <c:orientation val="minMax"/>
        </c:scaling>
        <c:delete val="1"/>
        <c:axPos val="b"/>
        <c:majorTickMark val="out"/>
        <c:minorTickMark val="none"/>
        <c:tickLblPos val="nextTo"/>
        <c:crossAx val="255033728"/>
        <c:crosses val="autoZero"/>
        <c:auto val="0"/>
        <c:lblAlgn val="ctr"/>
        <c:lblOffset val="100"/>
        <c:noMultiLvlLbl val="0"/>
      </c:catAx>
      <c:valAx>
        <c:axId val="255033728"/>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5015552"/>
        <c:crosses val="max"/>
        <c:crossBetween val="between"/>
        <c:majorUnit val="2.0000000000000004E-2"/>
      </c:valAx>
      <c:spPr>
        <a:noFill/>
        <a:ln w="25400">
          <a:noFill/>
        </a:ln>
      </c:spPr>
    </c:plotArea>
    <c:legend>
      <c:legendPos val="r"/>
      <c:layout>
        <c:manualLayout>
          <c:xMode val="edge"/>
          <c:yMode val="edge"/>
          <c:x val="0.54807692307692313"/>
          <c:y val="2.0408163265306121E-2"/>
          <c:w val="0.44230769230769229"/>
          <c:h val="0.15663013551877444"/>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CHURN</a:t>
            </a:r>
          </a:p>
        </c:rich>
      </c:tx>
      <c:layout>
        <c:manualLayout>
          <c:xMode val="edge"/>
          <c:yMode val="edge"/>
          <c:x val="2.4096385542168676E-2"/>
          <c:y val="2.0491803278688523E-2"/>
        </c:manualLayout>
      </c:layout>
      <c:overlay val="0"/>
      <c:spPr>
        <a:noFill/>
        <a:ln w="25400">
          <a:noFill/>
        </a:ln>
      </c:spPr>
    </c:title>
    <c:autoTitleDeleted val="0"/>
    <c:plotArea>
      <c:layout>
        <c:manualLayout>
          <c:layoutTarget val="inner"/>
          <c:xMode val="edge"/>
          <c:yMode val="edge"/>
          <c:x val="0.13493991780393191"/>
          <c:y val="0.15573801657357952"/>
          <c:w val="0.83132627932779479"/>
          <c:h val="0.61475532857991921"/>
        </c:manualLayout>
      </c:layout>
      <c:barChart>
        <c:barDir val="col"/>
        <c:grouping val="clustered"/>
        <c:varyColors val="0"/>
        <c:ser>
          <c:idx val="1"/>
          <c:order val="0"/>
          <c:tx>
            <c:strRef>
              <c:f>Charts!$B$164</c:f>
              <c:strCache>
                <c:ptCount val="1"/>
                <c:pt idx="0">
                  <c:v>Churn (quarterly)</c:v>
                </c:pt>
              </c:strCache>
            </c:strRef>
          </c:tx>
          <c:spPr>
            <a:solidFill>
              <a:srgbClr val="137CB1"/>
            </a:solidFill>
            <a:ln w="25400">
              <a:noFill/>
            </a:ln>
          </c:spPr>
          <c:invertIfNegative val="0"/>
          <c:dLbls>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showLeaderLines val="0"/>
          </c:dLbls>
          <c:cat>
            <c:strRef>
              <c:f>Charts!$S$3:$Z$3</c:f>
              <c:strCache>
                <c:ptCount val="8"/>
                <c:pt idx="0">
                  <c:v>4Q15</c:v>
                </c:pt>
                <c:pt idx="1">
                  <c:v>1Q16</c:v>
                </c:pt>
                <c:pt idx="2">
                  <c:v>2Q16</c:v>
                </c:pt>
                <c:pt idx="3">
                  <c:v>3Q16</c:v>
                </c:pt>
                <c:pt idx="4">
                  <c:v>4Q16</c:v>
                </c:pt>
                <c:pt idx="5">
                  <c:v>1Q17</c:v>
                </c:pt>
                <c:pt idx="6">
                  <c:v>2Q17</c:v>
                </c:pt>
                <c:pt idx="7">
                  <c:v>3Q17</c:v>
                </c:pt>
              </c:strCache>
            </c:strRef>
          </c:cat>
          <c:val>
            <c:numRef>
              <c:f>Charts!$S$164:$Z$164</c:f>
              <c:numCache>
                <c:formatCode>0.0%</c:formatCode>
                <c:ptCount val="8"/>
                <c:pt idx="0">
                  <c:v>2.1999999999999999E-2</c:v>
                </c:pt>
                <c:pt idx="1">
                  <c:v>2.3E-2</c:v>
                </c:pt>
                <c:pt idx="2">
                  <c:v>1.2999999999999999E-2</c:v>
                </c:pt>
                <c:pt idx="3">
                  <c:v>1.0999999999999999E-2</c:v>
                </c:pt>
                <c:pt idx="4">
                  <c:v>7.0000000000000001E-3</c:v>
                </c:pt>
                <c:pt idx="5">
                  <c:v>3.3000000000000002E-2</c:v>
                </c:pt>
                <c:pt idx="6">
                  <c:v>0.01</c:v>
                </c:pt>
                <c:pt idx="7">
                  <c:v>1.2999999999999999E-2</c:v>
                </c:pt>
              </c:numCache>
            </c:numRef>
          </c:val>
        </c:ser>
        <c:dLbls>
          <c:showLegendKey val="0"/>
          <c:showVal val="0"/>
          <c:showCatName val="0"/>
          <c:showSerName val="0"/>
          <c:showPercent val="0"/>
          <c:showBubbleSize val="0"/>
        </c:dLbls>
        <c:gapWidth val="150"/>
        <c:axId val="255075072"/>
        <c:axId val="255076608"/>
      </c:barChart>
      <c:catAx>
        <c:axId val="25507507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255076608"/>
        <c:crosses val="autoZero"/>
        <c:auto val="0"/>
        <c:lblAlgn val="ctr"/>
        <c:lblOffset val="100"/>
        <c:tickLblSkip val="1"/>
        <c:tickMarkSkip val="1"/>
        <c:noMultiLvlLbl val="0"/>
      </c:catAx>
      <c:valAx>
        <c:axId val="255076608"/>
        <c:scaling>
          <c:orientation val="minMax"/>
        </c:scaling>
        <c:delete val="0"/>
        <c:axPos val="l"/>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5075072"/>
        <c:crosses val="autoZero"/>
        <c:crossBetween val="between"/>
        <c:majorUnit val="2.0000000000000004E-2"/>
      </c:valAx>
      <c:spPr>
        <a:noFill/>
        <a:ln w="25400">
          <a:noFill/>
        </a:ln>
      </c:spPr>
    </c:plotArea>
    <c:legend>
      <c:legendPos val="t"/>
      <c:layout>
        <c:manualLayout>
          <c:xMode val="edge"/>
          <c:yMode val="edge"/>
          <c:x val="0.59036220472440937"/>
          <c:y val="2.0491803278688523E-2"/>
          <c:w val="0.40000025298042563"/>
          <c:h val="8.1967213114754106E-2"/>
        </c:manualLayout>
      </c:layout>
      <c:overlay val="0"/>
      <c:spPr>
        <a:noFill/>
        <a:ln w="25400">
          <a:noFill/>
        </a:ln>
      </c:spPr>
      <c:txPr>
        <a:bodyPr/>
        <a:lstStyle/>
        <a:p>
          <a:pPr>
            <a:defRPr sz="54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ADJUSTED EBITDA</a:t>
            </a:r>
          </a:p>
        </c:rich>
      </c:tx>
      <c:overlay val="0"/>
      <c:spPr>
        <a:noFill/>
        <a:ln w="25400">
          <a:noFill/>
        </a:ln>
      </c:spPr>
    </c:title>
    <c:autoTitleDeleted val="0"/>
    <c:plotArea>
      <c:layout/>
      <c:barChart>
        <c:barDir val="col"/>
        <c:grouping val="clustered"/>
        <c:varyColors val="0"/>
        <c:ser>
          <c:idx val="1"/>
          <c:order val="0"/>
          <c:tx>
            <c:strRef>
              <c:f>Charts!$B$57</c:f>
              <c:strCache>
                <c:ptCount val="1"/>
                <c:pt idx="0">
                  <c:v>Capex</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Charts!$H$3:$O$3</c:f>
              <c:strCache>
                <c:ptCount val="8"/>
                <c:pt idx="0">
                  <c:v>1Q13</c:v>
                </c:pt>
                <c:pt idx="1">
                  <c:v>2Q13</c:v>
                </c:pt>
                <c:pt idx="2">
                  <c:v>3Q13</c:v>
                </c:pt>
                <c:pt idx="3">
                  <c:v>4Q13</c:v>
                </c:pt>
                <c:pt idx="4">
                  <c:v>1Q14</c:v>
                </c:pt>
                <c:pt idx="5">
                  <c:v>2Q14</c:v>
                </c:pt>
                <c:pt idx="6">
                  <c:v>3Q14</c:v>
                </c:pt>
                <c:pt idx="7">
                  <c:v>4Q14</c:v>
                </c:pt>
              </c:strCache>
            </c:strRef>
          </c:cat>
          <c:val>
            <c:numRef>
              <c:f>Charts!$H$57:$O$57</c:f>
              <c:numCache>
                <c:formatCode>#,##0.0_);\(#,##0.0\)</c:formatCode>
                <c:ptCount val="8"/>
                <c:pt idx="0">
                  <c:v>41.503999999999998</c:v>
                </c:pt>
                <c:pt idx="1">
                  <c:v>45.022000000000006</c:v>
                </c:pt>
                <c:pt idx="2">
                  <c:v>37.572000000000003</c:v>
                </c:pt>
                <c:pt idx="3">
                  <c:v>44.739999999999981</c:v>
                </c:pt>
                <c:pt idx="4">
                  <c:v>59.164999999999999</c:v>
                </c:pt>
                <c:pt idx="5">
                  <c:v>128.292</c:v>
                </c:pt>
                <c:pt idx="6">
                  <c:v>59.615000000000016</c:v>
                </c:pt>
                <c:pt idx="7">
                  <c:v>45.136999999999993</c:v>
                </c:pt>
              </c:numCache>
            </c:numRef>
          </c:val>
        </c:ser>
        <c:dLbls>
          <c:showLegendKey val="0"/>
          <c:showVal val="0"/>
          <c:showCatName val="0"/>
          <c:showSerName val="0"/>
          <c:showPercent val="0"/>
          <c:showBubbleSize val="0"/>
        </c:dLbls>
        <c:gapWidth val="150"/>
        <c:axId val="255161472"/>
        <c:axId val="255163008"/>
      </c:barChart>
      <c:lineChart>
        <c:grouping val="standard"/>
        <c:varyColors val="0"/>
        <c:ser>
          <c:idx val="0"/>
          <c:order val="1"/>
          <c:tx>
            <c:strRef>
              <c:f>Charts!$B$58</c:f>
              <c:strCache>
                <c:ptCount val="1"/>
                <c:pt idx="0">
                  <c:v>% Revenue</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val>
            <c:numRef>
              <c:f>Charts!$H$58:$O$58</c:f>
              <c:numCache>
                <c:formatCode>0.0%_);\(0.0%\);"–"_)</c:formatCode>
                <c:ptCount val="8"/>
                <c:pt idx="0">
                  <c:v>1.0001445852812183</c:v>
                </c:pt>
                <c:pt idx="1">
                  <c:v>1.0484862598975315</c:v>
                </c:pt>
                <c:pt idx="2">
                  <c:v>0.81642764015645375</c:v>
                </c:pt>
                <c:pt idx="3">
                  <c:v>0.94330472917413355</c:v>
                </c:pt>
                <c:pt idx="4">
                  <c:v>1.2088551989048484</c:v>
                </c:pt>
                <c:pt idx="5">
                  <c:v>2.4989676263196854</c:v>
                </c:pt>
                <c:pt idx="6">
                  <c:v>1.0288204331693851</c:v>
                </c:pt>
                <c:pt idx="7">
                  <c:v>0.75780266272686059</c:v>
                </c:pt>
              </c:numCache>
            </c:numRef>
          </c:val>
          <c:smooth val="0"/>
        </c:ser>
        <c:dLbls>
          <c:showLegendKey val="0"/>
          <c:showVal val="0"/>
          <c:showCatName val="0"/>
          <c:showSerName val="0"/>
          <c:showPercent val="0"/>
          <c:showBubbleSize val="0"/>
        </c:dLbls>
        <c:marker val="1"/>
        <c:smooth val="0"/>
        <c:axId val="255177088"/>
        <c:axId val="255178624"/>
      </c:lineChart>
      <c:catAx>
        <c:axId val="25516147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255163008"/>
        <c:crosses val="autoZero"/>
        <c:auto val="0"/>
        <c:lblAlgn val="ctr"/>
        <c:lblOffset val="100"/>
        <c:tickLblSkip val="1"/>
        <c:tickMarkSkip val="1"/>
        <c:noMultiLvlLbl val="0"/>
      </c:catAx>
      <c:valAx>
        <c:axId val="255163008"/>
        <c:scaling>
          <c:orientation val="minMax"/>
        </c:scaling>
        <c:delete val="0"/>
        <c:axPos val="l"/>
        <c:numFmt formatCode="\$#,##0.0_);\(\$#,##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5161472"/>
        <c:crosses val="autoZero"/>
        <c:crossBetween val="between"/>
        <c:majorUnit val="20"/>
      </c:valAx>
      <c:catAx>
        <c:axId val="255177088"/>
        <c:scaling>
          <c:orientation val="minMax"/>
        </c:scaling>
        <c:delete val="1"/>
        <c:axPos val="b"/>
        <c:majorTickMark val="out"/>
        <c:minorTickMark val="none"/>
        <c:tickLblPos val="nextTo"/>
        <c:crossAx val="255178624"/>
        <c:crosses val="autoZero"/>
        <c:auto val="0"/>
        <c:lblAlgn val="ctr"/>
        <c:lblOffset val="100"/>
        <c:noMultiLvlLbl val="0"/>
      </c:catAx>
      <c:valAx>
        <c:axId val="255178624"/>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5177088"/>
        <c:crosses val="max"/>
        <c:crossBetween val="between"/>
      </c:valAx>
      <c:spPr>
        <a:noFill/>
        <a:ln w="25400">
          <a:noFill/>
        </a:ln>
      </c:spPr>
    </c:plotArea>
    <c:legend>
      <c:legendPos val="t"/>
      <c:overlay val="0"/>
      <c:spPr>
        <a:noFill/>
        <a:ln w="25400">
          <a:noFill/>
        </a:ln>
      </c:spPr>
      <c:txPr>
        <a:bodyPr/>
        <a:lstStyle/>
        <a:p>
          <a:pPr>
            <a:defRPr sz="17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ANNUALIZED RENT</a:t>
            </a:r>
          </a:p>
        </c:rich>
      </c:tx>
      <c:layout>
        <c:manualLayout>
          <c:xMode val="edge"/>
          <c:yMode val="edge"/>
          <c:x val="1.2048192771084338E-2"/>
          <c:y val="2.0491803278688523E-2"/>
        </c:manualLayout>
      </c:layout>
      <c:overlay val="0"/>
      <c:spPr>
        <a:noFill/>
        <a:ln w="25400">
          <a:noFill/>
        </a:ln>
      </c:spPr>
    </c:title>
    <c:autoTitleDeleted val="0"/>
    <c:plotArea>
      <c:layout>
        <c:manualLayout>
          <c:layoutTarget val="inner"/>
          <c:xMode val="edge"/>
          <c:yMode val="edge"/>
          <c:x val="0.27710875977593158"/>
          <c:y val="0.21311518057437198"/>
          <c:w val="0.40481975341179571"/>
          <c:h val="0.68852596800950949"/>
        </c:manualLayout>
      </c:layout>
      <c:pieChart>
        <c:varyColors val="1"/>
        <c:ser>
          <c:idx val="1"/>
          <c:order val="0"/>
          <c:spPr>
            <a:solidFill>
              <a:srgbClr val="EACC80"/>
            </a:solidFill>
            <a:ln w="25400">
              <a:noFill/>
            </a:ln>
          </c:spPr>
          <c:dPt>
            <c:idx val="0"/>
            <c:bubble3D val="0"/>
            <c:spPr>
              <a:solidFill>
                <a:srgbClr val="137CB1"/>
              </a:solidFill>
              <a:ln w="25400">
                <a:noFill/>
              </a:ln>
            </c:spPr>
          </c:dPt>
          <c:dPt>
            <c:idx val="1"/>
            <c:bubble3D val="0"/>
          </c:dPt>
          <c:dPt>
            <c:idx val="2"/>
            <c:bubble3D val="0"/>
            <c:spPr>
              <a:solidFill>
                <a:srgbClr val="4AAC6B"/>
              </a:solidFill>
              <a:ln w="25400">
                <a:noFill/>
              </a:ln>
            </c:spPr>
          </c:dPt>
          <c:dLbls>
            <c:dLbl>
              <c:idx val="0"/>
              <c:layout>
                <c:manualLayout>
                  <c:x val="7.2560308064099953E-3"/>
                  <c:y val="-6.4735693192134819E-2"/>
                </c:manualLayout>
              </c:layout>
              <c:dLblPos val="bestFit"/>
              <c:showLegendKey val="0"/>
              <c:showVal val="1"/>
              <c:showCatName val="1"/>
              <c:showSerName val="0"/>
              <c:showPercent val="0"/>
              <c:showBubbleSize val="0"/>
            </c:dLbl>
            <c:dLbl>
              <c:idx val="1"/>
              <c:layout>
                <c:manualLayout>
                  <c:x val="2.8884011092957511E-2"/>
                  <c:y val="6.488958318985312E-2"/>
                </c:manualLayout>
              </c:layout>
              <c:dLblPos val="bestFit"/>
              <c:showLegendKey val="0"/>
              <c:showVal val="1"/>
              <c:showCatName val="1"/>
              <c:showSerName val="0"/>
              <c:showPercent val="0"/>
              <c:showBubbleSize val="0"/>
            </c:dLbl>
            <c:dLbl>
              <c:idx val="2"/>
              <c:layout>
                <c:manualLayout>
                  <c:x val="1.5569312603900402E-2"/>
                  <c:y val="-1.8268083250955144E-3"/>
                </c:manualLayout>
              </c:layout>
              <c:dLblPos val="bestFit"/>
              <c:showLegendKey val="0"/>
              <c:showVal val="1"/>
              <c:showCatName val="1"/>
              <c:showSerName val="0"/>
              <c:showPercent val="0"/>
              <c:showBubbleSize val="0"/>
            </c:dLbl>
            <c:dLbl>
              <c:idx val="3"/>
              <c:layout>
                <c:manualLayout>
                  <c:xMode val="edge"/>
                  <c:yMode val="edge"/>
                  <c:x val="0.57349465066671057"/>
                  <c:y val="0.17622986085957684"/>
                </c:manualLayout>
              </c:layout>
              <c:dLblPos val="bestFit"/>
              <c:showLegendKey val="0"/>
              <c:showVal val="1"/>
              <c:showCatName val="1"/>
              <c:showSerName val="0"/>
              <c:showPercent val="0"/>
              <c:showBubbleSize val="0"/>
            </c:dLbl>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estFit"/>
            <c:showLegendKey val="0"/>
            <c:showVal val="1"/>
            <c:showCatName val="1"/>
            <c:showSerName val="0"/>
            <c:showPercent val="0"/>
            <c:showBubbleSize val="0"/>
            <c:showLeaderLines val="1"/>
          </c:dLbls>
          <c:cat>
            <c:strRef>
              <c:f>Charts!$B$183:$B$185</c:f>
              <c:strCache>
                <c:ptCount val="3"/>
                <c:pt idx="0">
                  <c:v>C1</c:v>
                </c:pt>
                <c:pt idx="1">
                  <c:v>C2</c:v>
                </c:pt>
                <c:pt idx="2">
                  <c:v>C3</c:v>
                </c:pt>
              </c:strCache>
            </c:strRef>
          </c:cat>
          <c:val>
            <c:numRef>
              <c:f>Charts!$J$183:$J$185</c:f>
              <c:numCache>
                <c:formatCode>0%</c:formatCode>
                <c:ptCount val="3"/>
                <c:pt idx="0">
                  <c:v>0.4</c:v>
                </c:pt>
                <c:pt idx="1">
                  <c:v>0.52</c:v>
                </c:pt>
                <c:pt idx="2">
                  <c:v>0.08</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ADJUSTED EBITDA</a:t>
            </a:r>
          </a:p>
        </c:rich>
      </c:tx>
      <c:overlay val="0"/>
      <c:spPr>
        <a:noFill/>
        <a:ln w="25400">
          <a:noFill/>
        </a:ln>
      </c:spPr>
    </c:title>
    <c:autoTitleDeleted val="0"/>
    <c:plotArea>
      <c:layout/>
      <c:barChart>
        <c:barDir val="col"/>
        <c:grouping val="clustered"/>
        <c:varyColors val="0"/>
        <c:ser>
          <c:idx val="1"/>
          <c:order val="0"/>
          <c:tx>
            <c:strRef>
              <c:f>Charts!$B$57</c:f>
              <c:strCache>
                <c:ptCount val="1"/>
                <c:pt idx="0">
                  <c:v>Capex</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Charts!$H$3:$O$3</c:f>
              <c:strCache>
                <c:ptCount val="8"/>
                <c:pt idx="0">
                  <c:v>1Q13</c:v>
                </c:pt>
                <c:pt idx="1">
                  <c:v>2Q13</c:v>
                </c:pt>
                <c:pt idx="2">
                  <c:v>3Q13</c:v>
                </c:pt>
                <c:pt idx="3">
                  <c:v>4Q13</c:v>
                </c:pt>
                <c:pt idx="4">
                  <c:v>1Q14</c:v>
                </c:pt>
                <c:pt idx="5">
                  <c:v>2Q14</c:v>
                </c:pt>
                <c:pt idx="6">
                  <c:v>3Q14</c:v>
                </c:pt>
                <c:pt idx="7">
                  <c:v>4Q14</c:v>
                </c:pt>
              </c:strCache>
            </c:strRef>
          </c:cat>
          <c:val>
            <c:numRef>
              <c:f>Charts!$H$57:$O$57</c:f>
              <c:numCache>
                <c:formatCode>#,##0.0_);\(#,##0.0\)</c:formatCode>
                <c:ptCount val="8"/>
                <c:pt idx="0">
                  <c:v>41.503999999999998</c:v>
                </c:pt>
                <c:pt idx="1">
                  <c:v>45.022000000000006</c:v>
                </c:pt>
                <c:pt idx="2">
                  <c:v>37.572000000000003</c:v>
                </c:pt>
                <c:pt idx="3">
                  <c:v>44.739999999999981</c:v>
                </c:pt>
                <c:pt idx="4">
                  <c:v>59.164999999999999</c:v>
                </c:pt>
                <c:pt idx="5">
                  <c:v>128.292</c:v>
                </c:pt>
                <c:pt idx="6">
                  <c:v>59.615000000000016</c:v>
                </c:pt>
                <c:pt idx="7">
                  <c:v>45.136999999999993</c:v>
                </c:pt>
              </c:numCache>
            </c:numRef>
          </c:val>
        </c:ser>
        <c:dLbls>
          <c:showLegendKey val="0"/>
          <c:showVal val="0"/>
          <c:showCatName val="0"/>
          <c:showSerName val="0"/>
          <c:showPercent val="0"/>
          <c:showBubbleSize val="0"/>
        </c:dLbls>
        <c:gapWidth val="150"/>
        <c:axId val="255320064"/>
        <c:axId val="255321600"/>
      </c:barChart>
      <c:lineChart>
        <c:grouping val="standard"/>
        <c:varyColors val="0"/>
        <c:ser>
          <c:idx val="0"/>
          <c:order val="1"/>
          <c:tx>
            <c:strRef>
              <c:f>Charts!$B$58</c:f>
              <c:strCache>
                <c:ptCount val="1"/>
                <c:pt idx="0">
                  <c:v>% Revenue</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val>
            <c:numRef>
              <c:f>Charts!$H$58:$O$58</c:f>
              <c:numCache>
                <c:formatCode>0.0%_);\(0.0%\);"–"_)</c:formatCode>
                <c:ptCount val="8"/>
                <c:pt idx="0">
                  <c:v>1.0001445852812183</c:v>
                </c:pt>
                <c:pt idx="1">
                  <c:v>1.0484862598975315</c:v>
                </c:pt>
                <c:pt idx="2">
                  <c:v>0.81642764015645375</c:v>
                </c:pt>
                <c:pt idx="3">
                  <c:v>0.94330472917413355</c:v>
                </c:pt>
                <c:pt idx="4">
                  <c:v>1.2088551989048484</c:v>
                </c:pt>
                <c:pt idx="5">
                  <c:v>2.4989676263196854</c:v>
                </c:pt>
                <c:pt idx="6">
                  <c:v>1.0288204331693851</c:v>
                </c:pt>
                <c:pt idx="7">
                  <c:v>0.75780266272686059</c:v>
                </c:pt>
              </c:numCache>
            </c:numRef>
          </c:val>
          <c:smooth val="0"/>
        </c:ser>
        <c:dLbls>
          <c:showLegendKey val="0"/>
          <c:showVal val="0"/>
          <c:showCatName val="0"/>
          <c:showSerName val="0"/>
          <c:showPercent val="0"/>
          <c:showBubbleSize val="0"/>
        </c:dLbls>
        <c:marker val="1"/>
        <c:smooth val="0"/>
        <c:axId val="255323136"/>
        <c:axId val="255492864"/>
      </c:lineChart>
      <c:catAx>
        <c:axId val="25532006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255321600"/>
        <c:crosses val="autoZero"/>
        <c:auto val="0"/>
        <c:lblAlgn val="ctr"/>
        <c:lblOffset val="100"/>
        <c:tickLblSkip val="1"/>
        <c:tickMarkSkip val="1"/>
        <c:noMultiLvlLbl val="0"/>
      </c:catAx>
      <c:valAx>
        <c:axId val="255321600"/>
        <c:scaling>
          <c:orientation val="minMax"/>
        </c:scaling>
        <c:delete val="0"/>
        <c:axPos val="l"/>
        <c:numFmt formatCode="\$#,##0.0_);\(\$#,##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5320064"/>
        <c:crosses val="autoZero"/>
        <c:crossBetween val="between"/>
        <c:majorUnit val="20"/>
      </c:valAx>
      <c:catAx>
        <c:axId val="255323136"/>
        <c:scaling>
          <c:orientation val="minMax"/>
        </c:scaling>
        <c:delete val="1"/>
        <c:axPos val="b"/>
        <c:majorTickMark val="out"/>
        <c:minorTickMark val="none"/>
        <c:tickLblPos val="nextTo"/>
        <c:crossAx val="255492864"/>
        <c:crosses val="autoZero"/>
        <c:auto val="0"/>
        <c:lblAlgn val="ctr"/>
        <c:lblOffset val="100"/>
        <c:noMultiLvlLbl val="0"/>
      </c:catAx>
      <c:valAx>
        <c:axId val="255492864"/>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5323136"/>
        <c:crosses val="max"/>
        <c:crossBetween val="between"/>
      </c:valAx>
      <c:spPr>
        <a:noFill/>
        <a:ln w="25400">
          <a:noFill/>
        </a:ln>
      </c:spPr>
    </c:plotArea>
    <c:legend>
      <c:legendPos val="t"/>
      <c:overlay val="0"/>
      <c:spPr>
        <a:noFill/>
        <a:ln w="25400">
          <a:noFill/>
        </a:ln>
      </c:spPr>
      <c:txPr>
        <a:bodyPr/>
        <a:lstStyle/>
        <a:p>
          <a:pPr>
            <a:defRPr sz="17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NET LEVERAGE</a:t>
            </a:r>
          </a:p>
        </c:rich>
      </c:tx>
      <c:layout>
        <c:manualLayout>
          <c:xMode val="edge"/>
          <c:yMode val="edge"/>
          <c:x val="1.2048192771084338E-2"/>
          <c:y val="2.0491803278688523E-2"/>
        </c:manualLayout>
      </c:layout>
      <c:overlay val="0"/>
      <c:spPr>
        <a:noFill/>
        <a:ln w="25400">
          <a:noFill/>
        </a:ln>
      </c:spPr>
    </c:title>
    <c:autoTitleDeleted val="0"/>
    <c:plotArea>
      <c:layout>
        <c:manualLayout>
          <c:layoutTarget val="inner"/>
          <c:xMode val="edge"/>
          <c:yMode val="edge"/>
          <c:x val="0.11084350391037263"/>
          <c:y val="0.15573801657357952"/>
          <c:w val="0.855422693221354"/>
          <c:h val="0.61475532857991921"/>
        </c:manualLayout>
      </c:layout>
      <c:barChart>
        <c:barDir val="col"/>
        <c:grouping val="clustered"/>
        <c:varyColors val="0"/>
        <c:ser>
          <c:idx val="1"/>
          <c:order val="0"/>
          <c:tx>
            <c:strRef>
              <c:f>Charts!$B$201</c:f>
              <c:strCache>
                <c:ptCount val="1"/>
                <c:pt idx="0">
                  <c:v>Net Leverage (annualized adjusted EBITDA)</c:v>
                </c:pt>
              </c:strCache>
            </c:strRef>
          </c:tx>
          <c:spPr>
            <a:solidFill>
              <a:srgbClr val="137CB1"/>
            </a:solidFill>
            <a:ln w="25400">
              <a:noFill/>
            </a:ln>
          </c:spPr>
          <c:invertIfNegative val="0"/>
          <c:dLbls>
            <c:numFmt formatCode="0.0\x"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showLeaderLines val="0"/>
          </c:dLbls>
          <c:cat>
            <c:strRef>
              <c:f>Charts!$S$3:$Z$3</c:f>
              <c:strCache>
                <c:ptCount val="8"/>
                <c:pt idx="0">
                  <c:v>4Q15</c:v>
                </c:pt>
                <c:pt idx="1">
                  <c:v>1Q16</c:v>
                </c:pt>
                <c:pt idx="2">
                  <c:v>2Q16</c:v>
                </c:pt>
                <c:pt idx="3">
                  <c:v>3Q16</c:v>
                </c:pt>
                <c:pt idx="4">
                  <c:v>4Q16</c:v>
                </c:pt>
                <c:pt idx="5">
                  <c:v>1Q17</c:v>
                </c:pt>
                <c:pt idx="6">
                  <c:v>2Q17</c:v>
                </c:pt>
                <c:pt idx="7">
                  <c:v>3Q17</c:v>
                </c:pt>
              </c:strCache>
            </c:strRef>
          </c:cat>
          <c:val>
            <c:numRef>
              <c:f>Charts!$S$201:$Z$201</c:f>
              <c:numCache>
                <c:formatCode>0.0\x</c:formatCode>
                <c:ptCount val="8"/>
                <c:pt idx="0">
                  <c:v>5.2557738689794613</c:v>
                </c:pt>
                <c:pt idx="1">
                  <c:v>5.4358943061077394</c:v>
                </c:pt>
                <c:pt idx="2">
                  <c:v>4.4693398811742258</c:v>
                </c:pt>
                <c:pt idx="3">
                  <c:v>4.4988637804929619</c:v>
                </c:pt>
                <c:pt idx="4">
                  <c:v>4.9388790182629529</c:v>
                </c:pt>
                <c:pt idx="5">
                  <c:v>5.2491197365423234</c:v>
                </c:pt>
                <c:pt idx="6">
                  <c:v>5.2218454290703811</c:v>
                </c:pt>
                <c:pt idx="7">
                  <c:v>5.1466694366277004</c:v>
                </c:pt>
              </c:numCache>
            </c:numRef>
          </c:val>
        </c:ser>
        <c:dLbls>
          <c:showLegendKey val="0"/>
          <c:showVal val="0"/>
          <c:showCatName val="0"/>
          <c:showSerName val="0"/>
          <c:showPercent val="0"/>
          <c:showBubbleSize val="0"/>
        </c:dLbls>
        <c:gapWidth val="150"/>
        <c:axId val="255726720"/>
        <c:axId val="255728256"/>
      </c:barChart>
      <c:catAx>
        <c:axId val="25572672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255728256"/>
        <c:crosses val="autoZero"/>
        <c:auto val="0"/>
        <c:lblAlgn val="ctr"/>
        <c:lblOffset val="100"/>
        <c:tickLblSkip val="1"/>
        <c:tickMarkSkip val="1"/>
        <c:noMultiLvlLbl val="0"/>
      </c:catAx>
      <c:valAx>
        <c:axId val="255728256"/>
        <c:scaling>
          <c:orientation val="minMax"/>
        </c:scaling>
        <c:delete val="0"/>
        <c:axPos val="l"/>
        <c:numFmt formatCode="0.0\x"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5726720"/>
        <c:crosses val="autoZero"/>
        <c:crossBetween val="between"/>
      </c:valAx>
      <c:spPr>
        <a:noFill/>
        <a:ln w="25400">
          <a:noFill/>
        </a:ln>
      </c:spPr>
    </c:plotArea>
    <c:legend>
      <c:legendPos val="t"/>
      <c:layout>
        <c:manualLayout>
          <c:xMode val="edge"/>
          <c:yMode val="edge"/>
          <c:x val="0.26184789551908416"/>
          <c:y val="2.0491803278688523E-2"/>
          <c:w val="0.72851481516617644"/>
          <c:h val="8.1967213114754106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FREE CASH FLOW</a:t>
            </a:r>
          </a:p>
        </c:rich>
      </c:tx>
      <c:layout>
        <c:manualLayout>
          <c:xMode val="edge"/>
          <c:yMode val="edge"/>
          <c:x val="1.2048192771084338E-2"/>
          <c:y val="2.0491803278688523E-2"/>
        </c:manualLayout>
      </c:layout>
      <c:overlay val="0"/>
      <c:spPr>
        <a:noFill/>
        <a:ln w="25400">
          <a:noFill/>
        </a:ln>
      </c:spPr>
    </c:title>
    <c:autoTitleDeleted val="0"/>
    <c:plotArea>
      <c:layout>
        <c:manualLayout>
          <c:layoutTarget val="inner"/>
          <c:xMode val="edge"/>
          <c:yMode val="edge"/>
          <c:x val="0.12289171085715227"/>
          <c:y val="0.15573801657357952"/>
          <c:w val="0.84337448627457445"/>
          <c:h val="0.61475532857991921"/>
        </c:manualLayout>
      </c:layout>
      <c:barChart>
        <c:barDir val="col"/>
        <c:grouping val="clustered"/>
        <c:varyColors val="0"/>
        <c:ser>
          <c:idx val="1"/>
          <c:order val="0"/>
          <c:tx>
            <c:strRef>
              <c:f>Charts!$B$218</c:f>
              <c:strCache>
                <c:ptCount val="1"/>
                <c:pt idx="0">
                  <c:v>OCF-capex</c:v>
                </c:pt>
              </c:strCache>
            </c:strRef>
          </c:tx>
          <c:spPr>
            <a:solidFill>
              <a:srgbClr val="137CB1"/>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showLeaderLines val="0"/>
          </c:dLbls>
          <c:cat>
            <c:strRef>
              <c:f>Charts!$S$3:$Z$3</c:f>
              <c:strCache>
                <c:ptCount val="8"/>
                <c:pt idx="0">
                  <c:v>4Q15</c:v>
                </c:pt>
                <c:pt idx="1">
                  <c:v>1Q16</c:v>
                </c:pt>
                <c:pt idx="2">
                  <c:v>2Q16</c:v>
                </c:pt>
                <c:pt idx="3">
                  <c:v>3Q16</c:v>
                </c:pt>
                <c:pt idx="4">
                  <c:v>4Q16</c:v>
                </c:pt>
                <c:pt idx="5">
                  <c:v>1Q17</c:v>
                </c:pt>
                <c:pt idx="6">
                  <c:v>2Q17</c:v>
                </c:pt>
                <c:pt idx="7">
                  <c:v>3Q17</c:v>
                </c:pt>
              </c:strCache>
            </c:strRef>
          </c:cat>
          <c:val>
            <c:numRef>
              <c:f>Charts!$S$218:$Z$218</c:f>
              <c:numCache>
                <c:formatCode>"$"#,##0.0_);\("$"#,##0.0\)</c:formatCode>
                <c:ptCount val="8"/>
                <c:pt idx="0">
                  <c:v>-34.78299999999998</c:v>
                </c:pt>
                <c:pt idx="1">
                  <c:v>-66.073999999999998</c:v>
                </c:pt>
                <c:pt idx="2">
                  <c:v>-137.70799999999997</c:v>
                </c:pt>
                <c:pt idx="3">
                  <c:v>-13.455000000000013</c:v>
                </c:pt>
                <c:pt idx="4">
                  <c:v>-81.940999999999974</c:v>
                </c:pt>
                <c:pt idx="5">
                  <c:v>-35.583999999999989</c:v>
                </c:pt>
                <c:pt idx="6">
                  <c:v>-31.869000000000028</c:v>
                </c:pt>
                <c:pt idx="7">
                  <c:v>-96.272000000000006</c:v>
                </c:pt>
              </c:numCache>
            </c:numRef>
          </c:val>
        </c:ser>
        <c:dLbls>
          <c:showLegendKey val="0"/>
          <c:showVal val="0"/>
          <c:showCatName val="0"/>
          <c:showSerName val="0"/>
          <c:showPercent val="0"/>
          <c:showBubbleSize val="0"/>
        </c:dLbls>
        <c:gapWidth val="150"/>
        <c:axId val="255786368"/>
        <c:axId val="256050304"/>
      </c:barChart>
      <c:catAx>
        <c:axId val="255786368"/>
        <c:scaling>
          <c:orientation val="minMax"/>
        </c:scaling>
        <c:delete val="0"/>
        <c:axPos val="b"/>
        <c:numFmt formatCode="General" sourceLinked="1"/>
        <c:majorTickMark val="cross"/>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6050304"/>
        <c:crosses val="autoZero"/>
        <c:auto val="0"/>
        <c:lblAlgn val="ctr"/>
        <c:lblOffset val="100"/>
        <c:tickLblSkip val="1"/>
        <c:tickMarkSkip val="1"/>
        <c:noMultiLvlLbl val="0"/>
      </c:catAx>
      <c:valAx>
        <c:axId val="256050304"/>
        <c:scaling>
          <c:orientation val="minMax"/>
        </c:scaling>
        <c:delete val="0"/>
        <c:axPos val="l"/>
        <c:numFmt formatCode="\$#,##0_);\(\$#,##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5786368"/>
        <c:crosses val="autoZero"/>
        <c:crossBetween val="between"/>
        <c:majorUnit val="100"/>
      </c:valAx>
      <c:spPr>
        <a:noFill/>
        <a:ln w="25400">
          <a:noFill/>
        </a:ln>
      </c:spPr>
    </c:plotArea>
    <c:legend>
      <c:legendPos val="t"/>
      <c:layout>
        <c:manualLayout>
          <c:xMode val="edge"/>
          <c:yMode val="edge"/>
          <c:x val="0.68594478702210415"/>
          <c:y val="2.0491803278688523E-2"/>
          <c:w val="0.30441792366315656"/>
          <c:h val="8.1967213114754106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 Id="rId10" Target="../charts/chart10.xml" Type="http://schemas.openxmlformats.org/officeDocument/2006/relationships/chart"/>
<Relationship Id="rId11" Target="../charts/chart11.xml" Type="http://schemas.openxmlformats.org/officeDocument/2006/relationships/chart"/>
<Relationship Id="rId12" Target="../charts/chart12.xml" Type="http://schemas.openxmlformats.org/officeDocument/2006/relationships/chart"/>
<Relationship Id="rId13" Target="../charts/chart13.xml" Type="http://schemas.openxmlformats.org/officeDocument/2006/relationships/chart"/>
<Relationship Id="rId14" Target="../charts/chart14.xml" Type="http://schemas.openxmlformats.org/officeDocument/2006/relationships/chart"/>
<Relationship Id="rId15" Target="../charts/chart15.xml" Type="http://schemas.openxmlformats.org/officeDocument/2006/relationships/chart"/>
<Relationship Id="rId16" Target="../charts/chart16.xml" Type="http://schemas.openxmlformats.org/officeDocument/2006/relationships/chart"/>
<Relationship Id="rId17" Target="../charts/chart17.xml" Type="http://schemas.openxmlformats.org/officeDocument/2006/relationships/chart"/>
<Relationship Id="rId2" Target="../charts/chart2.xml" Type="http://schemas.openxmlformats.org/officeDocument/2006/relationships/chart"/>
<Relationship Id="rId3" Target="../charts/chart3.xml" Type="http://schemas.openxmlformats.org/officeDocument/2006/relationships/chart"/>
<Relationship Id="rId4" Target="../charts/chart4.xml" Type="http://schemas.openxmlformats.org/officeDocument/2006/relationships/chart"/>
<Relationship Id="rId5" Target="../charts/chart5.xml" Type="http://schemas.openxmlformats.org/officeDocument/2006/relationships/chart"/>
<Relationship Id="rId6" Target="../charts/chart6.xml" Type="http://schemas.openxmlformats.org/officeDocument/2006/relationships/chart"/>
<Relationship Id="rId7" Target="../charts/chart7.xml" Type="http://schemas.openxmlformats.org/officeDocument/2006/relationships/chart"/>
<Relationship Id="rId8" Target="../charts/chart8.xml" Type="http://schemas.openxmlformats.org/officeDocument/2006/relationships/chart"/>
<Relationship Id="rId9" Target="../charts/chart9.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183</xdr:row>
      <xdr:rowOff>0</xdr:rowOff>
    </xdr:from>
    <xdr:to>
      <xdr:col>7</xdr:col>
      <xdr:colOff>390525</xdr:colOff>
      <xdr:row>206</xdr:row>
      <xdr:rowOff>104775</xdr:rowOff>
    </xdr:to>
    <xdr:pic>
      <xdr:nvPicPr>
        <xdr:cNvPr id="45057" name="Picture 1" descr="C:\Users\laml\AppData\Local\Temp\MercuryPriceRatingHistoryChart\QTS.N_2018_04_23_00_20_28.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2606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76200</xdr:colOff>
      <xdr:row>7</xdr:row>
      <xdr:rowOff>57150</xdr:rowOff>
    </xdr:from>
    <xdr:to>
      <xdr:col>1</xdr:col>
      <xdr:colOff>4029075</xdr:colOff>
      <xdr:row>21</xdr:row>
      <xdr:rowOff>114300</xdr:rowOff>
    </xdr:to>
    <xdr:graphicFrame macro="">
      <xdr:nvGraphicFramePr>
        <xdr:cNvPr id="4408975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57150</xdr:colOff>
      <xdr:row>22</xdr:row>
      <xdr:rowOff>0</xdr:rowOff>
    </xdr:from>
    <xdr:to>
      <xdr:col>1</xdr:col>
      <xdr:colOff>4019550</xdr:colOff>
      <xdr:row>36</xdr:row>
      <xdr:rowOff>66675</xdr:rowOff>
    </xdr:to>
    <xdr:graphicFrame macro="">
      <xdr:nvGraphicFramePr>
        <xdr:cNvPr id="4408975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40</xdr:row>
      <xdr:rowOff>57150</xdr:rowOff>
    </xdr:from>
    <xdr:to>
      <xdr:col>1</xdr:col>
      <xdr:colOff>4029075</xdr:colOff>
      <xdr:row>54</xdr:row>
      <xdr:rowOff>114300</xdr:rowOff>
    </xdr:to>
    <xdr:graphicFrame macro="">
      <xdr:nvGraphicFramePr>
        <xdr:cNvPr id="4408975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76200</xdr:colOff>
      <xdr:row>58</xdr:row>
      <xdr:rowOff>57150</xdr:rowOff>
    </xdr:from>
    <xdr:to>
      <xdr:col>1</xdr:col>
      <xdr:colOff>4029075</xdr:colOff>
      <xdr:row>72</xdr:row>
      <xdr:rowOff>114300</xdr:rowOff>
    </xdr:to>
    <xdr:graphicFrame macro="">
      <xdr:nvGraphicFramePr>
        <xdr:cNvPr id="44089753"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76200</xdr:colOff>
      <xdr:row>109</xdr:row>
      <xdr:rowOff>0</xdr:rowOff>
    </xdr:from>
    <xdr:to>
      <xdr:col>1</xdr:col>
      <xdr:colOff>4029075</xdr:colOff>
      <xdr:row>109</xdr:row>
      <xdr:rowOff>0</xdr:rowOff>
    </xdr:to>
    <xdr:graphicFrame macro="">
      <xdr:nvGraphicFramePr>
        <xdr:cNvPr id="44089754"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76200</xdr:colOff>
      <xdr:row>110</xdr:row>
      <xdr:rowOff>57150</xdr:rowOff>
    </xdr:from>
    <xdr:to>
      <xdr:col>1</xdr:col>
      <xdr:colOff>4029075</xdr:colOff>
      <xdr:row>124</xdr:row>
      <xdr:rowOff>114300</xdr:rowOff>
    </xdr:to>
    <xdr:graphicFrame macro="">
      <xdr:nvGraphicFramePr>
        <xdr:cNvPr id="4408975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76200</xdr:colOff>
      <xdr:row>78</xdr:row>
      <xdr:rowOff>57150</xdr:rowOff>
    </xdr:from>
    <xdr:to>
      <xdr:col>1</xdr:col>
      <xdr:colOff>4029075</xdr:colOff>
      <xdr:row>92</xdr:row>
      <xdr:rowOff>114300</xdr:rowOff>
    </xdr:to>
    <xdr:graphicFrame macro="">
      <xdr:nvGraphicFramePr>
        <xdr:cNvPr id="44089756"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76200</xdr:colOff>
      <xdr:row>126</xdr:row>
      <xdr:rowOff>0</xdr:rowOff>
    </xdr:from>
    <xdr:to>
      <xdr:col>1</xdr:col>
      <xdr:colOff>4029075</xdr:colOff>
      <xdr:row>126</xdr:row>
      <xdr:rowOff>0</xdr:rowOff>
    </xdr:to>
    <xdr:graphicFrame macro="">
      <xdr:nvGraphicFramePr>
        <xdr:cNvPr id="44089757"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76200</xdr:colOff>
      <xdr:row>129</xdr:row>
      <xdr:rowOff>57150</xdr:rowOff>
    </xdr:from>
    <xdr:to>
      <xdr:col>1</xdr:col>
      <xdr:colOff>4029075</xdr:colOff>
      <xdr:row>143</xdr:row>
      <xdr:rowOff>114300</xdr:rowOff>
    </xdr:to>
    <xdr:graphicFrame macro="">
      <xdr:nvGraphicFramePr>
        <xdr:cNvPr id="4408975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76200</xdr:colOff>
      <xdr:row>148</xdr:row>
      <xdr:rowOff>57150</xdr:rowOff>
    </xdr:from>
    <xdr:to>
      <xdr:col>1</xdr:col>
      <xdr:colOff>4029075</xdr:colOff>
      <xdr:row>162</xdr:row>
      <xdr:rowOff>114300</xdr:rowOff>
    </xdr:to>
    <xdr:graphicFrame macro="">
      <xdr:nvGraphicFramePr>
        <xdr:cNvPr id="44089759"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66675</xdr:colOff>
      <xdr:row>92</xdr:row>
      <xdr:rowOff>76200</xdr:rowOff>
    </xdr:from>
    <xdr:to>
      <xdr:col>1</xdr:col>
      <xdr:colOff>4029075</xdr:colOff>
      <xdr:row>106</xdr:row>
      <xdr:rowOff>142875</xdr:rowOff>
    </xdr:to>
    <xdr:graphicFrame macro="">
      <xdr:nvGraphicFramePr>
        <xdr:cNvPr id="44089760"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76200</xdr:colOff>
      <xdr:row>165</xdr:row>
      <xdr:rowOff>57150</xdr:rowOff>
    </xdr:from>
    <xdr:to>
      <xdr:col>1</xdr:col>
      <xdr:colOff>4029075</xdr:colOff>
      <xdr:row>179</xdr:row>
      <xdr:rowOff>114300</xdr:rowOff>
    </xdr:to>
    <xdr:graphicFrame macro="">
      <xdr:nvGraphicFramePr>
        <xdr:cNvPr id="44089761"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76200</xdr:colOff>
      <xdr:row>182</xdr:row>
      <xdr:rowOff>0</xdr:rowOff>
    </xdr:from>
    <xdr:to>
      <xdr:col>1</xdr:col>
      <xdr:colOff>4029075</xdr:colOff>
      <xdr:row>182</xdr:row>
      <xdr:rowOff>0</xdr:rowOff>
    </xdr:to>
    <xdr:graphicFrame macro="">
      <xdr:nvGraphicFramePr>
        <xdr:cNvPr id="44089762"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76200</xdr:colOff>
      <xdr:row>185</xdr:row>
      <xdr:rowOff>57150</xdr:rowOff>
    </xdr:from>
    <xdr:to>
      <xdr:col>1</xdr:col>
      <xdr:colOff>4029075</xdr:colOff>
      <xdr:row>199</xdr:row>
      <xdr:rowOff>114300</xdr:rowOff>
    </xdr:to>
    <xdr:graphicFrame macro="">
      <xdr:nvGraphicFramePr>
        <xdr:cNvPr id="44089763"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76200</xdr:colOff>
      <xdr:row>183</xdr:row>
      <xdr:rowOff>0</xdr:rowOff>
    </xdr:from>
    <xdr:to>
      <xdr:col>1</xdr:col>
      <xdr:colOff>4029075</xdr:colOff>
      <xdr:row>183</xdr:row>
      <xdr:rowOff>0</xdr:rowOff>
    </xdr:to>
    <xdr:graphicFrame macro="">
      <xdr:nvGraphicFramePr>
        <xdr:cNvPr id="44089764"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76200</xdr:colOff>
      <xdr:row>201</xdr:row>
      <xdr:rowOff>57150</xdr:rowOff>
    </xdr:from>
    <xdr:to>
      <xdr:col>1</xdr:col>
      <xdr:colOff>4029075</xdr:colOff>
      <xdr:row>215</xdr:row>
      <xdr:rowOff>114300</xdr:rowOff>
    </xdr:to>
    <xdr:graphicFrame macro="">
      <xdr:nvGraphicFramePr>
        <xdr:cNvPr id="44089765"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76200</xdr:colOff>
      <xdr:row>218</xdr:row>
      <xdr:rowOff>57150</xdr:rowOff>
    </xdr:from>
    <xdr:to>
      <xdr:col>1</xdr:col>
      <xdr:colOff>4029075</xdr:colOff>
      <xdr:row>232</xdr:row>
      <xdr:rowOff>114300</xdr:rowOff>
    </xdr:to>
    <xdr:graphicFrame macro="">
      <xdr:nvGraphicFramePr>
        <xdr:cNvPr id="44089766"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externalLinks/_rels/externalLink1.xml.rels><?xml version="1.0" encoding="UTF-8" standalone="yes"?>
<Relationships xmlns="http://schemas.openxmlformats.org/package/2006/relationships">
<Relationship Id="rId1" Target="REITS/ARCHIVE%20-%20Old%20REIT%20Team%20Files/FINAL%20FFO%20MODELS/Commercial/4Q07/LRY4Q07.xls" TargetMode="External" Type="http://schemas.microsoft.com/office/2006/relationships/xlExternalLinkPath/xlAlternateStartup"/>
</Relationships>

</file>

<file path=xl/externalLinks/_rels/externalLink2.xml.rels><?xml version="1.0" encoding="UTF-8" standalone="yes"?>
<Relationships xmlns="http://schemas.openxmlformats.org/package/2006/relationships">
<Relationship Id="rId1" Target="ER13/CLECs/CLEC/LVLT/Fcalls/2011/August%20-%20Reassumption/Backup_LVLT%20-%20Reassumption.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ER13/CLECs/CLEC/LVLT/Models/LVLT%20Morgan%20Stanley%20-%20v1.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REITS/ARCHIVE%20-%20Old%20REIT%20Team%20Files/FINAL%20FFO%20MODELS/Commercial/4Q07/BPO4Q07.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REITS/ARCHIVE%20-%20Old%20REIT%20Team%20Files/FINAL%20FFO%20MODELS/Commercial/4Q07/DRE4Q07.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REITS/ARCHIVE%20-%20Old%20REIT%20Team%20Files/FINAL%20FFO%20MODELS/Commercial/3Q05/ARI3Q05.xls" TargetMode="External" Type="http://schemas.microsoft.com/office/2006/relationships/xlExternalLinkPath/xlAlternateStartup"/>
</Relationships>

</file>

<file path=xl/externalLinks/_rels/externalLink7.xml.rels><?xml version="1.0" encoding="UTF-8" standalone="yes"?>
<Relationships xmlns="http://schemas.openxmlformats.org/package/2006/relationships">
<Relationship Id="rId1" Target="REITS/ARCHIVE%20-%20Old%20REIT%20Team%20Files/FINAL%20FFO%20MODELS/Commercial/4Q07/PSB4Q07.xls" TargetMode="External" Type="http://schemas.microsoft.com/office/2006/relationships/xlExternalLinkPath/xlAlternateStartup"/>
</Relationships>

</file>

<file path=xl/externalLinks/_rels/externalLink8.xml.rels><?xml version="1.0" encoding="UTF-8" standalone="yes"?>
<Relationships xmlns="http://schemas.openxmlformats.org/package/2006/relationships">
<Relationship Id="rId1" Target="REITS/ARCHIVE%20-%20Old%20REIT%20Team%20Files/FINAL%20FFO%20MODELS/Commercial/4Q07/AMB4Q07_new.XLS" TargetMode="External" Type="http://schemas.microsoft.com/office/2006/relationships/xlExternalLinkPath/xlAlternateStartup"/>
</Relationships>

</file>

<file path=xl/externalLinks/_rels/externalLink9.xml.rels><?xml version="1.0" encoding="UTF-8" standalone="yes"?>
<Relationships xmlns="http://schemas.openxmlformats.org/package/2006/relationships">
<Relationship Id="rId1" Target="file://///MSAD/ROOT/NA/NY/LIB/ER/ER13/Independent_Rural%20Telcos/CTL/CTLEQ_MergerDocs/Summary_states.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11.xml.rels><?xml version="1.0" encoding="UTF-8" standalone="yes"?>
<Relationships xmlns="http://schemas.openxmlformats.org/package/2006/relationships">
<Relationship Id="rId1" Target="REITS/AMB_GREG.XLS" TargetMode="External" Type="http://schemas.microsoft.com/office/2006/relationships/xlExternalLinkPath/xlStartup"/>
</Relationships>

</file>

<file path=xl/externalLinks/_rels/externalLink12.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_rels/externalLink13.xml.rels><?xml version="1.0" encoding="UTF-8" standalone="yes"?>
<Relationships xmlns="http://schemas.openxmlformats.org/package/2006/relationships">
<Relationship Id="rId1" Target="Reits/Companies/TRZ/Model/TRZ110105.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file://///msad/root/Documents%20and%20Settings/pscavo/Local%20Settings/Temporary%20Internet%20Files/OLK33/OIT%20Screening.xls" TargetMode="External" Type="http://schemas.openxmlformats.org/officeDocument/2006/relationships/externalLinkPath"/>
</Relationships>

</file>

<file path=xl/externalLinks/_rels/externalLink15.xml.rels><?xml version="1.0" encoding="UTF-8" standalone="yes"?>
<Relationships xmlns="http://schemas.openxmlformats.org/package/2006/relationships">
<Relationship Id="rId1" Target="Reits/Companies/AMB/AMB041105.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Disp"/>
      <sheetName val="Income Exhibit_Q"/>
      <sheetName val="Income Exhibit_A"/>
      <sheetName val="5 Year IS"/>
      <sheetName val="mwareTaxoPres"/>
      <sheetName val="Assumptions"/>
      <sheetName val="Model_Template"/>
      <sheetName val="1Q07 Earnings Variance"/>
      <sheetName val="IS"/>
      <sheetName val="Implied Cap Rate"/>
      <sheetName val="4Q07 Earnings Variance"/>
      <sheetName val="3Q07 Earnings Variance"/>
      <sheetName val="__FDSCACHE__"/>
      <sheetName val="BS"/>
      <sheetName val="CFS"/>
      <sheetName val="mwareValPrintout"/>
      <sheetName val="Acquisitions &amp; Developments"/>
      <sheetName val="old -Implied Cap Rate"/>
      <sheetName val="3Q05 Earnings Variance"/>
      <sheetName val="2Q05 Earnings Variance"/>
      <sheetName val="Stats"/>
      <sheetName val="4Q05 Earnings Variance"/>
      <sheetName val="NAV"/>
      <sheetName val="mStartup"/>
      <sheetName val="MainCode"/>
      <sheetName val="NY UPLOAD"/>
      <sheetName val="Sensitivity Analysis"/>
      <sheetName val="1Q06 Earnings Variance"/>
      <sheetName val="2Q06 Earnings Variance"/>
      <sheetName val="Performance Review"/>
      <sheetName val="PT-Exhibit"/>
      <sheetName val="3Q06 Earnings Variance"/>
      <sheetName val="4Q06 Earnings Variance"/>
      <sheetName val="mwareDates"/>
      <sheetName val="Dispositions"/>
      <sheetName val="Devel Pipeline"/>
      <sheetName val="2Q07 Earnings Variance"/>
      <sheetName val="mwareSettings"/>
      <sheetName val="NY UPLOAD shadow"/>
      <sheetName val="Module1"/>
      <sheetName val="Module2"/>
      <sheetName val="Module3"/>
    </sheetNames>
    <sheetDataSet>
      <sheetData sheetId="0" refreshError="1"/>
      <sheetData sheetId="1" refreshError="1"/>
      <sheetData sheetId="2" refreshError="1"/>
      <sheetData sheetId="3" refreshError="1">
        <row r="2">
          <cell r="A2" t="str">
            <v>Liberty Property Trust</v>
          </cell>
        </row>
        <row r="3">
          <cell r="A3" t="str">
            <v>5 Year Income Statement</v>
          </cell>
        </row>
        <row r="4">
          <cell r="A4" t="str">
            <v>(Dollars In Thousands, Except Per-Share)</v>
          </cell>
        </row>
        <row r="9">
          <cell r="A9" t="str">
            <v>Year Ended December 31</v>
          </cell>
          <cell r="C9" t="str">
            <v>1997A</v>
          </cell>
          <cell r="E9" t="str">
            <v>1998A</v>
          </cell>
          <cell r="G9" t="str">
            <v>1999A</v>
          </cell>
          <cell r="I9" t="str">
            <v>2000A</v>
          </cell>
          <cell r="K9" t="str">
            <v>2001A</v>
          </cell>
          <cell r="M9" t="str">
            <v>2002A</v>
          </cell>
        </row>
        <row r="11">
          <cell r="A11" t="str">
            <v xml:space="preserve">  Rental Income</v>
          </cell>
          <cell r="C11">
            <v>169859</v>
          </cell>
          <cell r="E11">
            <v>281732</v>
          </cell>
          <cell r="G11">
            <v>342931</v>
          </cell>
          <cell r="I11">
            <v>384245</v>
          </cell>
          <cell r="K11">
            <v>419712</v>
          </cell>
          <cell r="M11">
            <v>436251</v>
          </cell>
        </row>
        <row r="12">
          <cell r="A12" t="str">
            <v xml:space="preserve">  Operating Expense Reimbursement</v>
          </cell>
          <cell r="C12">
            <v>55502</v>
          </cell>
          <cell r="E12">
            <v>101248</v>
          </cell>
          <cell r="G12">
            <v>123591</v>
          </cell>
          <cell r="I12">
            <v>144344</v>
          </cell>
          <cell r="K12">
            <v>160596</v>
          </cell>
          <cell r="M12">
            <v>162118</v>
          </cell>
        </row>
        <row r="13">
          <cell r="A13" t="str">
            <v xml:space="preserve">  Rental Property Expenses</v>
          </cell>
          <cell r="C13">
            <v>43118</v>
          </cell>
          <cell r="E13">
            <v>74007</v>
          </cell>
          <cell r="G13">
            <v>87415</v>
          </cell>
          <cell r="I13">
            <v>97181</v>
          </cell>
          <cell r="K13">
            <v>111310</v>
          </cell>
          <cell r="M13">
            <v>112583</v>
          </cell>
        </row>
        <row r="14">
          <cell r="A14" t="str">
            <v xml:space="preserve">  Real Estate Taxes</v>
          </cell>
          <cell r="C14">
            <v>17961</v>
          </cell>
          <cell r="E14">
            <v>34338</v>
          </cell>
          <cell r="G14">
            <v>42024</v>
          </cell>
          <cell r="I14">
            <v>51558</v>
          </cell>
          <cell r="K14">
            <v>56578</v>
          </cell>
          <cell r="M14">
            <v>60465</v>
          </cell>
        </row>
        <row r="15">
          <cell r="A15" t="str">
            <v xml:space="preserve">  Acquisition &amp; Development NOI</v>
          </cell>
        </row>
        <row r="16">
          <cell r="A16" t="str">
            <v xml:space="preserve">         Net Operating Income</v>
          </cell>
          <cell r="C16">
            <v>164282</v>
          </cell>
          <cell r="E16">
            <v>274635</v>
          </cell>
          <cell r="G16">
            <v>337083</v>
          </cell>
          <cell r="I16">
            <v>379850</v>
          </cell>
          <cell r="K16">
            <v>412420</v>
          </cell>
          <cell r="M16">
            <v>425576</v>
          </cell>
        </row>
        <row r="18">
          <cell r="A18" t="str">
            <v xml:space="preserve">  General and Administrative</v>
          </cell>
          <cell r="C18">
            <v>10650</v>
          </cell>
          <cell r="E18">
            <v>15522</v>
          </cell>
          <cell r="G18">
            <v>16127</v>
          </cell>
          <cell r="I18">
            <v>19260</v>
          </cell>
          <cell r="K18">
            <v>21052</v>
          </cell>
          <cell r="M18">
            <v>22509</v>
          </cell>
        </row>
        <row r="20">
          <cell r="A20" t="str">
            <v>EBITDA</v>
          </cell>
          <cell r="C20">
            <v>153632</v>
          </cell>
          <cell r="E20">
            <v>259113</v>
          </cell>
          <cell r="G20">
            <v>320956</v>
          </cell>
          <cell r="I20">
            <v>360590</v>
          </cell>
          <cell r="K20">
            <v>391368</v>
          </cell>
          <cell r="M20">
            <v>403067</v>
          </cell>
        </row>
        <row r="22">
          <cell r="A22" t="str">
            <v xml:space="preserve">  Interest Expense</v>
          </cell>
          <cell r="C22">
            <v>53986</v>
          </cell>
          <cell r="E22">
            <v>78617</v>
          </cell>
          <cell r="G22">
            <v>99663</v>
          </cell>
          <cell r="I22">
            <v>108295</v>
          </cell>
          <cell r="K22">
            <v>112006</v>
          </cell>
          <cell r="M22">
            <v>117001</v>
          </cell>
        </row>
        <row r="23">
          <cell r="A23" t="str">
            <v xml:space="preserve">  Depreciation and Amort.</v>
          </cell>
          <cell r="C23">
            <v>40752</v>
          </cell>
          <cell r="E23">
            <v>67932</v>
          </cell>
          <cell r="G23">
            <v>84464</v>
          </cell>
          <cell r="I23">
            <v>93472</v>
          </cell>
          <cell r="K23">
            <v>102626</v>
          </cell>
          <cell r="M23">
            <v>110810</v>
          </cell>
        </row>
        <row r="24">
          <cell r="C24">
            <v>0</v>
          </cell>
          <cell r="E24">
            <v>-1048</v>
          </cell>
          <cell r="G24">
            <v>11919</v>
          </cell>
          <cell r="I24">
            <v>18386</v>
          </cell>
          <cell r="K24">
            <v>2115</v>
          </cell>
          <cell r="M24">
            <v>-7911</v>
          </cell>
        </row>
        <row r="25">
          <cell r="A25" t="str">
            <v xml:space="preserve">  Interest &amp; Other Income</v>
          </cell>
          <cell r="C25">
            <v>6483</v>
          </cell>
          <cell r="E25">
            <v>4564</v>
          </cell>
          <cell r="G25">
            <v>6645</v>
          </cell>
          <cell r="I25">
            <v>3774</v>
          </cell>
          <cell r="K25">
            <v>6857</v>
          </cell>
          <cell r="M25">
            <v>9300</v>
          </cell>
        </row>
        <row r="26">
          <cell r="A26" t="str">
            <v xml:space="preserve">  Int. &amp; Amort. of Exchangeable Sub. Deb.</v>
          </cell>
          <cell r="C26">
            <v>0</v>
          </cell>
          <cell r="E26">
            <v>0</v>
          </cell>
          <cell r="G26">
            <v>0</v>
          </cell>
          <cell r="I26">
            <v>0</v>
          </cell>
          <cell r="K26">
            <v>0</v>
          </cell>
          <cell r="M26">
            <v>0</v>
          </cell>
        </row>
        <row r="27">
          <cell r="A27" t="str">
            <v>Income Bef. Min. Interest</v>
          </cell>
          <cell r="C27">
            <v>65377</v>
          </cell>
          <cell r="E27">
            <v>116080</v>
          </cell>
          <cell r="G27">
            <v>155393</v>
          </cell>
          <cell r="I27">
            <v>180983</v>
          </cell>
          <cell r="K27">
            <v>185708</v>
          </cell>
          <cell r="M27">
            <v>176645</v>
          </cell>
        </row>
        <row r="28">
          <cell r="A28" t="str">
            <v xml:space="preserve">  Minority Interest In Earnings</v>
          </cell>
          <cell r="C28">
            <v>-5606</v>
          </cell>
          <cell r="E28">
            <v>-8062</v>
          </cell>
          <cell r="G28">
            <v>-13524</v>
          </cell>
          <cell r="I28">
            <v>-20209</v>
          </cell>
          <cell r="K28">
            <v>-19171</v>
          </cell>
          <cell r="M28">
            <v>-20384</v>
          </cell>
        </row>
        <row r="29">
          <cell r="A29" t="str">
            <v xml:space="preserve">  Preferred Unit Dividend</v>
          </cell>
          <cell r="C29">
            <v>4247</v>
          </cell>
          <cell r="E29">
            <v>11000</v>
          </cell>
          <cell r="G29">
            <v>11000</v>
          </cell>
          <cell r="I29">
            <v>11000</v>
          </cell>
          <cell r="K29">
            <v>11000</v>
          </cell>
          <cell r="M29">
            <v>7242</v>
          </cell>
        </row>
        <row r="30">
          <cell r="A30" t="str">
            <v xml:space="preserve">  Other Gains/(Losses)</v>
          </cell>
          <cell r="C30">
            <v>0</v>
          </cell>
          <cell r="E30">
            <v>0</v>
          </cell>
          <cell r="G30">
            <v>0</v>
          </cell>
          <cell r="I30">
            <v>0</v>
          </cell>
          <cell r="K30">
            <v>0</v>
          </cell>
          <cell r="M30">
            <v>0</v>
          </cell>
        </row>
        <row r="31">
          <cell r="A31" t="str">
            <v>Net Income</v>
          </cell>
          <cell r="C31">
            <v>55524</v>
          </cell>
          <cell r="E31">
            <v>97018</v>
          </cell>
          <cell r="G31">
            <v>130869</v>
          </cell>
          <cell r="I31">
            <v>149774</v>
          </cell>
          <cell r="K31">
            <v>155537</v>
          </cell>
          <cell r="M31">
            <v>154423</v>
          </cell>
        </row>
        <row r="33">
          <cell r="A33" t="str">
            <v xml:space="preserve">Adjustments </v>
          </cell>
        </row>
        <row r="34">
          <cell r="A34" t="str">
            <v xml:space="preserve"> Depreciation and Amortization</v>
          </cell>
          <cell r="C34">
            <v>40315</v>
          </cell>
          <cell r="E34">
            <v>66867</v>
          </cell>
          <cell r="G34">
            <v>82960</v>
          </cell>
          <cell r="I34">
            <v>92067</v>
          </cell>
          <cell r="K34">
            <v>100801</v>
          </cell>
          <cell r="M34">
            <v>109063</v>
          </cell>
        </row>
        <row r="35">
          <cell r="A35" t="str">
            <v xml:space="preserve"> Gain (Loss) on Property Dispositions</v>
          </cell>
          <cell r="C35">
            <v>-2518</v>
          </cell>
          <cell r="E35">
            <v>1285</v>
          </cell>
          <cell r="G35">
            <v>-13188</v>
          </cell>
          <cell r="I35">
            <v>-18386</v>
          </cell>
          <cell r="K35">
            <v>-2115</v>
          </cell>
          <cell r="M35">
            <v>4845</v>
          </cell>
        </row>
        <row r="36">
          <cell r="A36" t="str">
            <v xml:space="preserve"> Min. Int. in Income/(Loss)</v>
          </cell>
          <cell r="C36">
            <v>5606</v>
          </cell>
          <cell r="E36">
            <v>8062</v>
          </cell>
          <cell r="G36">
            <v>9741</v>
          </cell>
          <cell r="I36">
            <v>10139</v>
          </cell>
          <cell r="K36">
            <v>8559</v>
          </cell>
          <cell r="M36">
            <v>7803</v>
          </cell>
        </row>
        <row r="37">
          <cell r="A37" t="str">
            <v xml:space="preserve"> Write-off of Deferred Financing Costs</v>
          </cell>
          <cell r="C37">
            <v>2919</v>
          </cell>
          <cell r="E37">
            <v>0</v>
          </cell>
          <cell r="G37">
            <v>1145</v>
          </cell>
          <cell r="I37">
            <v>2103</v>
          </cell>
          <cell r="K37">
            <v>0</v>
          </cell>
          <cell r="M37">
            <v>0</v>
          </cell>
        </row>
        <row r="38">
          <cell r="A38" t="str">
            <v xml:space="preserve">  Int. &amp; Amort. of Exchangeable Sub. Deb.</v>
          </cell>
          <cell r="C38">
            <v>12718</v>
          </cell>
          <cell r="E38">
            <v>10051</v>
          </cell>
          <cell r="G38">
            <v>9673</v>
          </cell>
          <cell r="I38">
            <v>6548</v>
          </cell>
          <cell r="K38">
            <v>2587</v>
          </cell>
          <cell r="M38">
            <v>0</v>
          </cell>
        </row>
        <row r="39">
          <cell r="A39" t="str">
            <v xml:space="preserve"> Other Adjustments</v>
          </cell>
          <cell r="C39">
            <v>98</v>
          </cell>
          <cell r="E39">
            <v>0</v>
          </cell>
          <cell r="G39">
            <v>0</v>
          </cell>
          <cell r="I39">
            <v>0</v>
          </cell>
          <cell r="K39">
            <v>0</v>
          </cell>
          <cell r="M39">
            <v>0</v>
          </cell>
        </row>
        <row r="40">
          <cell r="A40" t="str">
            <v>Funds From Operations</v>
          </cell>
          <cell r="C40">
            <v>114564</v>
          </cell>
          <cell r="E40">
            <v>183283</v>
          </cell>
          <cell r="G40">
            <v>221200</v>
          </cell>
          <cell r="I40">
            <v>242245</v>
          </cell>
          <cell r="K40">
            <v>265369</v>
          </cell>
          <cell r="M40">
            <v>276217</v>
          </cell>
        </row>
        <row r="42">
          <cell r="A42" t="str">
            <v xml:space="preserve"> Straight-lining Adjustment</v>
          </cell>
          <cell r="C42">
            <v>-3269</v>
          </cell>
          <cell r="E42">
            <v>-5725</v>
          </cell>
          <cell r="G42">
            <v>-8262.0720000000001</v>
          </cell>
          <cell r="I42">
            <v>-10797</v>
          </cell>
          <cell r="K42">
            <v>-10995</v>
          </cell>
          <cell r="M42">
            <v>-9836</v>
          </cell>
        </row>
        <row r="43">
          <cell r="A43" t="str">
            <v xml:space="preserve"> Tenant Improvements &amp; LC's</v>
          </cell>
          <cell r="C43">
            <v>-7229</v>
          </cell>
          <cell r="E43">
            <v>-11051</v>
          </cell>
          <cell r="G43">
            <v>-16369.839191483203</v>
          </cell>
          <cell r="I43">
            <v>-26762</v>
          </cell>
          <cell r="K43">
            <v>-23308</v>
          </cell>
          <cell r="M43">
            <v>-33137</v>
          </cell>
        </row>
        <row r="44">
          <cell r="A44" t="str">
            <v xml:space="preserve"> Non-reimbursed Capital Expenditures</v>
          </cell>
          <cell r="C44">
            <v>-2266</v>
          </cell>
          <cell r="E44">
            <v>-2202</v>
          </cell>
          <cell r="G44">
            <v>-2755.7799999999997</v>
          </cell>
          <cell r="I44">
            <v>-3399</v>
          </cell>
          <cell r="K44">
            <v>-3666</v>
          </cell>
          <cell r="M44">
            <v>-4769</v>
          </cell>
        </row>
        <row r="45">
          <cell r="A45" t="str">
            <v>Adjusted Funds From Operations</v>
          </cell>
          <cell r="C45">
            <v>101800</v>
          </cell>
          <cell r="E45">
            <v>164305</v>
          </cell>
          <cell r="G45">
            <v>193812.3088085168</v>
          </cell>
          <cell r="I45">
            <v>201287</v>
          </cell>
          <cell r="K45">
            <v>226184</v>
          </cell>
          <cell r="M45">
            <v>228475</v>
          </cell>
        </row>
        <row r="48">
          <cell r="A48" t="str">
            <v>Net Income Per Share</v>
          </cell>
          <cell r="C48">
            <v>1.3606822526099103</v>
          </cell>
          <cell r="E48">
            <v>1.5802778818432068</v>
          </cell>
          <cell r="G48">
            <v>1.9465356769680993</v>
          </cell>
          <cell r="I48">
            <v>2.2106312558652528</v>
          </cell>
          <cell r="K48">
            <v>2.1929366492625024</v>
          </cell>
          <cell r="M48">
            <v>2.0788044832414156</v>
          </cell>
        </row>
        <row r="50">
          <cell r="A50" t="str">
            <v>FFO Per Share</v>
          </cell>
          <cell r="C50">
            <v>2.1994317309169098</v>
          </cell>
          <cell r="E50">
            <v>2.5521903807057118</v>
          </cell>
          <cell r="G50">
            <v>2.8968330621372003</v>
          </cell>
          <cell r="I50">
            <v>3.1632106761379957</v>
          </cell>
          <cell r="K50">
            <v>3.4182499710174796</v>
          </cell>
          <cell r="M50">
            <v>3.4485742109468638</v>
          </cell>
        </row>
        <row r="52">
          <cell r="A52" t="str">
            <v>AFFO Per Share</v>
          </cell>
          <cell r="C52">
            <v>1.9543848871141145</v>
          </cell>
          <cell r="E52">
            <v>2.2879243601526165</v>
          </cell>
          <cell r="G52">
            <v>2.5381641229912133</v>
          </cell>
          <cell r="I52">
            <v>2.6283852602439217</v>
          </cell>
          <cell r="K52">
            <v>2.9135032782450763</v>
          </cell>
          <cell r="M52">
            <v>2.8525144826208551</v>
          </cell>
        </row>
        <row r="53">
          <cell r="A53" t="str">
            <v>NOI Per Share</v>
          </cell>
          <cell r="C53">
            <v>3.1539318077100291</v>
          </cell>
          <cell r="E53">
            <v>3.8178002483486444</v>
          </cell>
          <cell r="G53">
            <v>4.414195117113044</v>
          </cell>
          <cell r="I53">
            <v>4.9589544489096697</v>
          </cell>
          <cell r="K53">
            <v>5.3273749356712798</v>
          </cell>
          <cell r="M53">
            <v>5.3130610678232912</v>
          </cell>
        </row>
        <row r="54">
          <cell r="A54" t="str">
            <v>EBITDA Per Share</v>
          </cell>
          <cell r="C54">
            <v>2.949470127476578</v>
          </cell>
          <cell r="E54">
            <v>3.6020384545982491</v>
          </cell>
          <cell r="G54">
            <v>4.2030001005115798</v>
          </cell>
          <cell r="I54">
            <v>4.7075275830589129</v>
          </cell>
          <cell r="K54">
            <v>5.0553019604806231</v>
          </cell>
          <cell r="M54">
            <v>5.0319562456252349</v>
          </cell>
        </row>
        <row r="56">
          <cell r="A56" t="str">
            <v>Dividends Per Share</v>
          </cell>
          <cell r="C56">
            <v>1.66</v>
          </cell>
          <cell r="E56">
            <v>1.74</v>
          </cell>
          <cell r="G56">
            <v>1.94</v>
          </cell>
          <cell r="I56">
            <v>2.1799999999999997</v>
          </cell>
          <cell r="K56">
            <v>2.3199999999999998</v>
          </cell>
          <cell r="M56">
            <v>2.38</v>
          </cell>
        </row>
        <row r="58">
          <cell r="A58" t="str">
            <v>Payout Ratio (Net Income)</v>
          </cell>
          <cell r="C58">
            <v>1.2199762264966501</v>
          </cell>
          <cell r="E58">
            <v>1.1010721721742358</v>
          </cell>
          <cell r="G58">
            <v>0.9966424057645431</v>
          </cell>
          <cell r="I58">
            <v>0.98614366109952434</v>
          </cell>
          <cell r="K58">
            <v>1.0579420982271557</v>
          </cell>
          <cell r="M58">
            <v>1.1448888143097227</v>
          </cell>
        </row>
        <row r="59">
          <cell r="A59" t="str">
            <v>Payout Ratio (FFO)</v>
          </cell>
          <cell r="C59">
            <v>0.75474040710869028</v>
          </cell>
          <cell r="E59">
            <v>0.6817673215737412</v>
          </cell>
          <cell r="G59">
            <v>0.66969685804701617</v>
          </cell>
          <cell r="I59">
            <v>0.6891731924291522</v>
          </cell>
          <cell r="K59">
            <v>0.6787098719142024</v>
          </cell>
          <cell r="M59">
            <v>0.69014028825162821</v>
          </cell>
        </row>
        <row r="60">
          <cell r="A60" t="str">
            <v>Payout Ratio (AFFO)</v>
          </cell>
          <cell r="C60">
            <v>0.84937210216110015</v>
          </cell>
          <cell r="E60">
            <v>0.76051465262773499</v>
          </cell>
          <cell r="G60">
            <v>0.76433197618194992</v>
          </cell>
          <cell r="I60">
            <v>0.82940656873022089</v>
          </cell>
          <cell r="K60">
            <v>0.79629222226152152</v>
          </cell>
          <cell r="M60">
            <v>0.83435159207790777</v>
          </cell>
        </row>
        <row r="62">
          <cell r="A62" t="str">
            <v>Diluted Weighted Avg. Common Shares</v>
          </cell>
          <cell r="C62">
            <v>40806</v>
          </cell>
          <cell r="E62">
            <v>61393</v>
          </cell>
          <cell r="G62">
            <v>67231.75</v>
          </cell>
          <cell r="I62">
            <v>67746.31490350375</v>
          </cell>
          <cell r="K62">
            <v>70955.477500000008</v>
          </cell>
          <cell r="M62">
            <v>75109.955000000002</v>
          </cell>
        </row>
        <row r="63">
          <cell r="A63" t="str">
            <v>Diluted Weighted Avg. Shares &amp; OP Units</v>
          </cell>
          <cell r="C63">
            <v>52088</v>
          </cell>
          <cell r="E63">
            <v>71814</v>
          </cell>
          <cell r="G63">
            <v>76359.25</v>
          </cell>
          <cell r="I63">
            <v>76582</v>
          </cell>
          <cell r="K63">
            <v>77633</v>
          </cell>
          <cell r="M63">
            <v>80096</v>
          </cell>
        </row>
        <row r="66">
          <cell r="A66" t="str">
            <v>A = Actual; E = Morgan Stanley Dean Witter Estimate</v>
          </cell>
        </row>
      </sheetData>
      <sheetData sheetId="4" refreshError="1"/>
      <sheetData sheetId="5" refreshError="1"/>
      <sheetData sheetId="6" refreshError="1"/>
      <sheetData sheetId="7" refreshError="1">
        <row r="1">
          <cell r="A1" t="str">
            <v>Liberty Property Trust (LRY)</v>
          </cell>
          <cell r="H1" t="str">
            <v>Matt Ostrower</v>
          </cell>
        </row>
        <row r="2">
          <cell r="A2" t="str">
            <v>1Q07 Earnings Variance Analysis Worksheet</v>
          </cell>
          <cell r="H2" t="str">
            <v>Morgan Stanley REIT Research Team</v>
          </cell>
        </row>
        <row r="3">
          <cell r="A3" t="str">
            <v>($ in Thousands, Except per Share Amounts)</v>
          </cell>
          <cell r="H3" t="str">
            <v>(212) 761-6284   Matthew.Ostrower@morganstanley.com</v>
          </cell>
        </row>
        <row r="5">
          <cell r="B5">
            <v>51</v>
          </cell>
          <cell r="C5">
            <v>51</v>
          </cell>
          <cell r="G5">
            <v>46</v>
          </cell>
          <cell r="H5">
            <v>49</v>
          </cell>
        </row>
        <row r="7">
          <cell r="B7" t="str">
            <v>MS</v>
          </cell>
          <cell r="C7" t="str">
            <v>Reported</v>
          </cell>
          <cell r="E7" t="str">
            <v>Per Share</v>
          </cell>
        </row>
        <row r="8">
          <cell r="A8" t="str">
            <v>Year Ends December 31</v>
          </cell>
          <cell r="B8" t="str">
            <v>1Q07E</v>
          </cell>
          <cell r="C8" t="str">
            <v>1Q07A</v>
          </cell>
          <cell r="D8" t="str">
            <v>Variance</v>
          </cell>
          <cell r="E8" t="str">
            <v>Impact</v>
          </cell>
          <cell r="F8" t="str">
            <v>Comments</v>
          </cell>
          <cell r="G8" t="str">
            <v>1Q06A</v>
          </cell>
          <cell r="H8" t="str">
            <v>4Q06A</v>
          </cell>
        </row>
        <row r="9">
          <cell r="A9" t="str">
            <v>Op Exp Reimbursements as % of Total Exps</v>
          </cell>
          <cell r="B9">
            <v>0.9556205216596021</v>
          </cell>
          <cell r="C9">
            <v>0.96085239891423135</v>
          </cell>
          <cell r="G9">
            <v>0.93181568239304957</v>
          </cell>
          <cell r="H9">
            <v>0.96762052165960211</v>
          </cell>
        </row>
        <row r="10">
          <cell r="A10" t="str">
            <v>Rental Property Expenses as % of Rental Revenue</v>
          </cell>
          <cell r="B10">
            <v>0.31</v>
          </cell>
          <cell r="C10">
            <v>0.3244104997775471</v>
          </cell>
          <cell r="G10">
            <v>0.31282007800576567</v>
          </cell>
          <cell r="H10">
            <v>0.30994481547155428</v>
          </cell>
        </row>
        <row r="11">
          <cell r="A11" t="str">
            <v>Real Estate Taxes as % of Rental Revenue</v>
          </cell>
          <cell r="B11">
            <v>0.15</v>
          </cell>
          <cell r="C11">
            <v>0.14302074579399213</v>
          </cell>
          <cell r="G11">
            <v>0.14977107003561133</v>
          </cell>
          <cell r="H11">
            <v>0.16117030972938037</v>
          </cell>
        </row>
        <row r="12">
          <cell r="A12" t="str">
            <v>G&amp;A Expenses as % of NOI</v>
          </cell>
          <cell r="B12">
            <v>0.10337260332422321</v>
          </cell>
          <cell r="C12">
            <v>0.10973908686779603</v>
          </cell>
          <cell r="G12">
            <v>8.6491255482858437E-2</v>
          </cell>
          <cell r="H12">
            <v>0.103761584665297</v>
          </cell>
        </row>
        <row r="13">
          <cell r="A13" t="str">
            <v>Interest &amp; Other Income as % of NOI</v>
          </cell>
          <cell r="B13">
            <v>2.1714082218538027E-2</v>
          </cell>
          <cell r="C13">
            <v>2.4261231514591086E-2</v>
          </cell>
          <cell r="G13">
            <v>1.6842443302431061E-2</v>
          </cell>
          <cell r="H13">
            <v>2.1714082218538027E-2</v>
          </cell>
        </row>
        <row r="15">
          <cell r="A15" t="str">
            <v>Revenue</v>
          </cell>
        </row>
        <row r="16">
          <cell r="A16" t="str">
            <v>Rental</v>
          </cell>
          <cell r="B16">
            <v>121146.4075802767</v>
          </cell>
          <cell r="C16">
            <v>121374</v>
          </cell>
          <cell r="D16">
            <v>227.59241972329619</v>
          </cell>
          <cell r="E16">
            <v>2.3656288429579264E-3</v>
          </cell>
          <cell r="G16">
            <v>117940</v>
          </cell>
          <cell r="H16">
            <v>120686</v>
          </cell>
        </row>
        <row r="17">
          <cell r="A17" t="str">
            <v>Operating Expense Reimbursement</v>
          </cell>
          <cell r="B17">
            <v>53254.196876163362</v>
          </cell>
          <cell r="C17">
            <v>54513</v>
          </cell>
          <cell r="D17">
            <v>1258.8031238366384</v>
          </cell>
          <cell r="E17">
            <v>1.3084183475767487E-2</v>
          </cell>
          <cell r="G17">
            <v>50838</v>
          </cell>
          <cell r="H17">
            <v>55016</v>
          </cell>
        </row>
        <row r="18">
          <cell r="A18" t="str">
            <v>Total Revenue</v>
          </cell>
          <cell r="B18">
            <v>174400.60445644008</v>
          </cell>
          <cell r="C18">
            <v>175887</v>
          </cell>
          <cell r="D18">
            <v>1486.39554355992</v>
          </cell>
          <cell r="E18">
            <v>1.5449812318725262E-2</v>
          </cell>
          <cell r="G18">
            <v>168778</v>
          </cell>
          <cell r="H18">
            <v>175702</v>
          </cell>
        </row>
        <row r="20">
          <cell r="A20" t="str">
            <v>Expenses</v>
          </cell>
        </row>
        <row r="21">
          <cell r="A21" t="str">
            <v>Rental Property Expenses</v>
          </cell>
          <cell r="B21">
            <v>37555.386349885775</v>
          </cell>
          <cell r="C21">
            <v>39375</v>
          </cell>
          <cell r="D21">
            <v>-1819.6136501142246</v>
          </cell>
          <cell r="E21">
            <v>-1.8913329973746722E-2</v>
          </cell>
          <cell r="G21">
            <v>36894</v>
          </cell>
          <cell r="H21">
            <v>37406</v>
          </cell>
        </row>
        <row r="22">
          <cell r="A22" t="str">
            <v>Real Estate Taxes</v>
          </cell>
          <cell r="B22">
            <v>18171.961137041504</v>
          </cell>
          <cell r="C22">
            <v>17359</v>
          </cell>
          <cell r="D22">
            <v>812.96113704150412</v>
          </cell>
          <cell r="E22">
            <v>8.4500367645258621E-3</v>
          </cell>
          <cell r="G22">
            <v>17664</v>
          </cell>
          <cell r="H22">
            <v>19451</v>
          </cell>
        </row>
        <row r="23">
          <cell r="A23" t="str">
            <v>Total Expenses</v>
          </cell>
          <cell r="B23">
            <v>55727.347486927276</v>
          </cell>
          <cell r="C23">
            <v>56734</v>
          </cell>
          <cell r="D23">
            <v>-1006.6525130727241</v>
          </cell>
          <cell r="E23">
            <v>-1.0463293209220898E-2</v>
          </cell>
          <cell r="G23">
            <v>54558</v>
          </cell>
          <cell r="H23">
            <v>56857</v>
          </cell>
        </row>
        <row r="25">
          <cell r="A25" t="str">
            <v>NOI of JVs</v>
          </cell>
          <cell r="B25">
            <v>2226.0989999999997</v>
          </cell>
          <cell r="C25">
            <v>2398.9499999999998</v>
          </cell>
          <cell r="D25">
            <v>172.85100000000011</v>
          </cell>
          <cell r="E25">
            <v>1.7966385331781153E-3</v>
          </cell>
          <cell r="G25">
            <v>1618.3</v>
          </cell>
          <cell r="H25">
            <v>2182.4499999999998</v>
          </cell>
        </row>
        <row r="26">
          <cell r="A26" t="str">
            <v>Equity in earnings of uncon. JV</v>
          </cell>
          <cell r="B26">
            <v>0</v>
          </cell>
          <cell r="C26">
            <v>0</v>
          </cell>
          <cell r="D26">
            <v>0</v>
          </cell>
          <cell r="E26">
            <v>0</v>
          </cell>
          <cell r="G26">
            <v>0</v>
          </cell>
          <cell r="H26">
            <v>0</v>
          </cell>
        </row>
        <row r="27">
          <cell r="A27" t="str">
            <v>Acquisition &amp; Development NOI</v>
          </cell>
          <cell r="B27">
            <v>702.91409822634091</v>
          </cell>
          <cell r="C27">
            <v>0</v>
          </cell>
          <cell r="D27">
            <v>-702.91409822634091</v>
          </cell>
          <cell r="E27">
            <v>-7.3061917743466338E-3</v>
          </cell>
          <cell r="G27">
            <v>0</v>
          </cell>
          <cell r="H27">
            <v>0</v>
          </cell>
        </row>
        <row r="28">
          <cell r="A28" t="str">
            <v>Net Operating Income</v>
          </cell>
          <cell r="B28">
            <v>121602.27006773914</v>
          </cell>
          <cell r="C28">
            <v>121551.95</v>
          </cell>
          <cell r="D28">
            <v>-50.320067739143269</v>
          </cell>
          <cell r="E28">
            <v>-5.2303413166413675E-4</v>
          </cell>
          <cell r="G28">
            <v>115838.3</v>
          </cell>
          <cell r="H28">
            <v>121027.45</v>
          </cell>
        </row>
        <row r="30">
          <cell r="A30" t="str">
            <v>General and Administrative</v>
          </cell>
          <cell r="B30">
            <v>12570.34322703746</v>
          </cell>
          <cell r="C30">
            <v>13339</v>
          </cell>
          <cell r="D30">
            <v>-768.65677296254034</v>
          </cell>
          <cell r="E30">
            <v>-7.989530735100411E-3</v>
          </cell>
          <cell r="G30">
            <v>10019</v>
          </cell>
          <cell r="H30">
            <v>12558</v>
          </cell>
        </row>
        <row r="32">
          <cell r="A32" t="str">
            <v>EBITDA</v>
          </cell>
          <cell r="B32">
            <v>109031.92684070168</v>
          </cell>
          <cell r="C32">
            <v>108212.95</v>
          </cell>
          <cell r="D32">
            <v>-818.97684070168179</v>
          </cell>
          <cell r="E32">
            <v>-8.5125648667645284E-3</v>
          </cell>
          <cell r="G32">
            <v>105819.3</v>
          </cell>
          <cell r="H32">
            <v>108469.45</v>
          </cell>
        </row>
        <row r="34">
          <cell r="A34" t="str">
            <v>Interest Expense - consolidated</v>
          </cell>
          <cell r="B34">
            <v>30173.137824510686</v>
          </cell>
          <cell r="C34">
            <v>28156</v>
          </cell>
          <cell r="D34">
            <v>2017.1378245106862</v>
          </cell>
          <cell r="E34">
            <v>2.0966425084303658E-2</v>
          </cell>
          <cell r="G34">
            <v>32052</v>
          </cell>
          <cell r="H34">
            <v>30456</v>
          </cell>
        </row>
        <row r="35">
          <cell r="A35" t="str">
            <v>Interest Expense - unconsolidated</v>
          </cell>
          <cell r="B35">
            <v>-1237.75</v>
          </cell>
          <cell r="C35">
            <v>-1262.9000000000001</v>
          </cell>
          <cell r="D35">
            <v>25.150000000000091</v>
          </cell>
          <cell r="E35">
            <v>2.6141277232662657E-4</v>
          </cell>
        </row>
        <row r="36">
          <cell r="A36" t="str">
            <v>Depreciation and Amort.</v>
          </cell>
          <cell r="B36">
            <v>37354.884599306577</v>
          </cell>
          <cell r="C36">
            <v>38277</v>
          </cell>
          <cell r="D36">
            <v>-922.115400693423</v>
          </cell>
          <cell r="E36">
            <v>-9.5846021192980101E-3</v>
          </cell>
          <cell r="G36">
            <v>36693</v>
          </cell>
          <cell r="H36">
            <v>37433</v>
          </cell>
        </row>
        <row r="37">
          <cell r="A37" t="str">
            <v>JV Depreciation and Amort.</v>
          </cell>
          <cell r="B37">
            <v>-763</v>
          </cell>
          <cell r="C37">
            <v>-841</v>
          </cell>
          <cell r="D37">
            <v>78</v>
          </cell>
          <cell r="E37">
            <v>8.1074338932313325E-4</v>
          </cell>
        </row>
        <row r="38">
          <cell r="A38" t="str">
            <v>Gain (Loss) on Sale - consolidated</v>
          </cell>
          <cell r="B38">
            <v>31250</v>
          </cell>
          <cell r="C38">
            <v>152</v>
          </cell>
          <cell r="D38">
            <v>-31098</v>
          </cell>
          <cell r="E38">
            <v>-0.32323715283552301</v>
          </cell>
          <cell r="G38">
            <v>116</v>
          </cell>
          <cell r="H38">
            <v>4517</v>
          </cell>
        </row>
        <row r="39">
          <cell r="A39" t="str">
            <v>Gain (Loss) on Sale - JVs</v>
          </cell>
          <cell r="B39">
            <v>0</v>
          </cell>
          <cell r="C39">
            <v>434</v>
          </cell>
          <cell r="D39">
            <v>-434</v>
          </cell>
          <cell r="E39">
            <v>-4.5110593713620492E-3</v>
          </cell>
        </row>
        <row r="40">
          <cell r="A40" t="str">
            <v>Interest &amp; Other Income</v>
          </cell>
          <cell r="B40">
            <v>2640.4816902117536</v>
          </cell>
          <cell r="C40">
            <v>2949</v>
          </cell>
          <cell r="D40">
            <v>308.51830978824637</v>
          </cell>
          <cell r="E40">
            <v>3.2067843608457338E-3</v>
          </cell>
          <cell r="G40">
            <v>1951</v>
          </cell>
          <cell r="H40">
            <v>2628</v>
          </cell>
        </row>
        <row r="41">
          <cell r="A41" t="str">
            <v>Int. &amp; Amort. of Exchangeable Sub. Deb.</v>
          </cell>
          <cell r="B41">
            <v>0</v>
          </cell>
          <cell r="C41">
            <v>0</v>
          </cell>
          <cell r="D41">
            <v>0</v>
          </cell>
          <cell r="E41">
            <v>0</v>
          </cell>
          <cell r="G41">
            <v>0</v>
          </cell>
          <cell r="H41">
            <v>0</v>
          </cell>
        </row>
        <row r="42">
          <cell r="A42" t="str">
            <v>Income Bef. Min. Interest</v>
          </cell>
          <cell r="B42">
            <v>73393.636107096172</v>
          </cell>
          <cell r="C42">
            <v>43211.05</v>
          </cell>
          <cell r="D42">
            <v>-30182.586107096176</v>
          </cell>
          <cell r="E42">
            <v>-0.31372220716672394</v>
          </cell>
          <cell r="G42">
            <v>37678.15</v>
          </cell>
          <cell r="H42">
            <v>45724.7</v>
          </cell>
        </row>
        <row r="43">
          <cell r="A43" t="str">
            <v>Minority Interest In Earnings</v>
          </cell>
          <cell r="B43">
            <v>-7075.206976208854</v>
          </cell>
          <cell r="C43">
            <v>-5596</v>
          </cell>
          <cell r="D43">
            <v>1479.206976208854</v>
          </cell>
          <cell r="E43">
            <v>1.5375093300025507E-2</v>
          </cell>
          <cell r="G43">
            <v>-4691</v>
          </cell>
          <cell r="H43">
            <v>-5146</v>
          </cell>
        </row>
        <row r="44">
          <cell r="A44" t="str">
            <v>Income taxes</v>
          </cell>
          <cell r="B44">
            <v>-303</v>
          </cell>
          <cell r="C44">
            <v>-301</v>
          </cell>
          <cell r="D44">
            <v>2</v>
          </cell>
          <cell r="E44">
            <v>2.0788292033926492E-5</v>
          </cell>
          <cell r="G44">
            <v>-375</v>
          </cell>
          <cell r="H44">
            <v>-303</v>
          </cell>
        </row>
        <row r="45">
          <cell r="A45" t="str">
            <v>Preferred Share Dividend</v>
          </cell>
          <cell r="B45">
            <v>0</v>
          </cell>
          <cell r="C45">
            <v>0</v>
          </cell>
          <cell r="D45">
            <v>0</v>
          </cell>
          <cell r="E45">
            <v>0</v>
          </cell>
          <cell r="G45">
            <v>0</v>
          </cell>
          <cell r="H45">
            <v>0</v>
          </cell>
        </row>
        <row r="46">
          <cell r="A46" t="str">
            <v>Other Gains/(Losses)</v>
          </cell>
          <cell r="B46">
            <v>200</v>
          </cell>
          <cell r="C46">
            <v>0</v>
          </cell>
          <cell r="D46">
            <v>-200</v>
          </cell>
          <cell r="E46">
            <v>-2.0788292033926494E-3</v>
          </cell>
          <cell r="G46">
            <v>-71</v>
          </cell>
          <cell r="H46">
            <v>-4146</v>
          </cell>
        </row>
        <row r="47">
          <cell r="A47" t="str">
            <v>Discontinued ops net of minority interest (excluding gains)</v>
          </cell>
          <cell r="B47">
            <v>-348</v>
          </cell>
          <cell r="C47">
            <v>-417</v>
          </cell>
          <cell r="D47">
            <v>-69</v>
          </cell>
          <cell r="E47">
            <v>-7.1719607517046395E-4</v>
          </cell>
          <cell r="G47">
            <v>-1644</v>
          </cell>
          <cell r="H47">
            <v>-348</v>
          </cell>
        </row>
        <row r="48">
          <cell r="A48" t="str">
            <v>Discontinued op. gains</v>
          </cell>
          <cell r="B48">
            <v>0</v>
          </cell>
          <cell r="C48">
            <v>2801</v>
          </cell>
          <cell r="D48">
            <v>2801</v>
          </cell>
          <cell r="E48">
            <v>2.9114002993514052E-2</v>
          </cell>
          <cell r="G48">
            <v>59530</v>
          </cell>
          <cell r="H48">
            <v>25032</v>
          </cell>
        </row>
        <row r="49">
          <cell r="A49" t="str">
            <v>Extraordinary Item</v>
          </cell>
          <cell r="B49">
            <v>0</v>
          </cell>
          <cell r="C49">
            <v>0</v>
          </cell>
          <cell r="D49">
            <v>0</v>
          </cell>
          <cell r="E49">
            <v>0</v>
          </cell>
          <cell r="G49">
            <v>0</v>
          </cell>
          <cell r="H49">
            <v>0</v>
          </cell>
        </row>
        <row r="50">
          <cell r="A50" t="str">
            <v>Net Income Available to Common SH</v>
          </cell>
          <cell r="B50">
            <v>65867.429130887322</v>
          </cell>
          <cell r="C50">
            <v>39698.050000000003</v>
          </cell>
          <cell r="D50">
            <v>-26169.379130887326</v>
          </cell>
          <cell r="E50">
            <v>-0.27200834785971362</v>
          </cell>
          <cell r="G50">
            <v>90427.15</v>
          </cell>
          <cell r="H50">
            <v>60813.7</v>
          </cell>
        </row>
        <row r="51">
          <cell r="A51" t="str">
            <v>Adjustment: OP Minority Interest</v>
          </cell>
          <cell r="B51">
            <v>3221.2082262088538</v>
          </cell>
          <cell r="C51">
            <v>1815</v>
          </cell>
          <cell r="D51">
            <v>-1406.2082262088538</v>
          </cell>
          <cell r="E51">
            <v>-1.4616333633469709E-2</v>
          </cell>
          <cell r="G51">
            <v>3582</v>
          </cell>
          <cell r="H51">
            <v>2805</v>
          </cell>
        </row>
        <row r="52">
          <cell r="A52" t="str">
            <v>Adjustment: Gains and Extraordinary Items</v>
          </cell>
          <cell r="B52">
            <v>31250</v>
          </cell>
          <cell r="C52">
            <v>586</v>
          </cell>
          <cell r="D52">
            <v>-30664</v>
          </cell>
          <cell r="E52">
            <v>-0.31872609346416098</v>
          </cell>
          <cell r="G52">
            <v>116</v>
          </cell>
          <cell r="H52">
            <v>4517</v>
          </cell>
        </row>
        <row r="53">
          <cell r="A53" t="str">
            <v>Normalized Earnings</v>
          </cell>
          <cell r="B53">
            <v>37838.637357096173</v>
          </cell>
          <cell r="C53">
            <v>40927.050000000003</v>
          </cell>
          <cell r="D53">
            <v>3088.4126429038224</v>
          </cell>
          <cell r="E53">
            <v>3.2101411970977697E-2</v>
          </cell>
          <cell r="G53">
            <v>93893.15</v>
          </cell>
          <cell r="H53">
            <v>59101.7</v>
          </cell>
        </row>
        <row r="55">
          <cell r="A55" t="str">
            <v>Adjustments</v>
          </cell>
        </row>
        <row r="56">
          <cell r="A56" t="str">
            <v>Depreciation and Amortization</v>
          </cell>
          <cell r="B56">
            <v>36766.729837461993</v>
          </cell>
          <cell r="C56">
            <v>37927</v>
          </cell>
          <cell r="D56">
            <v>1160.2701625380068</v>
          </cell>
          <cell r="E56">
            <v>1.2060017488545722E-2</v>
          </cell>
          <cell r="G56">
            <v>36591</v>
          </cell>
          <cell r="H56">
            <v>37802</v>
          </cell>
        </row>
        <row r="57">
          <cell r="A57" t="str">
            <v>D&amp;A from unconsol. JVs</v>
          </cell>
          <cell r="B57">
            <v>763</v>
          </cell>
          <cell r="C57">
            <v>841</v>
          </cell>
          <cell r="D57">
            <v>78</v>
          </cell>
          <cell r="E57">
            <v>8.1074338932313325E-4</v>
          </cell>
          <cell r="G57">
            <v>553</v>
          </cell>
          <cell r="H57">
            <v>763</v>
          </cell>
        </row>
        <row r="58">
          <cell r="A58" t="str">
            <v>Gain (Loss) on Property Dispositions</v>
          </cell>
          <cell r="B58">
            <v>-31250</v>
          </cell>
          <cell r="C58">
            <v>-3387</v>
          </cell>
          <cell r="D58">
            <v>27863</v>
          </cell>
          <cell r="E58">
            <v>0.28961209047064695</v>
          </cell>
          <cell r="G58">
            <v>-59646</v>
          </cell>
          <cell r="H58">
            <v>-29549</v>
          </cell>
        </row>
        <row r="59">
          <cell r="A59" t="str">
            <v>Min. Int. in Income/(Loss), excl. pref unit dist.</v>
          </cell>
          <cell r="B59">
            <v>3221.2082262088538</v>
          </cell>
          <cell r="C59">
            <v>1815</v>
          </cell>
          <cell r="D59">
            <v>-1406.2082262088538</v>
          </cell>
          <cell r="E59">
            <v>-1.4616333633469709E-2</v>
          </cell>
          <cell r="G59">
            <v>3582</v>
          </cell>
          <cell r="H59">
            <v>2805</v>
          </cell>
        </row>
        <row r="60">
          <cell r="A60" t="str">
            <v>Other Adjustments</v>
          </cell>
          <cell r="B60">
            <v>0</v>
          </cell>
          <cell r="C60">
            <v>0</v>
          </cell>
          <cell r="D60">
            <v>0</v>
          </cell>
          <cell r="E60">
            <v>0</v>
          </cell>
          <cell r="G60">
            <v>0</v>
          </cell>
          <cell r="H60">
            <v>0</v>
          </cell>
        </row>
        <row r="61">
          <cell r="A61" t="str">
            <v>Int. &amp; Amort. of Exchangeable Sub. Deb.</v>
          </cell>
          <cell r="B61">
            <v>0</v>
          </cell>
          <cell r="C61">
            <v>0</v>
          </cell>
          <cell r="D61">
            <v>0</v>
          </cell>
          <cell r="E61">
            <v>0</v>
          </cell>
          <cell r="G61">
            <v>0</v>
          </cell>
          <cell r="H61">
            <v>0</v>
          </cell>
        </row>
        <row r="62">
          <cell r="A62" t="str">
            <v>Funds From Operations</v>
          </cell>
          <cell r="B62">
            <v>75368.367194558174</v>
          </cell>
          <cell r="C62">
            <v>76894.05</v>
          </cell>
          <cell r="D62">
            <v>1525.6828054418147</v>
          </cell>
          <cell r="E62">
            <v>1.5858169855332348E-2</v>
          </cell>
          <cell r="G62">
            <v>71507.149999999994</v>
          </cell>
          <cell r="H62">
            <v>72634.7</v>
          </cell>
        </row>
        <row r="64">
          <cell r="A64" t="str">
            <v>Straight-lining Adjustment</v>
          </cell>
          <cell r="B64">
            <v>-2553.6476714225223</v>
          </cell>
          <cell r="C64">
            <v>-2927</v>
          </cell>
          <cell r="D64">
            <v>-373.35232857747769</v>
          </cell>
          <cell r="E64">
            <v>-3.880678619007543E-3</v>
          </cell>
          <cell r="G64">
            <v>-2676</v>
          </cell>
          <cell r="H64">
            <v>-2537</v>
          </cell>
        </row>
        <row r="65">
          <cell r="A65" t="str">
            <v>Tenant Improvements &amp; LC's</v>
          </cell>
          <cell r="B65">
            <v>-15378.695871530099</v>
          </cell>
          <cell r="C65">
            <v>-15898</v>
          </cell>
          <cell r="D65">
            <v>-519.30412846990112</v>
          </cell>
          <cell r="E65">
            <v>-5.3977229385279929E-3</v>
          </cell>
          <cell r="G65">
            <v>-11422</v>
          </cell>
          <cell r="H65">
            <v>-15306</v>
          </cell>
        </row>
        <row r="66">
          <cell r="A66" t="str">
            <v>Non-reimbursed Capital Expenditures</v>
          </cell>
          <cell r="B66">
            <v>-5019.7285100068184</v>
          </cell>
          <cell r="C66">
            <v>-643</v>
          </cell>
          <cell r="D66">
            <v>4376.7285100068184</v>
          </cell>
          <cell r="E66">
            <v>4.5492355209616857E-2</v>
          </cell>
          <cell r="G66">
            <v>-1222</v>
          </cell>
          <cell r="H66">
            <v>-4996</v>
          </cell>
        </row>
        <row r="67">
          <cell r="A67" t="str">
            <v>Adjusted Funds From Operations</v>
          </cell>
          <cell r="B67">
            <v>52416.295141598734</v>
          </cell>
          <cell r="C67">
            <v>57426.05</v>
          </cell>
          <cell r="D67">
            <v>5009.7548584012548</v>
          </cell>
          <cell r="E67">
            <v>5.2072123507413672E-2</v>
          </cell>
          <cell r="G67">
            <v>56187.15</v>
          </cell>
          <cell r="H67">
            <v>49795.7</v>
          </cell>
        </row>
        <row r="70">
          <cell r="A70" t="str">
            <v>Net Income Per Share</v>
          </cell>
          <cell r="B70">
            <v>0.7207606102782409</v>
          </cell>
          <cell r="C70">
            <v>0.43141613597339645</v>
          </cell>
          <cell r="D70">
            <v>-0.28934447430484445</v>
          </cell>
          <cell r="G70">
            <v>1.0061323378877565</v>
          </cell>
          <cell r="H70">
            <v>0.66545969842207775</v>
          </cell>
        </row>
        <row r="72">
          <cell r="A72" t="str">
            <v>Diluted EPS before Extraordinary</v>
          </cell>
          <cell r="B72">
            <v>0.39588032513884741</v>
          </cell>
          <cell r="C72">
            <v>0.42540173374355561</v>
          </cell>
          <cell r="D72">
            <v>2.9521408604708199E-2</v>
          </cell>
          <cell r="G72">
            <v>1.0053445617491488</v>
          </cell>
          <cell r="H72">
            <v>0.71285820403636702</v>
          </cell>
        </row>
        <row r="73">
          <cell r="A73" t="str">
            <v>Diluted EPS after Extraordinary</v>
          </cell>
          <cell r="B73">
            <v>0.72282814949724494</v>
          </cell>
          <cell r="C73">
            <v>0.43149270330949607</v>
          </cell>
          <cell r="D73">
            <v>-0.29133544618774887</v>
          </cell>
          <cell r="G73">
            <v>1.0065866115596291</v>
          </cell>
          <cell r="H73">
            <v>0.66559985771230679</v>
          </cell>
        </row>
        <row r="74">
          <cell r="A74" t="str">
            <v>Normalized Earnings Per Share</v>
          </cell>
          <cell r="B74">
            <v>0.39588032513884741</v>
          </cell>
          <cell r="C74">
            <v>0.42540173374355561</v>
          </cell>
          <cell r="D74">
            <v>2.9521408604708199E-2</v>
          </cell>
          <cell r="G74">
            <v>1.0053445617491488</v>
          </cell>
          <cell r="H74">
            <v>0.61834151138824656</v>
          </cell>
        </row>
        <row r="75">
          <cell r="A75" t="str">
            <v>FFO Per Share</v>
          </cell>
          <cell r="B75">
            <v>0.78852875775057985</v>
          </cell>
          <cell r="C75">
            <v>0.79924798353567261</v>
          </cell>
          <cell r="D75">
            <v>1.0719225785092767E-2</v>
          </cell>
          <cell r="G75">
            <v>0.76565036297834976</v>
          </cell>
          <cell r="H75">
            <v>0.75992822841359686</v>
          </cell>
        </row>
        <row r="76">
          <cell r="D76">
            <v>0</v>
          </cell>
        </row>
        <row r="77">
          <cell r="A77" t="str">
            <v>AFFO Per Share</v>
          </cell>
          <cell r="B77">
            <v>0.54839659703914723</v>
          </cell>
          <cell r="C77">
            <v>0.5968947488774321</v>
          </cell>
          <cell r="D77">
            <v>4.8498151838284875E-2</v>
          </cell>
          <cell r="G77">
            <v>0.60161412938732672</v>
          </cell>
          <cell r="H77">
            <v>0.5209790648769107</v>
          </cell>
        </row>
        <row r="78">
          <cell r="A78" t="str">
            <v>NOI Per Share</v>
          </cell>
          <cell r="B78">
            <v>1.2722431243420673</v>
          </cell>
          <cell r="C78">
            <v>1.2634287169466156</v>
          </cell>
          <cell r="D78">
            <v>-8.8144073954516955E-3</v>
          </cell>
          <cell r="G78">
            <v>1.2403184358738248</v>
          </cell>
          <cell r="H78">
            <v>1.2662291668846319</v>
          </cell>
        </row>
        <row r="79">
          <cell r="A79" t="str">
            <v>EBITDA Per Share</v>
          </cell>
          <cell r="B79">
            <v>1.1407280405174844</v>
          </cell>
          <cell r="C79">
            <v>1.1247812032263429</v>
          </cell>
          <cell r="D79">
            <v>-1.5946837291141547E-2</v>
          </cell>
          <cell r="G79">
            <v>1.1330417371565626</v>
          </cell>
          <cell r="H79">
            <v>1.1348432219792637</v>
          </cell>
        </row>
        <row r="81">
          <cell r="A81" t="str">
            <v>Dividends Per Share</v>
          </cell>
          <cell r="B81">
            <v>0.64575000000000005</v>
          </cell>
          <cell r="C81">
            <v>0.64575000000000005</v>
          </cell>
          <cell r="D81">
            <v>0</v>
          </cell>
          <cell r="G81">
            <v>0.61499999999999999</v>
          </cell>
          <cell r="H81">
            <v>0.64575000000000005</v>
          </cell>
        </row>
        <row r="83">
          <cell r="A83" t="str">
            <v>Payout Ratio (Net Income)</v>
          </cell>
          <cell r="B83">
            <v>0.89592853825726693</v>
          </cell>
          <cell r="C83">
            <v>1.4968146672191711</v>
          </cell>
          <cell r="D83">
            <v>0.60088612896190419</v>
          </cell>
          <cell r="G83">
            <v>0.61125159866256984</v>
          </cell>
          <cell r="H83">
            <v>0.97038183008105094</v>
          </cell>
        </row>
        <row r="84">
          <cell r="A84" t="str">
            <v>Payout Ratio (FFO)</v>
          </cell>
          <cell r="B84">
            <v>0.81893018314527688</v>
          </cell>
          <cell r="C84">
            <v>0.80794698679546739</v>
          </cell>
          <cell r="D84">
            <v>-1.0983196349809488E-2</v>
          </cell>
          <cell r="G84">
            <v>0.80323869710931006</v>
          </cell>
          <cell r="H84">
            <v>0.84975129999848564</v>
          </cell>
        </row>
        <row r="85">
          <cell r="A85" t="str">
            <v>Payout Ratio (AFFO)</v>
          </cell>
          <cell r="B85">
            <v>1.1775237182113718</v>
          </cell>
          <cell r="C85">
            <v>1.0818490214806697</v>
          </cell>
          <cell r="D85">
            <v>-9.5674696730702058E-2</v>
          </cell>
          <cell r="G85">
            <v>1.0222499272520498</v>
          </cell>
          <cell r="H85">
            <v>1.2394931841504386</v>
          </cell>
        </row>
        <row r="87">
          <cell r="A87" t="str">
            <v>Diluted Weighted Avg. Common Shares</v>
          </cell>
          <cell r="B87">
            <v>91386</v>
          </cell>
          <cell r="C87">
            <v>92018</v>
          </cell>
          <cell r="D87">
            <v>632</v>
          </cell>
          <cell r="G87">
            <v>89876</v>
          </cell>
          <cell r="H87">
            <v>91386</v>
          </cell>
        </row>
        <row r="88">
          <cell r="A88" t="str">
            <v>Diluted Wght. Avg. Shares &amp; OP Units</v>
          </cell>
          <cell r="B88">
            <v>95581</v>
          </cell>
          <cell r="C88">
            <v>96208</v>
          </cell>
          <cell r="D88">
            <v>627</v>
          </cell>
          <cell r="G88">
            <v>93394</v>
          </cell>
          <cell r="H88">
            <v>95581</v>
          </cell>
        </row>
        <row r="91">
          <cell r="A91" t="str">
            <v>Matt Ostrower</v>
          </cell>
          <cell r="H91" t="str">
            <v>(212) 761-6284</v>
          </cell>
        </row>
        <row r="92">
          <cell r="A92" t="str">
            <v>Morgan Stanley  REIT Research</v>
          </cell>
          <cell r="H92" t="str">
            <v>Matthew.Ostrower@morganstanley.com</v>
          </cell>
        </row>
      </sheetData>
      <sheetData sheetId="8" refreshError="1">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L1">
            <v>38</v>
          </cell>
          <cell r="AM1">
            <v>39</v>
          </cell>
          <cell r="AN1">
            <v>40</v>
          </cell>
          <cell r="AO1">
            <v>41</v>
          </cell>
          <cell r="AP1">
            <v>42</v>
          </cell>
          <cell r="AQ1">
            <v>43</v>
          </cell>
          <cell r="AR1">
            <v>44</v>
          </cell>
          <cell r="AS1">
            <v>45</v>
          </cell>
          <cell r="AT1">
            <v>46</v>
          </cell>
          <cell r="AU1">
            <v>47</v>
          </cell>
          <cell r="AV1">
            <v>48</v>
          </cell>
          <cell r="AW1">
            <v>49</v>
          </cell>
          <cell r="AX1">
            <v>50</v>
          </cell>
          <cell r="AY1">
            <v>51</v>
          </cell>
          <cell r="AZ1">
            <v>52</v>
          </cell>
          <cell r="CA1" t="str">
            <v>ElementName</v>
          </cell>
          <cell r="CB1" t="str">
            <v>ScaleOverride</v>
          </cell>
          <cell r="CC1" t="str">
            <v>UnitOverride</v>
          </cell>
          <cell r="CD1" t="str">
            <v>ReverseSign</v>
          </cell>
          <cell r="CE1" t="str">
            <v>IsDrivingAssumption</v>
          </cell>
          <cell r="CF1" t="str">
            <v>SegmentID</v>
          </cell>
        </row>
        <row r="2">
          <cell r="A2" t="str">
            <v>Liberty Property Trust</v>
          </cell>
          <cell r="AR2">
            <v>4.2340012928248204E-2</v>
          </cell>
          <cell r="AS2">
            <v>48363</v>
          </cell>
          <cell r="AT2">
            <v>45997</v>
          </cell>
          <cell r="AU2">
            <v>0.95107830366189028</v>
          </cell>
        </row>
        <row r="3">
          <cell r="A3" t="str">
            <v>Quarterly Income Statement</v>
          </cell>
          <cell r="BA3" t="str">
            <v>FFO Guidance 2007 : 2.90 - 2.97</v>
          </cell>
        </row>
        <row r="4">
          <cell r="A4" t="str">
            <v>(Dollars In Thousands, Except Per-Share)</v>
          </cell>
          <cell r="BA4" t="str">
            <v>FFO Guidance 2008 : 3.10 - 3.25</v>
          </cell>
        </row>
        <row r="7">
          <cell r="BE7">
            <v>0.10914004754923634</v>
          </cell>
          <cell r="BF7">
            <v>8.381168212525747E-2</v>
          </cell>
          <cell r="BG7">
            <v>-3.0904850126878269E-3</v>
          </cell>
          <cell r="BH7">
            <v>7.2725955948092169E-2</v>
          </cell>
          <cell r="BI7">
            <v>-1.7055790546649519E-3</v>
          </cell>
          <cell r="BJ7">
            <v>1.0257715151504865E-3</v>
          </cell>
          <cell r="BK7">
            <v>3.1586096982707534E-3</v>
          </cell>
          <cell r="BL7">
            <v>6.7856121546856496E-3</v>
          </cell>
          <cell r="BM7">
            <v>2.313241843940661E-3</v>
          </cell>
          <cell r="BN7">
            <v>7.7951086025125349E-3</v>
          </cell>
          <cell r="BO7">
            <v>7.7368616860722383E-3</v>
          </cell>
          <cell r="BP7">
            <v>7.6788559838814052E-3</v>
          </cell>
          <cell r="BQ7">
            <v>7.6210903489566384E-3</v>
          </cell>
          <cell r="BR7">
            <v>7.7078374489432111E-3</v>
          </cell>
        </row>
        <row r="8">
          <cell r="D8" t="str">
            <v>1998A</v>
          </cell>
          <cell r="J8" t="str">
            <v>1999A</v>
          </cell>
          <cell r="P8" t="str">
            <v>2000A</v>
          </cell>
          <cell r="U8" t="str">
            <v>2001A</v>
          </cell>
          <cell r="Z8" t="str">
            <v>2002A</v>
          </cell>
          <cell r="AE8">
            <v>2003</v>
          </cell>
          <cell r="AJ8" t="str">
            <v>2004A</v>
          </cell>
          <cell r="AO8" t="str">
            <v>2005A</v>
          </cell>
          <cell r="AT8">
            <v>2006</v>
          </cell>
          <cell r="AY8" t="str">
            <v>2007E</v>
          </cell>
          <cell r="BD8" t="str">
            <v>2008E</v>
          </cell>
          <cell r="BI8" t="str">
            <v>2009E</v>
          </cell>
          <cell r="BN8" t="str">
            <v>2010E</v>
          </cell>
        </row>
        <row r="9">
          <cell r="A9" t="str">
            <v>Year Ended December 31</v>
          </cell>
          <cell r="B9" t="str">
            <v>1997A</v>
          </cell>
          <cell r="D9" t="str">
            <v>1QA</v>
          </cell>
          <cell r="E9" t="str">
            <v>2QA</v>
          </cell>
          <cell r="F9" t="str">
            <v>3QA</v>
          </cell>
          <cell r="G9" t="str">
            <v>4QA</v>
          </cell>
          <cell r="H9" t="str">
            <v>1998A</v>
          </cell>
          <cell r="J9" t="str">
            <v>1QA</v>
          </cell>
          <cell r="K9" t="str">
            <v>2QA</v>
          </cell>
          <cell r="L9" t="str">
            <v>3QA</v>
          </cell>
          <cell r="M9" t="str">
            <v>4QA</v>
          </cell>
          <cell r="N9" t="str">
            <v>1999A</v>
          </cell>
          <cell r="P9" t="str">
            <v>1QA</v>
          </cell>
          <cell r="Q9" t="str">
            <v>2QA</v>
          </cell>
          <cell r="R9" t="str">
            <v>3QA</v>
          </cell>
          <cell r="S9" t="str">
            <v>4QA</v>
          </cell>
          <cell r="T9" t="str">
            <v>2000A</v>
          </cell>
          <cell r="U9" t="str">
            <v>1QA</v>
          </cell>
          <cell r="V9" t="str">
            <v>2QA</v>
          </cell>
          <cell r="W9" t="str">
            <v>3QA</v>
          </cell>
          <cell r="X9" t="str">
            <v>4QA</v>
          </cell>
          <cell r="Y9" t="str">
            <v>2001A</v>
          </cell>
          <cell r="Z9" t="str">
            <v>1QA</v>
          </cell>
          <cell r="AA9" t="str">
            <v>2QA</v>
          </cell>
          <cell r="AB9" t="str">
            <v>3QA</v>
          </cell>
          <cell r="AC9" t="str">
            <v>4QA</v>
          </cell>
          <cell r="AD9" t="str">
            <v>2002A</v>
          </cell>
          <cell r="AE9" t="str">
            <v>1QA</v>
          </cell>
          <cell r="AF9" t="str">
            <v>2QA</v>
          </cell>
          <cell r="AG9" t="str">
            <v>3QA</v>
          </cell>
          <cell r="AH9" t="str">
            <v>4QA</v>
          </cell>
          <cell r="AI9">
            <v>2003</v>
          </cell>
          <cell r="AJ9" t="str">
            <v>1QA</v>
          </cell>
          <cell r="AK9" t="str">
            <v>2QA</v>
          </cell>
          <cell r="AL9" t="str">
            <v>3QA</v>
          </cell>
          <cell r="AM9" t="str">
            <v>4QA</v>
          </cell>
          <cell r="AN9" t="str">
            <v>2004A</v>
          </cell>
          <cell r="AO9" t="str">
            <v>1QA</v>
          </cell>
          <cell r="AP9" t="str">
            <v>2QA</v>
          </cell>
          <cell r="AQ9" t="str">
            <v>3QA</v>
          </cell>
          <cell r="AR9" t="str">
            <v>4QA</v>
          </cell>
          <cell r="AS9" t="str">
            <v>2005A</v>
          </cell>
          <cell r="AT9" t="str">
            <v>1QA</v>
          </cell>
          <cell r="AU9" t="str">
            <v>2QA</v>
          </cell>
          <cell r="AV9" t="str">
            <v>3QA</v>
          </cell>
          <cell r="AW9" t="str">
            <v>4QA</v>
          </cell>
          <cell r="AX9" t="str">
            <v>2006A</v>
          </cell>
          <cell r="AY9" t="str">
            <v>1QA</v>
          </cell>
          <cell r="AZ9" t="str">
            <v>2QA</v>
          </cell>
          <cell r="BA9" t="str">
            <v>3QA</v>
          </cell>
          <cell r="BB9" t="str">
            <v>4QA</v>
          </cell>
          <cell r="BC9" t="str">
            <v>2007A</v>
          </cell>
          <cell r="BD9" t="str">
            <v>1QE</v>
          </cell>
          <cell r="BE9" t="str">
            <v>2QE</v>
          </cell>
          <cell r="BF9" t="str">
            <v>3QE</v>
          </cell>
          <cell r="BG9" t="str">
            <v>4QE</v>
          </cell>
          <cell r="BH9" t="str">
            <v>2008E</v>
          </cell>
          <cell r="BI9" t="str">
            <v>1QE</v>
          </cell>
          <cell r="BJ9" t="str">
            <v>2QE</v>
          </cell>
          <cell r="BK9" t="str">
            <v>3QE</v>
          </cell>
          <cell r="BL9" t="str">
            <v>4QE</v>
          </cell>
          <cell r="BM9" t="str">
            <v>2009E</v>
          </cell>
          <cell r="BN9" t="str">
            <v>1QE</v>
          </cell>
          <cell r="BO9" t="str">
            <v>2QE</v>
          </cell>
          <cell r="BP9" t="str">
            <v>3QE</v>
          </cell>
          <cell r="BQ9" t="str">
            <v>4QE</v>
          </cell>
          <cell r="BR9" t="str">
            <v>2010E</v>
          </cell>
        </row>
        <row r="10">
          <cell r="Z10" t="str">
            <v>2002-Q1</v>
          </cell>
          <cell r="AA10" t="str">
            <v>2002-Q2</v>
          </cell>
          <cell r="AB10" t="str">
            <v>2002-Q3</v>
          </cell>
          <cell r="AC10" t="str">
            <v>2002-Q4</v>
          </cell>
          <cell r="AD10" t="str">
            <v>2002-FY</v>
          </cell>
          <cell r="AE10" t="str">
            <v>2003-Q1</v>
          </cell>
          <cell r="AF10" t="str">
            <v>2003-Q2</v>
          </cell>
          <cell r="AG10" t="str">
            <v>2003-Q3</v>
          </cell>
          <cell r="AH10" t="str">
            <v>2003-Q4</v>
          </cell>
          <cell r="AI10" t="str">
            <v>2003-FY</v>
          </cell>
          <cell r="AJ10" t="str">
            <v>2004-Q1</v>
          </cell>
          <cell r="AK10" t="str">
            <v>2004-Q2</v>
          </cell>
          <cell r="AL10" t="str">
            <v>2004-Q3</v>
          </cell>
          <cell r="AM10" t="str">
            <v>2004-Q4</v>
          </cell>
          <cell r="AN10" t="str">
            <v>2004-FY</v>
          </cell>
          <cell r="AO10" t="str">
            <v>2005-Q1</v>
          </cell>
          <cell r="AP10" t="str">
            <v>2005-Q2</v>
          </cell>
          <cell r="AQ10" t="str">
            <v>2005-Q3</v>
          </cell>
          <cell r="AR10" t="str">
            <v>2005-Q4</v>
          </cell>
          <cell r="AS10" t="str">
            <v>2005-FY</v>
          </cell>
          <cell r="AT10" t="str">
            <v>2006-Q1</v>
          </cell>
          <cell r="AU10" t="str">
            <v>2006-Q2</v>
          </cell>
          <cell r="AV10" t="str">
            <v>2006-Q3</v>
          </cell>
          <cell r="AW10" t="str">
            <v>2006-Q4</v>
          </cell>
          <cell r="AX10" t="str">
            <v>2006-FY</v>
          </cell>
          <cell r="AY10" t="str">
            <v>2007-Q1</v>
          </cell>
          <cell r="AZ10" t="str">
            <v>2007-Q2</v>
          </cell>
          <cell r="BA10" t="str">
            <v>2007-Q3</v>
          </cell>
          <cell r="BB10" t="str">
            <v>2007-Q4</v>
          </cell>
          <cell r="BC10" t="str">
            <v>2007-FY</v>
          </cell>
          <cell r="BD10" t="str">
            <v>2008-Q1</v>
          </cell>
          <cell r="BE10" t="str">
            <v>2008-Q2</v>
          </cell>
          <cell r="BF10" t="str">
            <v>2008-Q3</v>
          </cell>
          <cell r="BG10" t="str">
            <v>2008-Q4</v>
          </cell>
          <cell r="BH10" t="str">
            <v>2008-FY</v>
          </cell>
          <cell r="BI10" t="str">
            <v>2009-Q1</v>
          </cell>
          <cell r="BJ10" t="str">
            <v>2009-Q2</v>
          </cell>
          <cell r="BK10" t="str">
            <v>2009-Q3</v>
          </cell>
          <cell r="BL10" t="str">
            <v>2009-Q4</v>
          </cell>
          <cell r="BM10" t="str">
            <v>2009-FY</v>
          </cell>
          <cell r="BN10" t="str">
            <v>2010-Q1</v>
          </cell>
          <cell r="BO10" t="str">
            <v>2010-Q2</v>
          </cell>
          <cell r="BP10" t="str">
            <v>2010-Q3</v>
          </cell>
          <cell r="BQ10" t="str">
            <v>2010-Q4</v>
          </cell>
          <cell r="BR10" t="str">
            <v>2010-FY</v>
          </cell>
        </row>
        <row r="11">
          <cell r="A11" t="str">
            <v>Revenue</v>
          </cell>
          <cell r="L11" t="str">
            <v xml:space="preserve"> </v>
          </cell>
        </row>
        <row r="12">
          <cell r="A12" t="str">
            <v>Rental</v>
          </cell>
          <cell r="B12">
            <v>169859</v>
          </cell>
          <cell r="D12">
            <v>61015</v>
          </cell>
          <cell r="E12">
            <v>68018</v>
          </cell>
          <cell r="F12">
            <v>74264</v>
          </cell>
          <cell r="G12">
            <v>78435</v>
          </cell>
          <cell r="H12">
            <v>281732</v>
          </cell>
          <cell r="J12">
            <v>81468</v>
          </cell>
          <cell r="K12">
            <v>84250</v>
          </cell>
          <cell r="L12">
            <v>87064</v>
          </cell>
          <cell r="M12">
            <v>90149</v>
          </cell>
          <cell r="N12">
            <v>342931</v>
          </cell>
          <cell r="P12">
            <v>91972</v>
          </cell>
          <cell r="Q12">
            <v>94825</v>
          </cell>
          <cell r="R12">
            <v>97152</v>
          </cell>
          <cell r="S12">
            <v>100296</v>
          </cell>
          <cell r="T12">
            <v>384245</v>
          </cell>
          <cell r="U12">
            <v>102586</v>
          </cell>
          <cell r="V12">
            <v>104759</v>
          </cell>
          <cell r="W12">
            <v>105775</v>
          </cell>
          <cell r="X12">
            <v>106592</v>
          </cell>
          <cell r="Y12">
            <v>419712</v>
          </cell>
          <cell r="Z12">
            <v>106679</v>
          </cell>
          <cell r="AA12">
            <v>106278</v>
          </cell>
          <cell r="AB12">
            <v>114580</v>
          </cell>
          <cell r="AC12">
            <v>108714</v>
          </cell>
          <cell r="AD12">
            <v>436251</v>
          </cell>
          <cell r="AE12">
            <v>113391</v>
          </cell>
          <cell r="AF12">
            <v>109411</v>
          </cell>
          <cell r="AG12">
            <v>114778</v>
          </cell>
          <cell r="AH12">
            <v>115524</v>
          </cell>
          <cell r="AI12">
            <v>453104</v>
          </cell>
          <cell r="AJ12">
            <v>116078</v>
          </cell>
          <cell r="AK12">
            <v>119471</v>
          </cell>
          <cell r="AL12">
            <v>117519</v>
          </cell>
          <cell r="AM12">
            <v>120228</v>
          </cell>
          <cell r="AN12">
            <v>473296</v>
          </cell>
          <cell r="AO12">
            <v>121819</v>
          </cell>
          <cell r="AP12">
            <v>129749</v>
          </cell>
          <cell r="AQ12">
            <v>120808</v>
          </cell>
          <cell r="AR12">
            <v>121467</v>
          </cell>
          <cell r="AS12">
            <v>493843</v>
          </cell>
          <cell r="AT12">
            <v>117940</v>
          </cell>
          <cell r="AU12">
            <v>119519</v>
          </cell>
          <cell r="AV12">
            <v>118745</v>
          </cell>
          <cell r="AW12">
            <v>120686</v>
          </cell>
          <cell r="AX12">
            <v>476890</v>
          </cell>
          <cell r="AY12">
            <v>121374</v>
          </cell>
          <cell r="AZ12">
            <v>121843</v>
          </cell>
          <cell r="BA12">
            <v>124698</v>
          </cell>
          <cell r="BB12">
            <v>132265</v>
          </cell>
          <cell r="BC12">
            <v>500180</v>
          </cell>
          <cell r="BD12">
            <v>132170.62916139001</v>
          </cell>
          <cell r="BE12">
            <v>132033.26467388152</v>
          </cell>
          <cell r="BF12">
            <v>131978.82518637303</v>
          </cell>
          <cell r="BG12">
            <v>131719.58569886454</v>
          </cell>
          <cell r="BH12">
            <v>527902.3047205091</v>
          </cell>
          <cell r="BI12">
            <v>131959.29975759774</v>
          </cell>
          <cell r="BJ12">
            <v>132199.01381633093</v>
          </cell>
          <cell r="BK12">
            <v>132438.72787506413</v>
          </cell>
          <cell r="BL12">
            <v>132678.44193379732</v>
          </cell>
          <cell r="BM12">
            <v>529275.48338279012</v>
          </cell>
          <cell r="BN12">
            <v>132911.58086079298</v>
          </cell>
          <cell r="BO12">
            <v>133144.71978778864</v>
          </cell>
          <cell r="BP12">
            <v>133377.85871478429</v>
          </cell>
          <cell r="BQ12">
            <v>133610.99764177995</v>
          </cell>
          <cell r="BR12">
            <v>533045.1570051458</v>
          </cell>
          <cell r="CA12" t="str">
            <v>mstag:grossRents</v>
          </cell>
          <cell r="CB12">
            <v>3</v>
          </cell>
          <cell r="CC12" t="str">
            <v>ISO4217:USD</v>
          </cell>
          <cell r="CD12" t="b">
            <v>0</v>
          </cell>
          <cell r="CE12" t="b">
            <v>0</v>
          </cell>
        </row>
        <row r="13">
          <cell r="A13" t="str">
            <v>Termination Fees</v>
          </cell>
          <cell r="AT13">
            <v>1100</v>
          </cell>
          <cell r="AU13">
            <v>3800</v>
          </cell>
          <cell r="AV13">
            <v>500</v>
          </cell>
          <cell r="AW13">
            <v>800</v>
          </cell>
          <cell r="AY13">
            <v>700</v>
          </cell>
          <cell r="AZ13">
            <v>600</v>
          </cell>
          <cell r="BA13">
            <v>1900</v>
          </cell>
          <cell r="BB13">
            <v>1000</v>
          </cell>
          <cell r="BD13">
            <v>1000</v>
          </cell>
          <cell r="BE13">
            <v>1000</v>
          </cell>
          <cell r="BF13">
            <v>1000</v>
          </cell>
          <cell r="BG13">
            <v>1000</v>
          </cell>
          <cell r="BI13">
            <v>1000</v>
          </cell>
          <cell r="BJ13">
            <v>1000</v>
          </cell>
          <cell r="BK13">
            <v>1000</v>
          </cell>
          <cell r="BL13">
            <v>1000</v>
          </cell>
          <cell r="BN13">
            <v>1000</v>
          </cell>
          <cell r="BO13">
            <v>1000</v>
          </cell>
          <cell r="BP13">
            <v>1000</v>
          </cell>
          <cell r="BQ13">
            <v>1000</v>
          </cell>
        </row>
        <row r="14">
          <cell r="A14" t="str">
            <v>Lost Income, Lower Rent/Retention</v>
          </cell>
        </row>
        <row r="15">
          <cell r="A15" t="str">
            <v>Operating Expense Reimbursement</v>
          </cell>
          <cell r="B15">
            <v>55502</v>
          </cell>
          <cell r="D15">
            <v>20250</v>
          </cell>
          <cell r="E15">
            <v>23124</v>
          </cell>
          <cell r="F15">
            <v>27674</v>
          </cell>
          <cell r="G15">
            <v>30200</v>
          </cell>
          <cell r="H15">
            <v>101248</v>
          </cell>
          <cell r="J15">
            <v>29523</v>
          </cell>
          <cell r="K15">
            <v>29510</v>
          </cell>
          <cell r="L15">
            <v>31503</v>
          </cell>
          <cell r="M15">
            <v>33055</v>
          </cell>
          <cell r="N15">
            <v>123591</v>
          </cell>
          <cell r="P15">
            <v>35771</v>
          </cell>
          <cell r="Q15">
            <v>34837</v>
          </cell>
          <cell r="R15">
            <v>36219</v>
          </cell>
          <cell r="S15">
            <v>37517</v>
          </cell>
          <cell r="T15">
            <v>144344</v>
          </cell>
          <cell r="U15">
            <v>41604</v>
          </cell>
          <cell r="V15">
            <v>37609</v>
          </cell>
          <cell r="W15">
            <v>40721</v>
          </cell>
          <cell r="X15">
            <v>40662</v>
          </cell>
          <cell r="Y15">
            <v>160596</v>
          </cell>
          <cell r="Z15">
            <v>40272</v>
          </cell>
          <cell r="AA15">
            <v>39278</v>
          </cell>
          <cell r="AB15">
            <v>41014</v>
          </cell>
          <cell r="AC15">
            <v>41554</v>
          </cell>
          <cell r="AD15">
            <v>162118</v>
          </cell>
          <cell r="AE15">
            <v>44075</v>
          </cell>
          <cell r="AF15">
            <v>40647</v>
          </cell>
          <cell r="AG15">
            <v>43092</v>
          </cell>
          <cell r="AH15">
            <v>45616</v>
          </cell>
          <cell r="AI15">
            <v>173430</v>
          </cell>
          <cell r="AJ15">
            <v>46236</v>
          </cell>
          <cell r="AK15">
            <v>43992</v>
          </cell>
          <cell r="AL15">
            <v>47748</v>
          </cell>
          <cell r="AM15">
            <v>47426</v>
          </cell>
          <cell r="AN15">
            <v>185402</v>
          </cell>
          <cell r="AO15">
            <v>49581</v>
          </cell>
          <cell r="AP15">
            <v>48522</v>
          </cell>
          <cell r="AQ15">
            <v>51646</v>
          </cell>
          <cell r="AR15">
            <v>50421</v>
          </cell>
          <cell r="AS15">
            <v>200170</v>
          </cell>
          <cell r="AT15">
            <v>50838</v>
          </cell>
          <cell r="AU15">
            <v>49446</v>
          </cell>
          <cell r="AV15">
            <v>52678</v>
          </cell>
          <cell r="AW15">
            <v>55016</v>
          </cell>
          <cell r="AX15">
            <v>207978</v>
          </cell>
          <cell r="AY15">
            <v>54513</v>
          </cell>
          <cell r="AZ15">
            <v>54495</v>
          </cell>
          <cell r="BA15">
            <v>53127</v>
          </cell>
          <cell r="BB15">
            <v>56236</v>
          </cell>
          <cell r="BC15">
            <v>218371</v>
          </cell>
          <cell r="BD15">
            <v>56251.372567113416</v>
          </cell>
          <cell r="BE15">
            <v>56192.91070600738</v>
          </cell>
          <cell r="BF15">
            <v>56169.741444321684</v>
          </cell>
          <cell r="BG15">
            <v>56059.409995584007</v>
          </cell>
          <cell r="BH15">
            <v>224673.43471302645</v>
          </cell>
          <cell r="BI15">
            <v>58628.436630510754</v>
          </cell>
          <cell r="BJ15">
            <v>58734.939624446757</v>
          </cell>
          <cell r="BK15">
            <v>58841.442618382753</v>
          </cell>
          <cell r="BL15">
            <v>58947.945612318756</v>
          </cell>
          <cell r="BM15">
            <v>235152.76448565902</v>
          </cell>
          <cell r="BN15">
            <v>59051.52732904943</v>
          </cell>
          <cell r="BO15">
            <v>59155.109045780104</v>
          </cell>
          <cell r="BP15">
            <v>59258.690762510778</v>
          </cell>
          <cell r="BQ15">
            <v>59362.272479241466</v>
          </cell>
          <cell r="BR15">
            <v>236827.59961658181</v>
          </cell>
          <cell r="CA15" t="str">
            <v>mstag:tenantReimbursementsAndRecoveries</v>
          </cell>
          <cell r="CB15">
            <v>3</v>
          </cell>
          <cell r="CC15" t="str">
            <v>ISO4217:USD</v>
          </cell>
          <cell r="CD15" t="b">
            <v>0</v>
          </cell>
          <cell r="CE15" t="b">
            <v>0</v>
          </cell>
        </row>
        <row r="16">
          <cell r="A16" t="str">
            <v>Total Revenue</v>
          </cell>
          <cell r="B16">
            <v>225361</v>
          </cell>
          <cell r="D16">
            <v>81265</v>
          </cell>
          <cell r="E16">
            <v>91142</v>
          </cell>
          <cell r="F16">
            <v>101938</v>
          </cell>
          <cell r="G16">
            <v>108635</v>
          </cell>
          <cell r="H16">
            <v>382980</v>
          </cell>
          <cell r="I16">
            <v>0</v>
          </cell>
          <cell r="J16">
            <v>110991</v>
          </cell>
          <cell r="K16">
            <v>113760</v>
          </cell>
          <cell r="L16">
            <v>118567</v>
          </cell>
          <cell r="M16">
            <v>123204</v>
          </cell>
          <cell r="N16">
            <v>466522</v>
          </cell>
          <cell r="O16">
            <v>0</v>
          </cell>
          <cell r="P16">
            <v>127743</v>
          </cell>
          <cell r="Q16">
            <v>129662</v>
          </cell>
          <cell r="R16">
            <v>133371</v>
          </cell>
          <cell r="S16">
            <v>137813</v>
          </cell>
          <cell r="T16">
            <v>528589</v>
          </cell>
          <cell r="U16">
            <v>144190</v>
          </cell>
          <cell r="V16">
            <v>142368</v>
          </cell>
          <cell r="W16">
            <v>146496</v>
          </cell>
          <cell r="X16">
            <v>147254</v>
          </cell>
          <cell r="Y16">
            <v>580308</v>
          </cell>
          <cell r="Z16">
            <v>146951</v>
          </cell>
          <cell r="AA16">
            <v>145556</v>
          </cell>
          <cell r="AB16">
            <v>155594</v>
          </cell>
          <cell r="AC16">
            <v>150268</v>
          </cell>
          <cell r="AD16">
            <v>598369</v>
          </cell>
          <cell r="AE16">
            <v>157466</v>
          </cell>
          <cell r="AF16">
            <v>150058</v>
          </cell>
          <cell r="AG16">
            <v>157870</v>
          </cell>
          <cell r="AH16">
            <v>161140</v>
          </cell>
          <cell r="AI16">
            <v>626534</v>
          </cell>
          <cell r="AJ16">
            <v>162314</v>
          </cell>
          <cell r="AK16">
            <v>163463</v>
          </cell>
          <cell r="AL16">
            <v>165267</v>
          </cell>
          <cell r="AM16">
            <v>167654</v>
          </cell>
          <cell r="AN16">
            <v>658698</v>
          </cell>
          <cell r="AO16">
            <v>171400</v>
          </cell>
          <cell r="AP16">
            <v>178271</v>
          </cell>
          <cell r="AQ16">
            <v>172454</v>
          </cell>
          <cell r="AR16">
            <v>171888</v>
          </cell>
          <cell r="AS16">
            <v>694013</v>
          </cell>
          <cell r="AT16">
            <v>168778</v>
          </cell>
          <cell r="AU16">
            <v>168965</v>
          </cell>
          <cell r="AV16">
            <v>171423</v>
          </cell>
          <cell r="AW16">
            <v>175702</v>
          </cell>
          <cell r="AX16">
            <v>684868</v>
          </cell>
          <cell r="AY16">
            <v>175887</v>
          </cell>
          <cell r="AZ16">
            <v>176338</v>
          </cell>
          <cell r="BA16">
            <v>177825</v>
          </cell>
          <cell r="BB16">
            <v>188501</v>
          </cell>
          <cell r="BC16">
            <v>718551</v>
          </cell>
          <cell r="BD16">
            <v>188422.00172850344</v>
          </cell>
          <cell r="BE16">
            <v>188226.17537988891</v>
          </cell>
          <cell r="BF16">
            <v>188148.56663069472</v>
          </cell>
          <cell r="BG16">
            <v>187778.99569444853</v>
          </cell>
          <cell r="BH16">
            <v>752575.73943353561</v>
          </cell>
          <cell r="BI16">
            <v>190587.73638810849</v>
          </cell>
          <cell r="BJ16">
            <v>190933.9534407777</v>
          </cell>
          <cell r="BK16">
            <v>191280.17049344687</v>
          </cell>
          <cell r="BL16">
            <v>191626.38754611608</v>
          </cell>
          <cell r="BM16">
            <v>764428.24786844919</v>
          </cell>
          <cell r="BN16">
            <v>191963.1081898424</v>
          </cell>
          <cell r="BO16">
            <v>192299.82883356872</v>
          </cell>
          <cell r="BP16">
            <v>192636.54947729508</v>
          </cell>
          <cell r="BQ16">
            <v>192973.27012102143</v>
          </cell>
          <cell r="BR16">
            <v>769872.7566217276</v>
          </cell>
        </row>
        <row r="17">
          <cell r="U17">
            <v>0.97554341454264071</v>
          </cell>
          <cell r="V17">
            <v>0.9716832450587779</v>
          </cell>
          <cell r="W17">
            <v>0.94526335337403378</v>
          </cell>
          <cell r="X17">
            <v>0.93568354925558594</v>
          </cell>
          <cell r="Y17">
            <v>0.95656628228342699</v>
          </cell>
          <cell r="Z17">
            <v>0.95922256097560976</v>
          </cell>
          <cell r="AA17">
            <v>0.93016316574703384</v>
          </cell>
          <cell r="AB17">
            <v>0.94946408315392272</v>
          </cell>
          <cell r="AC17">
            <v>0.91047326906222614</v>
          </cell>
          <cell r="AD17">
            <v>0.93683833387268267</v>
          </cell>
          <cell r="AE17">
            <v>0.93233066802047637</v>
          </cell>
          <cell r="AF17">
            <v>0.93177910735162639</v>
          </cell>
          <cell r="AG17">
            <v>0.92004184725751004</v>
          </cell>
          <cell r="AH17">
            <v>0.92900492851615002</v>
          </cell>
        </row>
        <row r="18">
          <cell r="A18" t="str">
            <v>Expenses</v>
          </cell>
        </row>
        <row r="19">
          <cell r="A19" t="str">
            <v>Rental Property Expenses</v>
          </cell>
          <cell r="B19">
            <v>43118</v>
          </cell>
          <cell r="D19">
            <v>14916</v>
          </cell>
          <cell r="E19">
            <v>16723</v>
          </cell>
          <cell r="F19">
            <v>20147</v>
          </cell>
          <cell r="G19">
            <v>22221</v>
          </cell>
          <cell r="H19">
            <v>74007</v>
          </cell>
          <cell r="J19">
            <v>21193</v>
          </cell>
          <cell r="K19">
            <v>20641</v>
          </cell>
          <cell r="L19">
            <v>21617</v>
          </cell>
          <cell r="M19">
            <v>23964</v>
          </cell>
          <cell r="N19">
            <v>87415</v>
          </cell>
          <cell r="P19">
            <v>24622</v>
          </cell>
          <cell r="Q19">
            <v>23217</v>
          </cell>
          <cell r="R19">
            <v>24541</v>
          </cell>
          <cell r="S19">
            <v>24801</v>
          </cell>
          <cell r="T19">
            <v>97181</v>
          </cell>
          <cell r="U19">
            <v>29217</v>
          </cell>
          <cell r="V19">
            <v>25504</v>
          </cell>
          <cell r="W19">
            <v>27809</v>
          </cell>
          <cell r="X19">
            <v>28780</v>
          </cell>
          <cell r="Y19">
            <v>111310</v>
          </cell>
          <cell r="Z19">
            <v>27561</v>
          </cell>
          <cell r="AA19">
            <v>27562</v>
          </cell>
          <cell r="AB19">
            <v>27285</v>
          </cell>
          <cell r="AC19">
            <v>30175</v>
          </cell>
          <cell r="AD19">
            <v>112583</v>
          </cell>
          <cell r="AE19">
            <v>32420</v>
          </cell>
          <cell r="AF19">
            <v>28135</v>
          </cell>
          <cell r="AG19">
            <v>30489</v>
          </cell>
          <cell r="AH19">
            <v>33481</v>
          </cell>
          <cell r="AI19">
            <v>124525</v>
          </cell>
          <cell r="AJ19">
            <v>34761</v>
          </cell>
          <cell r="AK19">
            <v>33196</v>
          </cell>
          <cell r="AL19">
            <v>33951</v>
          </cell>
          <cell r="AM19">
            <v>34873</v>
          </cell>
          <cell r="AN19">
            <v>136781</v>
          </cell>
          <cell r="AO19">
            <v>38259</v>
          </cell>
          <cell r="AP19">
            <v>35056</v>
          </cell>
          <cell r="AQ19">
            <v>38076</v>
          </cell>
          <cell r="AR19">
            <v>37132</v>
          </cell>
          <cell r="AS19">
            <v>148523</v>
          </cell>
          <cell r="AT19">
            <v>36894</v>
          </cell>
          <cell r="AU19">
            <v>34694</v>
          </cell>
          <cell r="AV19">
            <v>35526</v>
          </cell>
          <cell r="AW19">
            <v>37406</v>
          </cell>
          <cell r="AX19">
            <v>144520</v>
          </cell>
          <cell r="AY19">
            <v>39375</v>
          </cell>
          <cell r="AZ19">
            <v>37886</v>
          </cell>
          <cell r="BA19">
            <v>36813</v>
          </cell>
          <cell r="BB19">
            <v>39709</v>
          </cell>
          <cell r="BC19">
            <v>153783</v>
          </cell>
          <cell r="BD19">
            <v>39680.667700220285</v>
          </cell>
          <cell r="BE19">
            <v>39639.427716592916</v>
          </cell>
          <cell r="BF19">
            <v>39623.083728315782</v>
          </cell>
          <cell r="BG19">
            <v>39545.254062043721</v>
          </cell>
          <cell r="BH19">
            <v>158488.43320717273</v>
          </cell>
          <cell r="BI19">
            <v>42226.975922431273</v>
          </cell>
          <cell r="BJ19">
            <v>42303.684421225902</v>
          </cell>
          <cell r="BK19">
            <v>42380.392920020524</v>
          </cell>
          <cell r="BL19">
            <v>42457.101418815146</v>
          </cell>
          <cell r="BM19">
            <v>169368.15468249284</v>
          </cell>
          <cell r="BN19">
            <v>42531.705875453757</v>
          </cell>
          <cell r="BO19">
            <v>42606.310332092362</v>
          </cell>
          <cell r="BP19">
            <v>42680.914788730974</v>
          </cell>
          <cell r="BQ19">
            <v>42755.519245369585</v>
          </cell>
          <cell r="BR19">
            <v>170574.45024164667</v>
          </cell>
          <cell r="CA19" t="str">
            <v>mstag:propertyOperatingExpenses</v>
          </cell>
          <cell r="CB19">
            <v>3</v>
          </cell>
          <cell r="CC19" t="str">
            <v>ISO4217:USD</v>
          </cell>
          <cell r="CD19" t="b">
            <v>0</v>
          </cell>
          <cell r="CE19" t="b">
            <v>0</v>
          </cell>
        </row>
        <row r="20">
          <cell r="A20" t="str">
            <v>Real Estate Taxes</v>
          </cell>
          <cell r="B20">
            <v>17961</v>
          </cell>
          <cell r="D20">
            <v>7019</v>
          </cell>
          <cell r="E20">
            <v>7518</v>
          </cell>
          <cell r="F20">
            <v>9228</v>
          </cell>
          <cell r="G20">
            <v>10573</v>
          </cell>
          <cell r="H20">
            <v>34338</v>
          </cell>
          <cell r="J20">
            <v>9777</v>
          </cell>
          <cell r="K20">
            <v>10048</v>
          </cell>
          <cell r="L20">
            <v>10837</v>
          </cell>
          <cell r="M20">
            <v>11362</v>
          </cell>
          <cell r="N20">
            <v>42024</v>
          </cell>
          <cell r="P20">
            <v>12524</v>
          </cell>
          <cell r="Q20">
            <v>12452</v>
          </cell>
          <cell r="R20">
            <v>12946</v>
          </cell>
          <cell r="S20">
            <v>13636</v>
          </cell>
          <cell r="T20">
            <v>51558</v>
          </cell>
          <cell r="U20">
            <v>13430</v>
          </cell>
          <cell r="V20">
            <v>13201</v>
          </cell>
          <cell r="W20">
            <v>15270</v>
          </cell>
          <cell r="X20">
            <v>14677</v>
          </cell>
          <cell r="Y20">
            <v>56578</v>
          </cell>
          <cell r="Z20">
            <v>14423</v>
          </cell>
          <cell r="AA20">
            <v>14665</v>
          </cell>
          <cell r="AB20">
            <v>15912</v>
          </cell>
          <cell r="AC20">
            <v>15465</v>
          </cell>
          <cell r="AD20">
            <v>60465</v>
          </cell>
          <cell r="AE20">
            <v>14854</v>
          </cell>
          <cell r="AF20">
            <v>15488</v>
          </cell>
          <cell r="AG20">
            <v>16348</v>
          </cell>
          <cell r="AH20">
            <v>15621</v>
          </cell>
          <cell r="AI20">
            <v>62311</v>
          </cell>
          <cell r="AJ20">
            <v>15846</v>
          </cell>
          <cell r="AK20">
            <v>15599</v>
          </cell>
          <cell r="AL20">
            <v>17464</v>
          </cell>
          <cell r="AM20">
            <v>16515</v>
          </cell>
          <cell r="AN20">
            <v>65424</v>
          </cell>
          <cell r="AO20">
            <v>15960</v>
          </cell>
          <cell r="AP20">
            <v>17031</v>
          </cell>
          <cell r="AQ20">
            <v>17897</v>
          </cell>
          <cell r="AR20">
            <v>18783</v>
          </cell>
          <cell r="AS20">
            <v>69671</v>
          </cell>
          <cell r="AT20">
            <v>17664</v>
          </cell>
          <cell r="AU20">
            <v>18152</v>
          </cell>
          <cell r="AV20">
            <v>18202</v>
          </cell>
          <cell r="AW20">
            <v>19451</v>
          </cell>
          <cell r="AX20">
            <v>73469</v>
          </cell>
          <cell r="AY20">
            <v>17359</v>
          </cell>
          <cell r="AZ20">
            <v>19490</v>
          </cell>
          <cell r="BA20">
            <v>19627</v>
          </cell>
          <cell r="BB20">
            <v>19781</v>
          </cell>
          <cell r="BC20">
            <v>76257</v>
          </cell>
          <cell r="BD20">
            <v>19825.5943742085</v>
          </cell>
          <cell r="BE20">
            <v>19804.989701082228</v>
          </cell>
          <cell r="BF20">
            <v>19796.823777955953</v>
          </cell>
          <cell r="BG20">
            <v>19757.937854829681</v>
          </cell>
          <cell r="BH20">
            <v>79185.345708076362</v>
          </cell>
          <cell r="BI20">
            <v>19793.894963639661</v>
          </cell>
          <cell r="BJ20">
            <v>19829.852072449637</v>
          </cell>
          <cell r="BK20">
            <v>19865.809181259618</v>
          </cell>
          <cell r="BL20">
            <v>19901.766290069598</v>
          </cell>
          <cell r="BM20">
            <v>79391.322507418517</v>
          </cell>
          <cell r="BN20">
            <v>19936.737129118945</v>
          </cell>
          <cell r="BO20">
            <v>19971.707968168295</v>
          </cell>
          <cell r="BP20">
            <v>20006.678807217642</v>
          </cell>
          <cell r="BQ20">
            <v>20041.649646266993</v>
          </cell>
          <cell r="BR20">
            <v>79956.773550771875</v>
          </cell>
          <cell r="CA20" t="str">
            <v>mstag:realEstateTaxExpense</v>
          </cell>
          <cell r="CB20">
            <v>3</v>
          </cell>
          <cell r="CC20" t="str">
            <v>ISO4217:USD</v>
          </cell>
          <cell r="CD20" t="b">
            <v>0</v>
          </cell>
          <cell r="CE20" t="b">
            <v>0</v>
          </cell>
        </row>
        <row r="21">
          <cell r="A21" t="str">
            <v>Total Expenses</v>
          </cell>
          <cell r="B21">
            <v>61079</v>
          </cell>
          <cell r="D21">
            <v>21935</v>
          </cell>
          <cell r="E21">
            <v>24241</v>
          </cell>
          <cell r="F21">
            <v>29375</v>
          </cell>
          <cell r="G21">
            <v>32794</v>
          </cell>
          <cell r="H21">
            <v>108345</v>
          </cell>
          <cell r="J21">
            <v>30970</v>
          </cell>
          <cell r="K21">
            <v>30689</v>
          </cell>
          <cell r="L21">
            <v>32454</v>
          </cell>
          <cell r="M21">
            <v>35326</v>
          </cell>
          <cell r="N21">
            <v>129439</v>
          </cell>
          <cell r="P21">
            <v>37146</v>
          </cell>
          <cell r="Q21">
            <v>35669</v>
          </cell>
          <cell r="R21">
            <v>37487</v>
          </cell>
          <cell r="S21">
            <v>38437</v>
          </cell>
          <cell r="T21">
            <v>148739</v>
          </cell>
          <cell r="U21">
            <v>42647</v>
          </cell>
          <cell r="V21">
            <v>38705</v>
          </cell>
          <cell r="W21">
            <v>43079</v>
          </cell>
          <cell r="X21">
            <v>43457</v>
          </cell>
          <cell r="Y21">
            <v>167888</v>
          </cell>
          <cell r="Z21">
            <v>41984</v>
          </cell>
          <cell r="AA21">
            <v>42227</v>
          </cell>
          <cell r="AB21">
            <v>43197</v>
          </cell>
          <cell r="AC21">
            <v>45640</v>
          </cell>
          <cell r="AD21">
            <v>173048</v>
          </cell>
          <cell r="AE21">
            <v>47274</v>
          </cell>
          <cell r="AF21">
            <v>43623</v>
          </cell>
          <cell r="AG21">
            <v>46837</v>
          </cell>
          <cell r="AH21">
            <v>49102</v>
          </cell>
          <cell r="AI21">
            <v>186836</v>
          </cell>
          <cell r="AJ21">
            <v>50607</v>
          </cell>
          <cell r="AK21">
            <v>48795</v>
          </cell>
          <cell r="AL21">
            <v>51415</v>
          </cell>
          <cell r="AM21">
            <v>51388</v>
          </cell>
          <cell r="AN21">
            <v>202205</v>
          </cell>
          <cell r="AO21">
            <v>54219</v>
          </cell>
          <cell r="AP21">
            <v>52087</v>
          </cell>
          <cell r="AQ21">
            <v>55973</v>
          </cell>
          <cell r="AR21">
            <v>55915</v>
          </cell>
          <cell r="AS21">
            <v>218194</v>
          </cell>
          <cell r="AT21">
            <v>54558</v>
          </cell>
          <cell r="AU21">
            <v>52846</v>
          </cell>
          <cell r="AV21">
            <v>53728</v>
          </cell>
          <cell r="AW21">
            <v>56857</v>
          </cell>
          <cell r="AX21">
            <v>217989</v>
          </cell>
          <cell r="AY21">
            <v>56734</v>
          </cell>
          <cell r="AZ21">
            <v>57376</v>
          </cell>
          <cell r="BA21">
            <v>56440</v>
          </cell>
          <cell r="BB21">
            <v>59490</v>
          </cell>
          <cell r="BC21">
            <v>230040</v>
          </cell>
          <cell r="BD21">
            <v>59506.262074428785</v>
          </cell>
          <cell r="BE21">
            <v>59444.41741767514</v>
          </cell>
          <cell r="BF21">
            <v>59419.907506271731</v>
          </cell>
          <cell r="BG21">
            <v>59303.191916873402</v>
          </cell>
          <cell r="BH21">
            <v>237673.7789152491</v>
          </cell>
          <cell r="BI21">
            <v>62020.87088607093</v>
          </cell>
          <cell r="BJ21">
            <v>62133.536493675536</v>
          </cell>
          <cell r="BK21">
            <v>62246.202101280142</v>
          </cell>
          <cell r="BL21">
            <v>62358.867708884747</v>
          </cell>
          <cell r="BM21">
            <v>248759.47718991135</v>
          </cell>
          <cell r="BN21">
            <v>62468.443004572706</v>
          </cell>
          <cell r="BO21">
            <v>62578.018300260657</v>
          </cell>
          <cell r="BP21">
            <v>62687.593595948616</v>
          </cell>
          <cell r="BQ21">
            <v>62797.168891636582</v>
          </cell>
          <cell r="BR21">
            <v>250531.22379241855</v>
          </cell>
        </row>
        <row r="23">
          <cell r="A23" t="str">
            <v>NOI of JVs</v>
          </cell>
          <cell r="AO23">
            <v>797</v>
          </cell>
          <cell r="AP23">
            <v>748</v>
          </cell>
          <cell r="AQ23">
            <v>804</v>
          </cell>
          <cell r="AR23">
            <v>892.05</v>
          </cell>
          <cell r="AS23">
            <v>3241.05</v>
          </cell>
          <cell r="AT23">
            <v>1618.3000000000002</v>
          </cell>
          <cell r="AU23">
            <v>1958</v>
          </cell>
          <cell r="AV23">
            <v>2310.9</v>
          </cell>
          <cell r="AW23">
            <v>2182.4499999999998</v>
          </cell>
          <cell r="AX23">
            <v>8069.6500000000005</v>
          </cell>
          <cell r="AY23">
            <v>2398.9499999999998</v>
          </cell>
          <cell r="AZ23">
            <v>2495.5500000000002</v>
          </cell>
          <cell r="BA23">
            <v>2889.3500000000004</v>
          </cell>
          <cell r="BB23">
            <v>5872.8</v>
          </cell>
          <cell r="BC23">
            <v>13656.650000000001</v>
          </cell>
          <cell r="BD23">
            <v>5902.1639999999998</v>
          </cell>
          <cell r="BE23">
            <v>5931.6748199999993</v>
          </cell>
          <cell r="BF23">
            <v>5961.3331940999988</v>
          </cell>
          <cell r="BG23">
            <v>5991.1398600704979</v>
          </cell>
          <cell r="BH23">
            <v>23786.311874170497</v>
          </cell>
          <cell r="BI23">
            <v>6021.0955593708495</v>
          </cell>
          <cell r="BJ23">
            <v>6051.2010371677034</v>
          </cell>
          <cell r="BK23">
            <v>6081.4570423535415</v>
          </cell>
          <cell r="BL23">
            <v>6111.8643275653085</v>
          </cell>
          <cell r="BM23">
            <v>24265.617966457401</v>
          </cell>
          <cell r="BN23">
            <v>6142.4236492031341</v>
          </cell>
          <cell r="BO23">
            <v>6173.1357674491492</v>
          </cell>
          <cell r="BP23">
            <v>6204.0014462863946</v>
          </cell>
          <cell r="BQ23">
            <v>6235.0214535178256</v>
          </cell>
          <cell r="BR23">
            <v>24754.582316456501</v>
          </cell>
          <cell r="CA23" t="str">
            <v>mstag:netRentalIncomeFromJointVentures</v>
          </cell>
          <cell r="CB23">
            <v>3</v>
          </cell>
          <cell r="CC23" t="str">
            <v>ISO4217:USD</v>
          </cell>
          <cell r="CD23" t="b">
            <v>0</v>
          </cell>
          <cell r="CE23" t="b">
            <v>0</v>
          </cell>
        </row>
        <row r="24">
          <cell r="A24" t="str">
            <v>Equity in earnings of uncon. JV</v>
          </cell>
          <cell r="AC24">
            <v>255</v>
          </cell>
          <cell r="AD24">
            <v>255</v>
          </cell>
          <cell r="AE24">
            <v>442</v>
          </cell>
          <cell r="AF24">
            <v>473</v>
          </cell>
          <cell r="AG24">
            <v>440</v>
          </cell>
          <cell r="AH24">
            <v>389</v>
          </cell>
          <cell r="AI24">
            <v>1744</v>
          </cell>
          <cell r="AJ24">
            <v>-405</v>
          </cell>
          <cell r="AK24">
            <v>-125</v>
          </cell>
          <cell r="AL24">
            <v>-143</v>
          </cell>
          <cell r="AM24">
            <v>-102</v>
          </cell>
          <cell r="AN24">
            <v>-775</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CA24" t="str">
            <v>mstag:netRentalIncomeFromJointVentures</v>
          </cell>
          <cell r="CB24">
            <v>3</v>
          </cell>
          <cell r="CC24" t="str">
            <v>ISO4217:USD</v>
          </cell>
          <cell r="CD24" t="b">
            <v>0</v>
          </cell>
          <cell r="CE24" t="b">
            <v>0</v>
          </cell>
        </row>
        <row r="25">
          <cell r="A25" t="str">
            <v>Acquisition &amp; Development NOI</v>
          </cell>
          <cell r="AX25">
            <v>0</v>
          </cell>
          <cell r="BC25">
            <v>0</v>
          </cell>
          <cell r="BD25">
            <v>7025.6667022868241</v>
          </cell>
          <cell r="BE25">
            <v>5223.3056189904564</v>
          </cell>
          <cell r="BF25">
            <v>2926.9119891316823</v>
          </cell>
          <cell r="BG25">
            <v>4198.7291768753448</v>
          </cell>
          <cell r="BH25">
            <v>19374.613487284307</v>
          </cell>
          <cell r="BI25">
            <v>5480.4019832550339</v>
          </cell>
          <cell r="BJ25">
            <v>7911.3764257131688</v>
          </cell>
          <cell r="BK25">
            <v>11582.834554277455</v>
          </cell>
          <cell r="BL25">
            <v>14138.471328163145</v>
          </cell>
          <cell r="BM25">
            <v>39113.084291408799</v>
          </cell>
          <cell r="BN25">
            <v>16156.434693983556</v>
          </cell>
          <cell r="BO25">
            <v>18756.122655718507</v>
          </cell>
          <cell r="BP25">
            <v>21362.30983735781</v>
          </cell>
          <cell r="BQ25">
            <v>23975.012486951207</v>
          </cell>
          <cell r="BR25">
            <v>80249.879674011085</v>
          </cell>
          <cell r="CA25" t="str">
            <v>mstag:cumulativeNoiFromAcquisitionsDevelopmentsAndDispositions</v>
          </cell>
          <cell r="CB25">
            <v>3</v>
          </cell>
          <cell r="CC25" t="str">
            <v>ISO4217:USD</v>
          </cell>
          <cell r="CD25" t="b">
            <v>0</v>
          </cell>
          <cell r="CE25" t="b">
            <v>0</v>
          </cell>
        </row>
        <row r="26">
          <cell r="A26" t="str">
            <v>Net Operating Income</v>
          </cell>
          <cell r="B26">
            <v>164282</v>
          </cell>
          <cell r="D26">
            <v>59330</v>
          </cell>
          <cell r="E26">
            <v>66901</v>
          </cell>
          <cell r="F26">
            <v>72563</v>
          </cell>
          <cell r="G26">
            <v>75841</v>
          </cell>
          <cell r="H26">
            <v>274635</v>
          </cell>
          <cell r="J26">
            <v>80021</v>
          </cell>
          <cell r="K26">
            <v>83071</v>
          </cell>
          <cell r="L26">
            <v>86113</v>
          </cell>
          <cell r="M26">
            <v>87878</v>
          </cell>
          <cell r="N26">
            <v>337083</v>
          </cell>
          <cell r="P26">
            <v>90597</v>
          </cell>
          <cell r="Q26">
            <v>93993</v>
          </cell>
          <cell r="R26">
            <v>95884</v>
          </cell>
          <cell r="S26">
            <v>99376</v>
          </cell>
          <cell r="T26">
            <v>379850</v>
          </cell>
          <cell r="U26">
            <v>101543</v>
          </cell>
          <cell r="V26">
            <v>103663</v>
          </cell>
          <cell r="W26">
            <v>103417</v>
          </cell>
          <cell r="X26">
            <v>103797</v>
          </cell>
          <cell r="Y26">
            <v>412420</v>
          </cell>
          <cell r="Z26">
            <v>104967</v>
          </cell>
          <cell r="AA26">
            <v>103329</v>
          </cell>
          <cell r="AB26">
            <v>112397</v>
          </cell>
          <cell r="AC26">
            <v>104883</v>
          </cell>
          <cell r="AD26">
            <v>425576</v>
          </cell>
          <cell r="AE26">
            <v>110634</v>
          </cell>
          <cell r="AF26">
            <v>106908</v>
          </cell>
          <cell r="AG26">
            <v>111473</v>
          </cell>
          <cell r="AH26">
            <v>112427</v>
          </cell>
          <cell r="AI26">
            <v>441442</v>
          </cell>
          <cell r="AJ26">
            <v>111302</v>
          </cell>
          <cell r="AK26">
            <v>114543</v>
          </cell>
          <cell r="AL26">
            <v>113709</v>
          </cell>
          <cell r="AM26">
            <v>116164</v>
          </cell>
          <cell r="AN26">
            <v>455718</v>
          </cell>
          <cell r="AO26">
            <v>117978</v>
          </cell>
          <cell r="AP26">
            <v>126932</v>
          </cell>
          <cell r="AQ26">
            <v>117285</v>
          </cell>
          <cell r="AR26">
            <v>116865.05</v>
          </cell>
          <cell r="AS26">
            <v>479060.05</v>
          </cell>
          <cell r="AT26">
            <v>115838.3</v>
          </cell>
          <cell r="AU26">
            <v>118077</v>
          </cell>
          <cell r="AV26">
            <v>120005.9</v>
          </cell>
          <cell r="AW26">
            <v>121027.45</v>
          </cell>
          <cell r="AX26">
            <v>474948.65</v>
          </cell>
          <cell r="AY26">
            <v>121551.95</v>
          </cell>
          <cell r="AZ26">
            <v>121457.55</v>
          </cell>
          <cell r="BA26">
            <v>124274.35</v>
          </cell>
          <cell r="BB26">
            <v>134883.79999999999</v>
          </cell>
          <cell r="BC26">
            <v>502167.65</v>
          </cell>
          <cell r="BD26">
            <v>141843.57035636148</v>
          </cell>
          <cell r="BE26">
            <v>139936.7384012042</v>
          </cell>
          <cell r="BF26">
            <v>137616.90430765468</v>
          </cell>
          <cell r="BG26">
            <v>138665.67281452095</v>
          </cell>
          <cell r="BH26">
            <v>558062.88587974128</v>
          </cell>
          <cell r="BI26">
            <v>140068.36304466345</v>
          </cell>
          <cell r="BJ26">
            <v>142762.99440998305</v>
          </cell>
          <cell r="BK26">
            <v>146698.25998879774</v>
          </cell>
          <cell r="BL26">
            <v>149517.85549295979</v>
          </cell>
          <cell r="BM26">
            <v>579047.47293640405</v>
          </cell>
          <cell r="BN26">
            <v>151793.5235284564</v>
          </cell>
          <cell r="BO26">
            <v>154651.06895647573</v>
          </cell>
          <cell r="BP26">
            <v>157515.26716499066</v>
          </cell>
          <cell r="BQ26">
            <v>160386.13516985389</v>
          </cell>
          <cell r="BR26">
            <v>624345.99481977662</v>
          </cell>
        </row>
        <row r="28">
          <cell r="A28" t="str">
            <v>General and Administrative</v>
          </cell>
          <cell r="B28">
            <v>10650</v>
          </cell>
          <cell r="D28">
            <v>3350</v>
          </cell>
          <cell r="E28">
            <v>3697</v>
          </cell>
          <cell r="F28">
            <v>4362</v>
          </cell>
          <cell r="G28">
            <v>4113</v>
          </cell>
          <cell r="H28">
            <v>15522</v>
          </cell>
          <cell r="J28">
            <v>3985</v>
          </cell>
          <cell r="K28">
            <v>3931</v>
          </cell>
          <cell r="L28">
            <v>3969</v>
          </cell>
          <cell r="M28">
            <v>4242</v>
          </cell>
          <cell r="N28">
            <v>16127</v>
          </cell>
          <cell r="P28">
            <v>4445</v>
          </cell>
          <cell r="Q28">
            <v>4817</v>
          </cell>
          <cell r="R28">
            <v>4736</v>
          </cell>
          <cell r="S28">
            <v>5262</v>
          </cell>
          <cell r="T28">
            <v>19260</v>
          </cell>
          <cell r="U28">
            <v>5759</v>
          </cell>
          <cell r="V28">
            <v>5455</v>
          </cell>
          <cell r="W28">
            <v>4953</v>
          </cell>
          <cell r="X28">
            <v>4885</v>
          </cell>
          <cell r="Y28">
            <v>21052</v>
          </cell>
          <cell r="Z28">
            <v>5969</v>
          </cell>
          <cell r="AA28">
            <v>5615</v>
          </cell>
          <cell r="AB28">
            <v>5250</v>
          </cell>
          <cell r="AC28">
            <v>5675</v>
          </cell>
          <cell r="AD28">
            <v>22509</v>
          </cell>
          <cell r="AE28">
            <v>6433</v>
          </cell>
          <cell r="AF28">
            <v>8840</v>
          </cell>
          <cell r="AG28">
            <v>6542</v>
          </cell>
          <cell r="AH28">
            <v>7653</v>
          </cell>
          <cell r="AI28">
            <v>29468</v>
          </cell>
          <cell r="AJ28">
            <v>8482</v>
          </cell>
          <cell r="AK28">
            <v>8063</v>
          </cell>
          <cell r="AL28">
            <v>8549</v>
          </cell>
          <cell r="AM28">
            <v>8217</v>
          </cell>
          <cell r="AN28">
            <v>33311</v>
          </cell>
          <cell r="AO28">
            <v>8313</v>
          </cell>
          <cell r="AP28">
            <v>9390</v>
          </cell>
          <cell r="AQ28">
            <v>9175</v>
          </cell>
          <cell r="AR28">
            <v>10816</v>
          </cell>
          <cell r="AS28">
            <v>37694</v>
          </cell>
          <cell r="AT28">
            <v>10019</v>
          </cell>
          <cell r="AU28">
            <v>11501</v>
          </cell>
          <cell r="AV28">
            <v>11996</v>
          </cell>
          <cell r="AW28">
            <v>12558</v>
          </cell>
          <cell r="AX28">
            <v>46074</v>
          </cell>
          <cell r="AY28">
            <v>13339</v>
          </cell>
          <cell r="AZ28">
            <v>12799</v>
          </cell>
          <cell r="BA28">
            <v>13144</v>
          </cell>
          <cell r="BB28">
            <v>15248</v>
          </cell>
          <cell r="BC28">
            <v>54530</v>
          </cell>
          <cell r="BD28">
            <v>14504.284154913033</v>
          </cell>
          <cell r="BE28">
            <v>13913.451692060391</v>
          </cell>
          <cell r="BF28">
            <v>13958.871466635608</v>
          </cell>
          <cell r="BG28">
            <v>14890.299967351799</v>
          </cell>
          <cell r="BH28">
            <v>57266.907280960833</v>
          </cell>
          <cell r="BI28">
            <v>14917.398551225946</v>
          </cell>
          <cell r="BJ28">
            <v>14944.497135100095</v>
          </cell>
          <cell r="BK28">
            <v>14971.595718974242</v>
          </cell>
          <cell r="BL28">
            <v>14998.694302848389</v>
          </cell>
          <cell r="BM28">
            <v>59832.185708148667</v>
          </cell>
          <cell r="BN28">
            <v>15025.049597990059</v>
          </cell>
          <cell r="BO28">
            <v>15051.404893131727</v>
          </cell>
          <cell r="BP28">
            <v>15077.760188273394</v>
          </cell>
          <cell r="BQ28">
            <v>15104.115483415064</v>
          </cell>
          <cell r="BR28">
            <v>60258.330162810249</v>
          </cell>
          <cell r="CA28" t="str">
            <v>mstag:generalAndAdministrativeExpensesByNature</v>
          </cell>
          <cell r="CB28">
            <v>3</v>
          </cell>
          <cell r="CC28" t="str">
            <v>ISO4217:USD</v>
          </cell>
          <cell r="CD28" t="b">
            <v>0</v>
          </cell>
          <cell r="CE28" t="b">
            <v>0</v>
          </cell>
        </row>
        <row r="29">
          <cell r="L29" t="str">
            <v xml:space="preserve"> </v>
          </cell>
        </row>
        <row r="30">
          <cell r="A30" t="str">
            <v>EBITDA</v>
          </cell>
          <cell r="B30">
            <v>153632</v>
          </cell>
          <cell r="D30">
            <v>55980</v>
          </cell>
          <cell r="E30">
            <v>63204</v>
          </cell>
          <cell r="F30">
            <v>68201</v>
          </cell>
          <cell r="G30">
            <v>71728</v>
          </cell>
          <cell r="H30">
            <v>259113</v>
          </cell>
          <cell r="J30">
            <v>76036</v>
          </cell>
          <cell r="K30">
            <v>79140</v>
          </cell>
          <cell r="L30">
            <v>82144</v>
          </cell>
          <cell r="M30">
            <v>83636</v>
          </cell>
          <cell r="N30">
            <v>320956</v>
          </cell>
          <cell r="P30">
            <v>86152</v>
          </cell>
          <cell r="Q30">
            <v>89176</v>
          </cell>
          <cell r="R30">
            <v>91148</v>
          </cell>
          <cell r="S30">
            <v>94114</v>
          </cell>
          <cell r="T30">
            <v>360590</v>
          </cell>
          <cell r="U30">
            <v>95784</v>
          </cell>
          <cell r="V30">
            <v>98208</v>
          </cell>
          <cell r="W30">
            <v>98464</v>
          </cell>
          <cell r="X30">
            <v>98912</v>
          </cell>
          <cell r="Y30">
            <v>391368</v>
          </cell>
          <cell r="Z30">
            <v>98998</v>
          </cell>
          <cell r="AA30">
            <v>97714</v>
          </cell>
          <cell r="AB30">
            <v>107147</v>
          </cell>
          <cell r="AC30">
            <v>99208</v>
          </cell>
          <cell r="AD30">
            <v>403067</v>
          </cell>
          <cell r="AE30">
            <v>104201</v>
          </cell>
          <cell r="AF30">
            <v>98068</v>
          </cell>
          <cell r="AG30">
            <v>104931</v>
          </cell>
          <cell r="AH30">
            <v>104774</v>
          </cell>
          <cell r="AI30">
            <v>411974</v>
          </cell>
          <cell r="AJ30">
            <v>102820</v>
          </cell>
          <cell r="AK30">
            <v>106480</v>
          </cell>
          <cell r="AL30">
            <v>105160</v>
          </cell>
          <cell r="AM30">
            <v>107947</v>
          </cell>
          <cell r="AN30">
            <v>422407</v>
          </cell>
          <cell r="AO30">
            <v>109665</v>
          </cell>
          <cell r="AP30">
            <v>117542</v>
          </cell>
          <cell r="AQ30">
            <v>108110</v>
          </cell>
          <cell r="AR30">
            <v>106049.05</v>
          </cell>
          <cell r="AS30">
            <v>441366.05</v>
          </cell>
          <cell r="AT30">
            <v>105819.3</v>
          </cell>
          <cell r="AU30">
            <v>106576</v>
          </cell>
          <cell r="AV30">
            <v>108009.9</v>
          </cell>
          <cell r="AW30">
            <v>108469.45</v>
          </cell>
          <cell r="AX30">
            <v>428874.64999999997</v>
          </cell>
          <cell r="AY30">
            <v>108212.95</v>
          </cell>
          <cell r="AZ30">
            <v>108658.55</v>
          </cell>
          <cell r="BA30">
            <v>111130.35</v>
          </cell>
          <cell r="BB30">
            <v>119635.79999999999</v>
          </cell>
          <cell r="BC30">
            <v>447637.64999999997</v>
          </cell>
          <cell r="BD30">
            <v>127339.28620144844</v>
          </cell>
          <cell r="BE30">
            <v>126023.28670914381</v>
          </cell>
          <cell r="BF30">
            <v>123658.03284101907</v>
          </cell>
          <cell r="BG30">
            <v>123775.37284716914</v>
          </cell>
          <cell r="BH30">
            <v>500795.97859878046</v>
          </cell>
          <cell r="BI30">
            <v>125150.9644934375</v>
          </cell>
          <cell r="BJ30">
            <v>127818.49727488295</v>
          </cell>
          <cell r="BK30">
            <v>131726.66426982349</v>
          </cell>
          <cell r="BL30">
            <v>134519.16119011139</v>
          </cell>
          <cell r="BM30">
            <v>519215.2872282553</v>
          </cell>
          <cell r="BN30">
            <v>136768.47393046634</v>
          </cell>
          <cell r="BO30">
            <v>139599.66406334401</v>
          </cell>
          <cell r="BP30">
            <v>142437.50697671727</v>
          </cell>
          <cell r="BQ30">
            <v>145282.01968643884</v>
          </cell>
          <cell r="BR30">
            <v>564087.66465696646</v>
          </cell>
        </row>
        <row r="31">
          <cell r="AA31">
            <v>4.9681025235702595E-3</v>
          </cell>
        </row>
        <row r="32">
          <cell r="A32" t="str">
            <v>Interest Expense - consolidated</v>
          </cell>
          <cell r="B32">
            <v>53986</v>
          </cell>
          <cell r="D32">
            <v>16566</v>
          </cell>
          <cell r="E32">
            <v>18853</v>
          </cell>
          <cell r="F32">
            <v>20836</v>
          </cell>
          <cell r="G32">
            <v>22362</v>
          </cell>
          <cell r="H32">
            <v>78617</v>
          </cell>
          <cell r="J32">
            <v>23753</v>
          </cell>
          <cell r="K32">
            <v>25822</v>
          </cell>
          <cell r="L32">
            <v>24760</v>
          </cell>
          <cell r="M32">
            <v>25328</v>
          </cell>
          <cell r="N32">
            <v>99663</v>
          </cell>
          <cell r="P32">
            <v>25650</v>
          </cell>
          <cell r="Q32">
            <v>26367</v>
          </cell>
          <cell r="R32">
            <v>27518</v>
          </cell>
          <cell r="S32">
            <v>28760</v>
          </cell>
          <cell r="T32">
            <v>108295</v>
          </cell>
          <cell r="U32">
            <v>27788</v>
          </cell>
          <cell r="V32">
            <v>28107</v>
          </cell>
          <cell r="W32">
            <v>27697</v>
          </cell>
          <cell r="X32">
            <v>28414</v>
          </cell>
          <cell r="Y32">
            <v>112006</v>
          </cell>
          <cell r="Z32">
            <v>28057</v>
          </cell>
          <cell r="AA32">
            <v>28433</v>
          </cell>
          <cell r="AB32">
            <v>29396</v>
          </cell>
          <cell r="AC32">
            <v>31115</v>
          </cell>
          <cell r="AD32">
            <v>117001</v>
          </cell>
          <cell r="AE32">
            <v>30607</v>
          </cell>
          <cell r="AF32">
            <v>31089</v>
          </cell>
          <cell r="AG32">
            <v>31153</v>
          </cell>
          <cell r="AH32">
            <v>31362</v>
          </cell>
          <cell r="AI32">
            <v>124211</v>
          </cell>
          <cell r="AJ32">
            <v>30699</v>
          </cell>
          <cell r="AK32">
            <v>30438</v>
          </cell>
          <cell r="AL32">
            <v>30861</v>
          </cell>
          <cell r="AM32">
            <v>32119</v>
          </cell>
          <cell r="AN32">
            <v>124117</v>
          </cell>
          <cell r="AO32">
            <v>33188</v>
          </cell>
          <cell r="AP32">
            <v>33773</v>
          </cell>
          <cell r="AQ32">
            <v>33317</v>
          </cell>
          <cell r="AR32">
            <v>32843</v>
          </cell>
          <cell r="AS32">
            <v>133121</v>
          </cell>
          <cell r="AT32">
            <v>32052</v>
          </cell>
          <cell r="AU32">
            <v>29628</v>
          </cell>
          <cell r="AV32">
            <v>30840</v>
          </cell>
          <cell r="AW32">
            <v>30456</v>
          </cell>
          <cell r="AX32">
            <v>122976</v>
          </cell>
          <cell r="AY32">
            <v>28156</v>
          </cell>
          <cell r="AZ32">
            <v>30137</v>
          </cell>
          <cell r="BA32">
            <v>33521</v>
          </cell>
          <cell r="BB32">
            <v>40110</v>
          </cell>
          <cell r="BC32">
            <v>131924</v>
          </cell>
          <cell r="BD32">
            <v>46949.260174058174</v>
          </cell>
          <cell r="BE32">
            <v>45172.432635250334</v>
          </cell>
          <cell r="BF32">
            <v>43128.161656568445</v>
          </cell>
          <cell r="BG32">
            <v>43813.361324612531</v>
          </cell>
          <cell r="BH32">
            <v>179063.21579048946</v>
          </cell>
          <cell r="BI32">
            <v>44712.012560995005</v>
          </cell>
          <cell r="BJ32">
            <v>46332.157418626266</v>
          </cell>
          <cell r="BK32">
            <v>48739.007460053814</v>
          </cell>
          <cell r="BL32">
            <v>50566.581370928521</v>
          </cell>
          <cell r="BM32">
            <v>190349.75881060361</v>
          </cell>
          <cell r="BN32">
            <v>52162.498709860789</v>
          </cell>
          <cell r="BO32">
            <v>54207.134871853232</v>
          </cell>
          <cell r="BP32">
            <v>56351.720933497512</v>
          </cell>
          <cell r="BQ32">
            <v>58598.885351166755</v>
          </cell>
          <cell r="BR32">
            <v>221320.23986637831</v>
          </cell>
          <cell r="CA32" t="str">
            <v>mstag:interestExpense</v>
          </cell>
          <cell r="CB32">
            <v>3</v>
          </cell>
          <cell r="CC32" t="str">
            <v>ISO4217:USD</v>
          </cell>
          <cell r="CD32" t="b">
            <v>0</v>
          </cell>
          <cell r="CE32" t="b">
            <v>0</v>
          </cell>
        </row>
        <row r="33">
          <cell r="A33" t="str">
            <v>Interest Expense - unconsolidated</v>
          </cell>
          <cell r="AO33">
            <v>-295</v>
          </cell>
          <cell r="AP33">
            <v>-280</v>
          </cell>
          <cell r="AQ33">
            <v>-283</v>
          </cell>
          <cell r="AR33">
            <v>-411.05</v>
          </cell>
          <cell r="AS33">
            <v>-1269.05</v>
          </cell>
          <cell r="AT33">
            <v>-910.15000000000009</v>
          </cell>
          <cell r="AU33">
            <v>-1115.25</v>
          </cell>
          <cell r="AV33">
            <v>-1184.8499999999999</v>
          </cell>
          <cell r="AW33">
            <v>-1237.75</v>
          </cell>
          <cell r="AX33">
            <v>-4448</v>
          </cell>
          <cell r="AY33">
            <v>-1262.9000000000001</v>
          </cell>
          <cell r="AZ33">
            <v>-1325.4500000000003</v>
          </cell>
          <cell r="BA33">
            <v>-1784.5500000000002</v>
          </cell>
          <cell r="BB33">
            <v>-3580.9999999999995</v>
          </cell>
          <cell r="BC33">
            <v>-7953.9</v>
          </cell>
          <cell r="BD33">
            <v>-3580.9999999999995</v>
          </cell>
          <cell r="BE33">
            <v>-3580.9999999999995</v>
          </cell>
          <cell r="BF33">
            <v>-3580.9999999999995</v>
          </cell>
          <cell r="BG33">
            <v>-3580.9999999999995</v>
          </cell>
          <cell r="BH33">
            <v>-14323.999999999998</v>
          </cell>
          <cell r="BI33">
            <v>-3580.9999999999995</v>
          </cell>
          <cell r="BJ33">
            <v>-3580.9999999999995</v>
          </cell>
          <cell r="BK33">
            <v>-3580.9999999999995</v>
          </cell>
          <cell r="BL33">
            <v>-3580.9999999999995</v>
          </cell>
          <cell r="BM33">
            <v>-14323.999999999998</v>
          </cell>
          <cell r="BN33">
            <v>-3580.9999999999995</v>
          </cell>
          <cell r="BO33">
            <v>-3580.9999999999995</v>
          </cell>
          <cell r="BP33">
            <v>-3580.9999999999995</v>
          </cell>
          <cell r="BQ33">
            <v>-3580.9999999999995</v>
          </cell>
          <cell r="BR33">
            <v>-14323.999999999998</v>
          </cell>
          <cell r="CA33" t="str">
            <v>mstag:jointVentureInterestExpense</v>
          </cell>
          <cell r="CB33">
            <v>3</v>
          </cell>
          <cell r="CC33" t="str">
            <v>ISO4217:USD</v>
          </cell>
          <cell r="CD33" t="b">
            <v>1</v>
          </cell>
          <cell r="CE33" t="b">
            <v>0</v>
          </cell>
        </row>
        <row r="34">
          <cell r="A34" t="str">
            <v>Depreciation and Amort.</v>
          </cell>
          <cell r="B34">
            <v>40752</v>
          </cell>
          <cell r="D34">
            <v>14219</v>
          </cell>
          <cell r="E34">
            <v>16520</v>
          </cell>
          <cell r="F34">
            <v>18070</v>
          </cell>
          <cell r="G34">
            <v>19123</v>
          </cell>
          <cell r="H34">
            <v>67932</v>
          </cell>
          <cell r="J34">
            <v>20143</v>
          </cell>
          <cell r="K34">
            <v>20437</v>
          </cell>
          <cell r="L34">
            <v>21866</v>
          </cell>
          <cell r="M34">
            <v>22018</v>
          </cell>
          <cell r="N34">
            <v>84464</v>
          </cell>
          <cell r="P34">
            <v>22648</v>
          </cell>
          <cell r="Q34">
            <v>22806</v>
          </cell>
          <cell r="R34">
            <v>22934</v>
          </cell>
          <cell r="S34">
            <v>25084</v>
          </cell>
          <cell r="T34">
            <v>93472</v>
          </cell>
          <cell r="U34">
            <v>24944</v>
          </cell>
          <cell r="V34">
            <v>24804</v>
          </cell>
          <cell r="W34">
            <v>25734</v>
          </cell>
          <cell r="X34">
            <v>27144</v>
          </cell>
          <cell r="Y34">
            <v>102626</v>
          </cell>
          <cell r="Z34">
            <v>26506</v>
          </cell>
          <cell r="AA34">
            <v>27632</v>
          </cell>
          <cell r="AB34">
            <v>28195</v>
          </cell>
          <cell r="AC34">
            <v>28477</v>
          </cell>
          <cell r="AD34">
            <v>110810</v>
          </cell>
          <cell r="AE34">
            <v>29020</v>
          </cell>
          <cell r="AF34">
            <v>31188</v>
          </cell>
          <cell r="AG34">
            <v>30735</v>
          </cell>
          <cell r="AH34">
            <v>32024</v>
          </cell>
          <cell r="AI34">
            <v>122967</v>
          </cell>
          <cell r="AJ34">
            <v>32764</v>
          </cell>
          <cell r="AK34">
            <v>34138</v>
          </cell>
          <cell r="AL34">
            <v>34068</v>
          </cell>
          <cell r="AM34">
            <v>35286</v>
          </cell>
          <cell r="AN34">
            <v>136256</v>
          </cell>
          <cell r="AO34">
            <v>35100</v>
          </cell>
          <cell r="AP34">
            <v>37556</v>
          </cell>
          <cell r="AQ34">
            <v>37410</v>
          </cell>
          <cell r="AR34">
            <v>39121</v>
          </cell>
          <cell r="AS34">
            <v>149187</v>
          </cell>
          <cell r="AT34">
            <v>36693</v>
          </cell>
          <cell r="AU34">
            <v>37323</v>
          </cell>
          <cell r="AV34">
            <v>37763</v>
          </cell>
          <cell r="AW34">
            <v>37433</v>
          </cell>
          <cell r="AX34">
            <v>149212</v>
          </cell>
          <cell r="AY34">
            <v>38277</v>
          </cell>
          <cell r="AZ34">
            <v>39266</v>
          </cell>
          <cell r="BA34">
            <v>40720</v>
          </cell>
          <cell r="BB34">
            <v>44520</v>
          </cell>
          <cell r="BC34">
            <v>162783</v>
          </cell>
          <cell r="BD34">
            <v>44275.32532298319</v>
          </cell>
          <cell r="BE34">
            <v>40537.972821698597</v>
          </cell>
          <cell r="BF34">
            <v>40495.420703956544</v>
          </cell>
          <cell r="BG34">
            <v>40452.868586214492</v>
          </cell>
          <cell r="BH34">
            <v>165761.58743485282</v>
          </cell>
          <cell r="BI34">
            <v>40601.800998311679</v>
          </cell>
          <cell r="BJ34">
            <v>40750.733410408866</v>
          </cell>
          <cell r="BK34">
            <v>40899.66582250606</v>
          </cell>
          <cell r="BL34">
            <v>41048.598234603247</v>
          </cell>
          <cell r="BM34">
            <v>163300.79846582984</v>
          </cell>
          <cell r="BN34">
            <v>41240.082764442486</v>
          </cell>
          <cell r="BO34">
            <v>41431.567294281733</v>
          </cell>
          <cell r="BP34">
            <v>41623.051824120972</v>
          </cell>
          <cell r="BQ34">
            <v>41814.536353960219</v>
          </cell>
          <cell r="BR34">
            <v>166109.23823680542</v>
          </cell>
          <cell r="CA34" t="str">
            <v>mstag:depreciationInIncomeStatement</v>
          </cell>
          <cell r="CB34">
            <v>3</v>
          </cell>
          <cell r="CC34" t="str">
            <v>ISO4217:USD</v>
          </cell>
          <cell r="CD34" t="b">
            <v>0</v>
          </cell>
          <cell r="CE34" t="b">
            <v>0</v>
          </cell>
        </row>
        <row r="35">
          <cell r="A35" t="str">
            <v>JV Depreciation and Amort.</v>
          </cell>
          <cell r="AO35">
            <v>-366</v>
          </cell>
          <cell r="AP35">
            <v>-286</v>
          </cell>
          <cell r="AQ35">
            <v>-291</v>
          </cell>
          <cell r="AR35">
            <v>-373</v>
          </cell>
          <cell r="AS35">
            <v>-1316</v>
          </cell>
          <cell r="AT35">
            <v>-553</v>
          </cell>
          <cell r="AU35">
            <v>-763</v>
          </cell>
          <cell r="AV35">
            <v>-792</v>
          </cell>
          <cell r="AW35">
            <v>-763</v>
          </cell>
          <cell r="AX35">
            <v>-2871</v>
          </cell>
          <cell r="AY35">
            <v>-841</v>
          </cell>
          <cell r="AZ35">
            <v>-844</v>
          </cell>
          <cell r="BA35">
            <v>-1134</v>
          </cell>
          <cell r="BB35">
            <v>-3675</v>
          </cell>
          <cell r="BC35">
            <v>-6494</v>
          </cell>
          <cell r="BD35">
            <v>-3675</v>
          </cell>
          <cell r="BE35">
            <v>-3675</v>
          </cell>
          <cell r="BF35">
            <v>-3675</v>
          </cell>
          <cell r="BG35">
            <v>-3675</v>
          </cell>
          <cell r="BH35">
            <v>-14700</v>
          </cell>
          <cell r="BI35">
            <v>-3675</v>
          </cell>
          <cell r="BJ35">
            <v>-3675</v>
          </cell>
          <cell r="BK35">
            <v>-3675</v>
          </cell>
          <cell r="BL35">
            <v>-3675</v>
          </cell>
          <cell r="BM35">
            <v>-14700</v>
          </cell>
          <cell r="BN35">
            <v>-3675</v>
          </cell>
          <cell r="BO35">
            <v>-3675</v>
          </cell>
          <cell r="BP35">
            <v>-3675</v>
          </cell>
          <cell r="BQ35">
            <v>-3675</v>
          </cell>
          <cell r="BR35">
            <v>-14700</v>
          </cell>
        </row>
        <row r="36">
          <cell r="A36" t="str">
            <v>Gain (Loss) on Sale - consolidated</v>
          </cell>
          <cell r="B36">
            <v>0</v>
          </cell>
          <cell r="D36">
            <v>0</v>
          </cell>
          <cell r="E36">
            <v>-1048</v>
          </cell>
          <cell r="F36">
            <v>0</v>
          </cell>
          <cell r="G36">
            <v>0</v>
          </cell>
          <cell r="H36">
            <v>-1048</v>
          </cell>
          <cell r="J36">
            <v>0</v>
          </cell>
          <cell r="K36">
            <v>11942</v>
          </cell>
          <cell r="L36">
            <v>-1270</v>
          </cell>
          <cell r="M36">
            <v>1247</v>
          </cell>
          <cell r="N36">
            <v>11919</v>
          </cell>
          <cell r="P36">
            <v>4353</v>
          </cell>
          <cell r="Q36">
            <v>4395</v>
          </cell>
          <cell r="R36">
            <v>2964</v>
          </cell>
          <cell r="S36">
            <v>6674</v>
          </cell>
          <cell r="T36">
            <v>18386</v>
          </cell>
          <cell r="U36">
            <v>1477</v>
          </cell>
          <cell r="V36">
            <v>717</v>
          </cell>
          <cell r="W36">
            <v>140</v>
          </cell>
          <cell r="X36">
            <v>-219</v>
          </cell>
          <cell r="Y36">
            <v>2115</v>
          </cell>
          <cell r="Z36">
            <v>871</v>
          </cell>
          <cell r="AA36">
            <v>1760</v>
          </cell>
          <cell r="AB36">
            <v>-5414</v>
          </cell>
          <cell r="AC36">
            <v>-5128</v>
          </cell>
          <cell r="AD36">
            <v>-7911</v>
          </cell>
          <cell r="AE36">
            <v>598</v>
          </cell>
          <cell r="AF36">
            <v>0</v>
          </cell>
          <cell r="AG36">
            <v>-312</v>
          </cell>
          <cell r="AH36">
            <v>155</v>
          </cell>
          <cell r="AI36">
            <v>441</v>
          </cell>
          <cell r="AJ36">
            <v>-330</v>
          </cell>
          <cell r="AK36">
            <v>-78</v>
          </cell>
          <cell r="AL36">
            <v>128</v>
          </cell>
          <cell r="AM36">
            <v>2120</v>
          </cell>
          <cell r="AN36">
            <v>1840</v>
          </cell>
          <cell r="AO36">
            <v>-68</v>
          </cell>
          <cell r="AP36">
            <v>-504</v>
          </cell>
          <cell r="AQ36">
            <v>21</v>
          </cell>
          <cell r="AR36">
            <v>75258</v>
          </cell>
          <cell r="AS36">
            <v>74707</v>
          </cell>
          <cell r="AT36">
            <v>116</v>
          </cell>
          <cell r="AU36">
            <v>17438</v>
          </cell>
          <cell r="AV36">
            <v>806</v>
          </cell>
          <cell r="AW36">
            <v>4517</v>
          </cell>
          <cell r="AX36">
            <v>22877</v>
          </cell>
          <cell r="AY36">
            <v>152</v>
          </cell>
          <cell r="AZ36">
            <v>1119</v>
          </cell>
          <cell r="BA36">
            <v>1157</v>
          </cell>
          <cell r="BB36">
            <v>-115</v>
          </cell>
          <cell r="BC36">
            <v>2313</v>
          </cell>
          <cell r="BD36">
            <v>7500</v>
          </cell>
          <cell r="BE36">
            <v>50700</v>
          </cell>
          <cell r="BF36">
            <v>5000</v>
          </cell>
          <cell r="BG36">
            <v>5000</v>
          </cell>
          <cell r="BH36">
            <v>68200</v>
          </cell>
          <cell r="BI36">
            <v>5000</v>
          </cell>
          <cell r="BJ36">
            <v>5000</v>
          </cell>
          <cell r="BK36">
            <v>5000</v>
          </cell>
          <cell r="BL36">
            <v>5000</v>
          </cell>
          <cell r="BM36">
            <v>20000</v>
          </cell>
          <cell r="BN36">
            <v>5000</v>
          </cell>
          <cell r="BO36">
            <v>5000</v>
          </cell>
          <cell r="BP36">
            <v>5000</v>
          </cell>
          <cell r="BQ36">
            <v>5000</v>
          </cell>
          <cell r="BR36">
            <v>20000</v>
          </cell>
          <cell r="CA36" t="str">
            <v>mstag:gainsLossesFromSaleOfOperatingAssetsOneTimeIncomeStatement</v>
          </cell>
          <cell r="CB36">
            <v>3</v>
          </cell>
          <cell r="CC36" t="str">
            <v>ISO4217:USD</v>
          </cell>
          <cell r="CD36" t="b">
            <v>0</v>
          </cell>
          <cell r="CE36" t="b">
            <v>0</v>
          </cell>
        </row>
        <row r="37">
          <cell r="A37" t="str">
            <v>Gain (Loss) on Sale - JVs</v>
          </cell>
          <cell r="AO37">
            <v>1884</v>
          </cell>
          <cell r="AP37">
            <v>0</v>
          </cell>
          <cell r="AQ37">
            <v>0</v>
          </cell>
          <cell r="AR37">
            <v>0</v>
          </cell>
          <cell r="AS37">
            <v>1884</v>
          </cell>
          <cell r="AT37">
            <v>0</v>
          </cell>
          <cell r="AU37">
            <v>661</v>
          </cell>
          <cell r="AV37">
            <v>0</v>
          </cell>
          <cell r="AW37">
            <v>0</v>
          </cell>
          <cell r="AX37">
            <v>661</v>
          </cell>
          <cell r="AY37">
            <v>434</v>
          </cell>
          <cell r="AZ37">
            <v>0</v>
          </cell>
          <cell r="BA37">
            <v>0</v>
          </cell>
          <cell r="BB37">
            <v>131</v>
          </cell>
          <cell r="BC37">
            <v>565</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CA37" t="str">
            <v>mstag:gainsLossesFromSaleOfOperatingAssetsOneTimeIncomeStatement</v>
          </cell>
          <cell r="CB37">
            <v>3</v>
          </cell>
          <cell r="CC37" t="str">
            <v>ISO4217:USD</v>
          </cell>
          <cell r="CD37" t="b">
            <v>0</v>
          </cell>
          <cell r="CE37" t="b">
            <v>0</v>
          </cell>
        </row>
        <row r="38">
          <cell r="A38" t="str">
            <v>Interest &amp; Other Income</v>
          </cell>
          <cell r="B38">
            <v>6483</v>
          </cell>
          <cell r="D38">
            <v>1207</v>
          </cell>
          <cell r="E38">
            <v>1164</v>
          </cell>
          <cell r="F38">
            <v>1458</v>
          </cell>
          <cell r="G38">
            <v>735</v>
          </cell>
          <cell r="H38">
            <v>4564</v>
          </cell>
          <cell r="J38">
            <v>2348</v>
          </cell>
          <cell r="K38">
            <v>1290</v>
          </cell>
          <cell r="L38">
            <v>1530</v>
          </cell>
          <cell r="M38">
            <v>1477</v>
          </cell>
          <cell r="N38">
            <v>6645</v>
          </cell>
          <cell r="P38">
            <v>1066</v>
          </cell>
          <cell r="Q38">
            <v>1234</v>
          </cell>
          <cell r="R38">
            <v>1373</v>
          </cell>
          <cell r="S38">
            <v>101</v>
          </cell>
          <cell r="T38">
            <v>3774</v>
          </cell>
          <cell r="U38">
            <v>1417</v>
          </cell>
          <cell r="V38">
            <v>1285</v>
          </cell>
          <cell r="W38">
            <v>1916</v>
          </cell>
          <cell r="X38">
            <v>2239</v>
          </cell>
          <cell r="Y38">
            <v>6857</v>
          </cell>
          <cell r="Z38">
            <v>1628</v>
          </cell>
          <cell r="AA38">
            <v>2885</v>
          </cell>
          <cell r="AB38">
            <v>2050</v>
          </cell>
          <cell r="AC38">
            <v>2737</v>
          </cell>
          <cell r="AD38">
            <v>9300</v>
          </cell>
          <cell r="AE38">
            <v>1847</v>
          </cell>
          <cell r="AF38">
            <v>2260</v>
          </cell>
          <cell r="AG38">
            <v>1486</v>
          </cell>
          <cell r="AH38">
            <v>1726</v>
          </cell>
          <cell r="AI38">
            <v>7319</v>
          </cell>
          <cell r="AJ38">
            <v>2597</v>
          </cell>
          <cell r="AK38">
            <v>536</v>
          </cell>
          <cell r="AL38">
            <v>1096</v>
          </cell>
          <cell r="AM38">
            <v>2255</v>
          </cell>
          <cell r="AN38">
            <v>6484</v>
          </cell>
          <cell r="AO38">
            <v>1451</v>
          </cell>
          <cell r="AP38">
            <v>2174</v>
          </cell>
          <cell r="AQ38">
            <v>2165</v>
          </cell>
          <cell r="AR38">
            <v>2411</v>
          </cell>
          <cell r="AS38">
            <v>8201</v>
          </cell>
          <cell r="AT38">
            <v>1951</v>
          </cell>
          <cell r="AU38">
            <v>2222</v>
          </cell>
          <cell r="AV38">
            <v>3257</v>
          </cell>
          <cell r="AW38">
            <v>2628</v>
          </cell>
          <cell r="AX38">
            <v>10058</v>
          </cell>
          <cell r="AY38">
            <v>2949</v>
          </cell>
          <cell r="AZ38">
            <v>3298</v>
          </cell>
          <cell r="BA38">
            <v>2536</v>
          </cell>
          <cell r="BB38">
            <v>3901</v>
          </cell>
          <cell r="BC38">
            <v>12684</v>
          </cell>
          <cell r="BD38">
            <v>3901</v>
          </cell>
          <cell r="BE38">
            <v>4407.25</v>
          </cell>
          <cell r="BF38">
            <v>4407.25</v>
          </cell>
          <cell r="BG38">
            <v>4407.25</v>
          </cell>
          <cell r="BH38">
            <v>17122.75</v>
          </cell>
          <cell r="BI38">
            <v>4407.25</v>
          </cell>
          <cell r="BJ38">
            <v>4407.25</v>
          </cell>
          <cell r="BK38">
            <v>4407.25</v>
          </cell>
          <cell r="BL38">
            <v>4407.25</v>
          </cell>
          <cell r="BM38">
            <v>17629</v>
          </cell>
          <cell r="BN38">
            <v>4407.25</v>
          </cell>
          <cell r="BO38">
            <v>4407.25</v>
          </cell>
          <cell r="BP38">
            <v>4407.25</v>
          </cell>
          <cell r="BQ38">
            <v>4407.25</v>
          </cell>
          <cell r="BR38">
            <v>17629</v>
          </cell>
          <cell r="CA38" t="str">
            <v>mstag:interestAndDividendIncome</v>
          </cell>
          <cell r="CB38">
            <v>3</v>
          </cell>
          <cell r="CC38" t="str">
            <v>ISO4217:USD</v>
          </cell>
          <cell r="CD38" t="b">
            <v>0</v>
          </cell>
          <cell r="CE38" t="b">
            <v>0</v>
          </cell>
        </row>
        <row r="39">
          <cell r="A39" t="str">
            <v>Int. &amp; Amort. of Exchangeable Sub. Deb.</v>
          </cell>
          <cell r="B39">
            <v>0</v>
          </cell>
          <cell r="D39">
            <v>0</v>
          </cell>
          <cell r="E39">
            <v>0</v>
          </cell>
          <cell r="F39">
            <v>0</v>
          </cell>
          <cell r="G39">
            <v>0</v>
          </cell>
          <cell r="H39">
            <v>0</v>
          </cell>
          <cell r="J39">
            <v>0</v>
          </cell>
          <cell r="K39">
            <v>0</v>
          </cell>
          <cell r="L39">
            <v>0</v>
          </cell>
          <cell r="M39">
            <v>0</v>
          </cell>
          <cell r="N39">
            <v>0</v>
          </cell>
          <cell r="P39">
            <v>0</v>
          </cell>
          <cell r="Q39">
            <v>0</v>
          </cell>
          <cell r="R39">
            <v>0</v>
          </cell>
          <cell r="S39">
            <v>0</v>
          </cell>
          <cell r="T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row>
        <row r="40">
          <cell r="A40" t="str">
            <v>Income Bef. Min. Interest</v>
          </cell>
          <cell r="B40">
            <v>65377</v>
          </cell>
          <cell r="D40">
            <v>26402</v>
          </cell>
          <cell r="E40">
            <v>27947</v>
          </cell>
          <cell r="F40">
            <v>30753</v>
          </cell>
          <cell r="G40">
            <v>30978</v>
          </cell>
          <cell r="H40">
            <v>116080</v>
          </cell>
          <cell r="J40">
            <v>34488</v>
          </cell>
          <cell r="K40">
            <v>46113</v>
          </cell>
          <cell r="L40">
            <v>35778</v>
          </cell>
          <cell r="M40">
            <v>39014</v>
          </cell>
          <cell r="N40">
            <v>155393</v>
          </cell>
          <cell r="P40">
            <v>43273</v>
          </cell>
          <cell r="Q40">
            <v>45632</v>
          </cell>
          <cell r="R40">
            <v>45033</v>
          </cell>
          <cell r="S40">
            <v>47045</v>
          </cell>
          <cell r="T40">
            <v>180983</v>
          </cell>
          <cell r="U40">
            <v>45946</v>
          </cell>
          <cell r="V40">
            <v>47299</v>
          </cell>
          <cell r="W40">
            <v>47089</v>
          </cell>
          <cell r="X40">
            <v>45374</v>
          </cell>
          <cell r="Y40">
            <v>185708</v>
          </cell>
          <cell r="Z40">
            <v>46934</v>
          </cell>
          <cell r="AA40">
            <v>46294</v>
          </cell>
          <cell r="AB40">
            <v>46192</v>
          </cell>
          <cell r="AC40">
            <v>37225</v>
          </cell>
          <cell r="AD40">
            <v>176645</v>
          </cell>
          <cell r="AE40">
            <v>47019</v>
          </cell>
          <cell r="AF40">
            <v>38051</v>
          </cell>
          <cell r="AG40">
            <v>44217</v>
          </cell>
          <cell r="AH40">
            <v>43269</v>
          </cell>
          <cell r="AI40">
            <v>172556</v>
          </cell>
          <cell r="AJ40">
            <v>41624</v>
          </cell>
          <cell r="AK40">
            <v>42362</v>
          </cell>
          <cell r="AL40">
            <v>41455</v>
          </cell>
          <cell r="AM40">
            <v>44917</v>
          </cell>
          <cell r="AN40">
            <v>170358</v>
          </cell>
          <cell r="AO40">
            <v>43983</v>
          </cell>
          <cell r="AP40">
            <v>47317</v>
          </cell>
          <cell r="AQ40">
            <v>38995</v>
          </cell>
          <cell r="AR40">
            <v>110970</v>
          </cell>
          <cell r="AS40">
            <v>241265</v>
          </cell>
          <cell r="AT40">
            <v>37678.15</v>
          </cell>
          <cell r="AU40">
            <v>58067.75</v>
          </cell>
          <cell r="AV40">
            <v>41493.049999999996</v>
          </cell>
          <cell r="AW40">
            <v>45724.7</v>
          </cell>
          <cell r="AX40">
            <v>182963.64999999997</v>
          </cell>
          <cell r="AY40">
            <v>43211.049999999996</v>
          </cell>
          <cell r="AZ40">
            <v>41503.100000000006</v>
          </cell>
          <cell r="BA40">
            <v>37663.800000000003</v>
          </cell>
          <cell r="BB40">
            <v>31666.799999999988</v>
          </cell>
          <cell r="BC40">
            <v>154044.75</v>
          </cell>
          <cell r="BD40">
            <v>40259.700704407078</v>
          </cell>
          <cell r="BE40">
            <v>88164.131252194886</v>
          </cell>
          <cell r="BF40">
            <v>42185.700480494088</v>
          </cell>
          <cell r="BG40">
            <v>41660.392936342119</v>
          </cell>
          <cell r="BH40">
            <v>212269.92537343816</v>
          </cell>
          <cell r="BI40">
            <v>41988.400934130812</v>
          </cell>
          <cell r="BJ40">
            <v>42886.856445847807</v>
          </cell>
          <cell r="BK40">
            <v>44239.240987263627</v>
          </cell>
          <cell r="BL40">
            <v>45055.231584579618</v>
          </cell>
          <cell r="BM40">
            <v>174169.72995182188</v>
          </cell>
          <cell r="BN40">
            <v>45517.14245616307</v>
          </cell>
          <cell r="BO40">
            <v>46112.211897209054</v>
          </cell>
          <cell r="BP40">
            <v>46613.984219098791</v>
          </cell>
          <cell r="BQ40">
            <v>47019.847981311868</v>
          </cell>
          <cell r="BR40">
            <v>185263.18655378278</v>
          </cell>
        </row>
        <row r="41">
          <cell r="A41" t="str">
            <v>Minority Interest In Earnings</v>
          </cell>
          <cell r="B41">
            <v>-5606</v>
          </cell>
          <cell r="D41">
            <v>-1809</v>
          </cell>
          <cell r="E41">
            <v>-2061</v>
          </cell>
          <cell r="F41">
            <v>-2092</v>
          </cell>
          <cell r="G41">
            <v>-2100</v>
          </cell>
          <cell r="H41">
            <v>-8062</v>
          </cell>
          <cell r="J41">
            <v>-2210</v>
          </cell>
          <cell r="K41">
            <v>-3011</v>
          </cell>
          <cell r="L41">
            <v>-3835</v>
          </cell>
          <cell r="M41">
            <v>-4468</v>
          </cell>
          <cell r="N41">
            <v>-13524</v>
          </cell>
          <cell r="P41">
            <v>-4679</v>
          </cell>
          <cell r="Q41">
            <v>-5223</v>
          </cell>
          <cell r="R41">
            <v>-5092</v>
          </cell>
          <cell r="S41">
            <v>-5215</v>
          </cell>
          <cell r="T41">
            <v>-20209</v>
          </cell>
          <cell r="U41">
            <v>-4830</v>
          </cell>
          <cell r="V41">
            <v>-4894</v>
          </cell>
          <cell r="W41">
            <v>-4775</v>
          </cell>
          <cell r="X41">
            <v>-4672</v>
          </cell>
          <cell r="Y41">
            <v>-19171</v>
          </cell>
          <cell r="Z41">
            <v>-4734</v>
          </cell>
          <cell r="AA41">
            <v>-5920</v>
          </cell>
          <cell r="AB41">
            <v>-5039</v>
          </cell>
          <cell r="AC41">
            <v>-4691</v>
          </cell>
          <cell r="AD41">
            <v>-20384</v>
          </cell>
          <cell r="AE41">
            <v>-5607</v>
          </cell>
          <cell r="AF41">
            <v>-4673</v>
          </cell>
          <cell r="AG41">
            <v>-4965</v>
          </cell>
          <cell r="AH41">
            <v>-4903</v>
          </cell>
          <cell r="AI41">
            <v>-20148</v>
          </cell>
          <cell r="AJ41">
            <v>-4578</v>
          </cell>
          <cell r="AK41">
            <v>-4548</v>
          </cell>
          <cell r="AL41">
            <v>-4360</v>
          </cell>
          <cell r="AM41">
            <v>-4168</v>
          </cell>
          <cell r="AN41">
            <v>-17654</v>
          </cell>
          <cell r="AO41">
            <v>-4249</v>
          </cell>
          <cell r="AP41">
            <v>-5049</v>
          </cell>
          <cell r="AQ41">
            <v>-4710</v>
          </cell>
          <cell r="AR41">
            <v>-7560</v>
          </cell>
          <cell r="AS41">
            <v>-21568</v>
          </cell>
          <cell r="AT41">
            <v>-4691</v>
          </cell>
          <cell r="AU41">
            <v>-5839</v>
          </cell>
          <cell r="AV41">
            <v>-5087</v>
          </cell>
          <cell r="AW41">
            <v>-5146</v>
          </cell>
          <cell r="AX41">
            <v>-20763</v>
          </cell>
          <cell r="AY41">
            <v>-5596</v>
          </cell>
          <cell r="AZ41">
            <v>-6113</v>
          </cell>
          <cell r="BA41">
            <v>-5703</v>
          </cell>
          <cell r="BB41">
            <v>-6470</v>
          </cell>
          <cell r="BC41">
            <v>-23882</v>
          </cell>
          <cell r="BD41">
            <v>-7015.8278761192005</v>
          </cell>
          <cell r="BE41">
            <v>-9097.4679119706161</v>
          </cell>
          <cell r="BF41">
            <v>-7084.8497630540523</v>
          </cell>
          <cell r="BG41">
            <v>-7054.5682074446358</v>
          </cell>
          <cell r="BH41">
            <v>-30252.713758588507</v>
          </cell>
          <cell r="BI41">
            <v>-7068.7536180937004</v>
          </cell>
          <cell r="BJ41">
            <v>-7099.9832747402197</v>
          </cell>
          <cell r="BK41">
            <v>-7150.427538635764</v>
          </cell>
          <cell r="BL41">
            <v>-7177.5466657938377</v>
          </cell>
          <cell r="BM41">
            <v>-28496.71109726352</v>
          </cell>
          <cell r="BN41">
            <v>-7197.2785978113197</v>
          </cell>
          <cell r="BO41">
            <v>-7214.6983015109499</v>
          </cell>
          <cell r="BP41">
            <v>-7228.023848440349</v>
          </cell>
          <cell r="BQ41">
            <v>-7237.1945149488511</v>
          </cell>
          <cell r="BR41">
            <v>-28877.195262711473</v>
          </cell>
          <cell r="CA41" t="str">
            <v>mstag:minorityInterestsInNetIncome</v>
          </cell>
          <cell r="CB41">
            <v>3</v>
          </cell>
          <cell r="CC41" t="str">
            <v>ISO4217:USD</v>
          </cell>
          <cell r="CD41" t="b">
            <v>1</v>
          </cell>
          <cell r="CE41" t="b">
            <v>0</v>
          </cell>
        </row>
        <row r="42">
          <cell r="A42" t="str">
            <v>Income taxes</v>
          </cell>
          <cell r="Y42">
            <v>0</v>
          </cell>
          <cell r="AD42">
            <v>0</v>
          </cell>
          <cell r="AG42">
            <v>-526</v>
          </cell>
          <cell r="AH42">
            <v>-739</v>
          </cell>
          <cell r="AI42">
            <v>-1265</v>
          </cell>
          <cell r="AJ42">
            <v>-389</v>
          </cell>
          <cell r="AK42">
            <v>-458</v>
          </cell>
          <cell r="AL42">
            <v>-532</v>
          </cell>
          <cell r="AM42">
            <v>-441</v>
          </cell>
          <cell r="AN42">
            <v>-1820</v>
          </cell>
          <cell r="AO42">
            <v>-534</v>
          </cell>
          <cell r="AP42">
            <v>-911</v>
          </cell>
          <cell r="AQ42">
            <v>-796</v>
          </cell>
          <cell r="AR42">
            <v>-12586</v>
          </cell>
          <cell r="AS42">
            <v>-14827</v>
          </cell>
          <cell r="AT42">
            <v>-375</v>
          </cell>
          <cell r="AU42">
            <v>-235</v>
          </cell>
          <cell r="AV42">
            <v>625</v>
          </cell>
          <cell r="AW42">
            <v>-303</v>
          </cell>
          <cell r="AX42">
            <v>-288</v>
          </cell>
          <cell r="AY42">
            <v>-301</v>
          </cell>
          <cell r="AZ42">
            <v>-213</v>
          </cell>
          <cell r="BA42">
            <v>1022</v>
          </cell>
          <cell r="BB42">
            <v>201</v>
          </cell>
          <cell r="BC42">
            <v>709</v>
          </cell>
          <cell r="BD42">
            <v>177.25</v>
          </cell>
          <cell r="BE42">
            <v>177.25</v>
          </cell>
          <cell r="BF42">
            <v>177.25</v>
          </cell>
          <cell r="BG42">
            <v>177.25</v>
          </cell>
          <cell r="BH42">
            <v>709</v>
          </cell>
          <cell r="BI42">
            <v>177.25</v>
          </cell>
          <cell r="BJ42">
            <v>177.25</v>
          </cell>
          <cell r="BK42">
            <v>177.25</v>
          </cell>
          <cell r="BL42">
            <v>177.25</v>
          </cell>
          <cell r="BM42">
            <v>709</v>
          </cell>
          <cell r="BN42">
            <v>177.25</v>
          </cell>
          <cell r="BO42">
            <v>177.25</v>
          </cell>
          <cell r="BP42">
            <v>177.25</v>
          </cell>
          <cell r="BQ42">
            <v>177.25</v>
          </cell>
          <cell r="BR42">
            <v>709</v>
          </cell>
          <cell r="CA42" t="str">
            <v>mstag:taxExpenseIncome</v>
          </cell>
          <cell r="CB42">
            <v>3</v>
          </cell>
          <cell r="CC42" t="str">
            <v>ISO4217:USD</v>
          </cell>
          <cell r="CD42" t="b">
            <v>1</v>
          </cell>
          <cell r="CE42" t="b">
            <v>0</v>
          </cell>
        </row>
        <row r="43">
          <cell r="A43" t="str">
            <v>Preferred Share Dividend</v>
          </cell>
          <cell r="B43">
            <v>4247</v>
          </cell>
          <cell r="D43">
            <v>2750</v>
          </cell>
          <cell r="E43">
            <v>2750</v>
          </cell>
          <cell r="F43">
            <v>2750</v>
          </cell>
          <cell r="G43">
            <v>2750</v>
          </cell>
          <cell r="H43">
            <v>11000</v>
          </cell>
          <cell r="J43">
            <v>2750</v>
          </cell>
          <cell r="K43">
            <v>2750</v>
          </cell>
          <cell r="L43">
            <v>2750</v>
          </cell>
          <cell r="M43">
            <v>2750</v>
          </cell>
          <cell r="N43">
            <v>11000</v>
          </cell>
          <cell r="P43">
            <v>2750</v>
          </cell>
          <cell r="Q43">
            <v>2750</v>
          </cell>
          <cell r="R43">
            <v>2750</v>
          </cell>
          <cell r="S43">
            <v>2750</v>
          </cell>
          <cell r="T43">
            <v>11000</v>
          </cell>
          <cell r="U43">
            <v>2750</v>
          </cell>
          <cell r="V43">
            <v>2750</v>
          </cell>
          <cell r="W43">
            <v>2750</v>
          </cell>
          <cell r="X43">
            <v>2750</v>
          </cell>
          <cell r="Y43">
            <v>11000</v>
          </cell>
          <cell r="Z43">
            <v>2750</v>
          </cell>
          <cell r="AA43">
            <v>2750</v>
          </cell>
          <cell r="AB43">
            <v>1742</v>
          </cell>
          <cell r="AC43">
            <v>0</v>
          </cell>
          <cell r="AD43">
            <v>7242</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CA43" t="str">
            <v>mstag:preferredDividendsPaid</v>
          </cell>
          <cell r="CB43">
            <v>3</v>
          </cell>
          <cell r="CC43" t="str">
            <v>ISO4217:USD</v>
          </cell>
          <cell r="CD43" t="b">
            <v>0</v>
          </cell>
          <cell r="CE43" t="b">
            <v>0</v>
          </cell>
        </row>
        <row r="44">
          <cell r="A44" t="str">
            <v>Other Gains/(Losses)</v>
          </cell>
          <cell r="B44">
            <v>0</v>
          </cell>
          <cell r="D44">
            <v>0</v>
          </cell>
          <cell r="E44">
            <v>0</v>
          </cell>
          <cell r="F44">
            <v>0</v>
          </cell>
          <cell r="G44">
            <v>0</v>
          </cell>
          <cell r="H44">
            <v>0</v>
          </cell>
          <cell r="J44">
            <v>0</v>
          </cell>
          <cell r="K44">
            <v>0</v>
          </cell>
          <cell r="L44">
            <v>0</v>
          </cell>
          <cell r="M44">
            <v>0</v>
          </cell>
          <cell r="N44">
            <v>0</v>
          </cell>
          <cell r="P44">
            <v>0</v>
          </cell>
          <cell r="Q44">
            <v>0</v>
          </cell>
          <cell r="R44">
            <v>0</v>
          </cell>
          <cell r="S44">
            <v>0</v>
          </cell>
          <cell r="T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13945</v>
          </cell>
          <cell r="AS44">
            <v>13945</v>
          </cell>
          <cell r="AT44">
            <v>-71</v>
          </cell>
          <cell r="AU44">
            <v>0</v>
          </cell>
          <cell r="AV44">
            <v>-910</v>
          </cell>
          <cell r="AW44">
            <v>-4146</v>
          </cell>
          <cell r="AX44">
            <v>-5127</v>
          </cell>
          <cell r="AY44">
            <v>0</v>
          </cell>
          <cell r="AZ44">
            <v>180</v>
          </cell>
          <cell r="BA44">
            <v>-967</v>
          </cell>
          <cell r="BB44">
            <v>-72</v>
          </cell>
          <cell r="BC44">
            <v>-859</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CA44" t="str">
            <v>mstag:gainLossOnLandSalesOneTimeGrossOfTax</v>
          </cell>
          <cell r="CB44">
            <v>3</v>
          </cell>
          <cell r="CC44" t="str">
            <v>ISO4217:USD</v>
          </cell>
          <cell r="CD44" t="b">
            <v>0</v>
          </cell>
          <cell r="CE44" t="b">
            <v>0</v>
          </cell>
        </row>
        <row r="45">
          <cell r="A45" t="str">
            <v>Discontinued ops net of minority interest (excluding gains)</v>
          </cell>
          <cell r="AA45">
            <v>-150</v>
          </cell>
          <cell r="AB45">
            <v>-41</v>
          </cell>
          <cell r="AC45">
            <v>25</v>
          </cell>
          <cell r="AD45">
            <v>-166</v>
          </cell>
          <cell r="AE45">
            <v>12</v>
          </cell>
          <cell r="AF45">
            <v>558</v>
          </cell>
          <cell r="AG45">
            <v>-35</v>
          </cell>
          <cell r="AH45">
            <v>-32</v>
          </cell>
          <cell r="AI45">
            <v>503</v>
          </cell>
          <cell r="AJ45">
            <v>-83</v>
          </cell>
          <cell r="AK45">
            <v>0</v>
          </cell>
          <cell r="AL45">
            <v>750</v>
          </cell>
          <cell r="AM45">
            <v>-425</v>
          </cell>
          <cell r="AN45">
            <v>242</v>
          </cell>
          <cell r="AO45">
            <v>-438</v>
          </cell>
          <cell r="AP45">
            <v>-24</v>
          </cell>
          <cell r="AQ45">
            <v>-1144</v>
          </cell>
          <cell r="AR45">
            <v>-1419</v>
          </cell>
          <cell r="AS45">
            <v>-3025</v>
          </cell>
          <cell r="AT45">
            <v>-1644</v>
          </cell>
          <cell r="AU45">
            <v>-94</v>
          </cell>
          <cell r="AV45">
            <v>-622</v>
          </cell>
          <cell r="AW45">
            <v>-348</v>
          </cell>
          <cell r="AX45">
            <v>-2708</v>
          </cell>
          <cell r="AY45">
            <v>-417</v>
          </cell>
          <cell r="AZ45">
            <v>-360</v>
          </cell>
          <cell r="BA45">
            <v>1013</v>
          </cell>
          <cell r="BB45">
            <v>962</v>
          </cell>
          <cell r="BC45">
            <v>1198</v>
          </cell>
          <cell r="BD45">
            <v>962</v>
          </cell>
          <cell r="BE45">
            <v>962</v>
          </cell>
          <cell r="BF45">
            <v>962</v>
          </cell>
          <cell r="BG45">
            <v>962</v>
          </cell>
          <cell r="BH45">
            <v>3848</v>
          </cell>
          <cell r="BI45">
            <v>962</v>
          </cell>
          <cell r="BJ45">
            <v>962</v>
          </cell>
          <cell r="BK45">
            <v>962</v>
          </cell>
          <cell r="BL45">
            <v>962</v>
          </cell>
          <cell r="BM45">
            <v>3848</v>
          </cell>
          <cell r="BN45">
            <v>962</v>
          </cell>
          <cell r="BO45">
            <v>962</v>
          </cell>
          <cell r="BP45">
            <v>962</v>
          </cell>
          <cell r="BQ45">
            <v>962</v>
          </cell>
          <cell r="BR45">
            <v>3848</v>
          </cell>
          <cell r="CA45" t="str">
            <v>mstag:incomeLossFromDiscontinuedOperationsNetOfTax</v>
          </cell>
          <cell r="CB45">
            <v>3</v>
          </cell>
          <cell r="CC45" t="str">
            <v>ISO4217:USD</v>
          </cell>
          <cell r="CD45" t="b">
            <v>0</v>
          </cell>
          <cell r="CE45" t="b">
            <v>0</v>
          </cell>
        </row>
        <row r="46">
          <cell r="A46" t="str">
            <v>Discontinued op. gains</v>
          </cell>
          <cell r="AA46">
            <v>4280</v>
          </cell>
          <cell r="AB46">
            <v>528</v>
          </cell>
          <cell r="AC46">
            <v>762</v>
          </cell>
          <cell r="AD46">
            <v>5570</v>
          </cell>
          <cell r="AE46">
            <v>163</v>
          </cell>
          <cell r="AF46">
            <v>11093</v>
          </cell>
          <cell r="AG46">
            <v>418</v>
          </cell>
          <cell r="AH46">
            <v>290</v>
          </cell>
          <cell r="AI46">
            <v>11964</v>
          </cell>
          <cell r="AJ46">
            <v>2097</v>
          </cell>
          <cell r="AK46">
            <v>0</v>
          </cell>
          <cell r="AL46">
            <v>2166</v>
          </cell>
          <cell r="AM46">
            <v>7399</v>
          </cell>
          <cell r="AN46">
            <v>11662</v>
          </cell>
          <cell r="AO46">
            <v>7051</v>
          </cell>
          <cell r="AP46">
            <v>7244</v>
          </cell>
          <cell r="AQ46">
            <v>19529</v>
          </cell>
          <cell r="AR46">
            <v>3966</v>
          </cell>
          <cell r="AS46">
            <v>37790</v>
          </cell>
          <cell r="AT46">
            <v>59530</v>
          </cell>
          <cell r="AU46">
            <v>16550</v>
          </cell>
          <cell r="AV46">
            <v>11386</v>
          </cell>
          <cell r="AW46">
            <v>25032</v>
          </cell>
          <cell r="AX46">
            <v>112498</v>
          </cell>
          <cell r="AY46">
            <v>2801</v>
          </cell>
          <cell r="AZ46">
            <v>17430</v>
          </cell>
          <cell r="BA46">
            <v>4145</v>
          </cell>
          <cell r="BB46">
            <v>9244</v>
          </cell>
          <cell r="BC46">
            <v>33620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CA46" t="str">
            <v>mstag:gainsLossesFromSaleOfOperatingAssetsOneTimeIncomeStatement</v>
          </cell>
          <cell r="CB46">
            <v>3</v>
          </cell>
          <cell r="CC46" t="str">
            <v>ISO4217:USD</v>
          </cell>
          <cell r="CD46" t="b">
            <v>0</v>
          </cell>
          <cell r="CE46" t="b">
            <v>0</v>
          </cell>
        </row>
        <row r="47">
          <cell r="A47" t="str">
            <v>Impairment charge</v>
          </cell>
          <cell r="AM47">
            <v>-1343</v>
          </cell>
          <cell r="AN47">
            <v>-1343</v>
          </cell>
          <cell r="AO47">
            <v>-212</v>
          </cell>
          <cell r="AP47">
            <v>-4020</v>
          </cell>
          <cell r="AQ47">
            <v>0</v>
          </cell>
          <cell r="AR47">
            <v>0</v>
          </cell>
          <cell r="AS47">
            <v>-4232</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CA47" t="str">
            <v>mstag:assetImpairmentNonGoodwillOneTimeIncomeStatement</v>
          </cell>
          <cell r="CB47">
            <v>3</v>
          </cell>
          <cell r="CC47" t="str">
            <v>ISO4217:USD</v>
          </cell>
          <cell r="CD47" t="b">
            <v>1</v>
          </cell>
          <cell r="CE47" t="b">
            <v>0</v>
          </cell>
        </row>
        <row r="48">
          <cell r="A48" t="str">
            <v>Extraordinary Item</v>
          </cell>
          <cell r="J48">
            <v>0</v>
          </cell>
          <cell r="K48">
            <v>0</v>
          </cell>
          <cell r="L48">
            <v>0</v>
          </cell>
          <cell r="M48">
            <v>-1145</v>
          </cell>
          <cell r="N48">
            <v>-1145</v>
          </cell>
          <cell r="P48">
            <v>-1875</v>
          </cell>
          <cell r="Q48">
            <v>-228</v>
          </cell>
          <cell r="R48">
            <v>0</v>
          </cell>
          <cell r="S48">
            <v>0</v>
          </cell>
          <cell r="T48">
            <v>-2103</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CA48" t="str">
            <v>mstag:incomeLossFromExtraordinaryItemsNetOfTax</v>
          </cell>
          <cell r="CB48">
            <v>3</v>
          </cell>
          <cell r="CC48" t="str">
            <v>ISO4217:USD</v>
          </cell>
          <cell r="CD48" t="b">
            <v>0</v>
          </cell>
          <cell r="CE48" t="b">
            <v>0</v>
          </cell>
        </row>
        <row r="49">
          <cell r="A49" t="str">
            <v>Net Income Available to Common SH</v>
          </cell>
          <cell r="B49">
            <v>55524</v>
          </cell>
          <cell r="D49">
            <v>21843</v>
          </cell>
          <cell r="E49">
            <v>23136</v>
          </cell>
          <cell r="F49">
            <v>25911</v>
          </cell>
          <cell r="G49">
            <v>26128</v>
          </cell>
          <cell r="H49">
            <v>97018</v>
          </cell>
          <cell r="J49">
            <v>29528</v>
          </cell>
          <cell r="K49">
            <v>40352</v>
          </cell>
          <cell r="L49">
            <v>29193</v>
          </cell>
          <cell r="M49">
            <v>31796</v>
          </cell>
          <cell r="N49">
            <v>130869</v>
          </cell>
          <cell r="P49">
            <v>35844</v>
          </cell>
          <cell r="Q49">
            <v>37659</v>
          </cell>
          <cell r="R49">
            <v>37191</v>
          </cell>
          <cell r="S49">
            <v>39080</v>
          </cell>
          <cell r="T49">
            <v>149774</v>
          </cell>
          <cell r="U49">
            <v>38366</v>
          </cell>
          <cell r="V49">
            <v>39655</v>
          </cell>
          <cell r="W49">
            <v>39564</v>
          </cell>
          <cell r="X49">
            <v>37952</v>
          </cell>
          <cell r="Y49">
            <v>155537</v>
          </cell>
          <cell r="Z49">
            <v>39450</v>
          </cell>
          <cell r="AA49">
            <v>41754</v>
          </cell>
          <cell r="AB49">
            <v>39898</v>
          </cell>
          <cell r="AC49">
            <v>33321</v>
          </cell>
          <cell r="AD49">
            <v>154423</v>
          </cell>
          <cell r="AE49">
            <v>41587</v>
          </cell>
          <cell r="AF49">
            <v>45029</v>
          </cell>
          <cell r="AG49">
            <v>39109</v>
          </cell>
          <cell r="AH49">
            <v>37885</v>
          </cell>
          <cell r="AI49">
            <v>163610</v>
          </cell>
          <cell r="AJ49">
            <v>38671</v>
          </cell>
          <cell r="AK49">
            <v>37356</v>
          </cell>
          <cell r="AL49">
            <v>39479</v>
          </cell>
          <cell r="AM49">
            <v>45939</v>
          </cell>
          <cell r="AN49">
            <v>161445</v>
          </cell>
          <cell r="AO49">
            <v>45601</v>
          </cell>
          <cell r="AP49">
            <v>44557</v>
          </cell>
          <cell r="AQ49">
            <v>51874</v>
          </cell>
          <cell r="AR49">
            <v>107316</v>
          </cell>
          <cell r="AS49">
            <v>249348</v>
          </cell>
          <cell r="AT49">
            <v>90427.15</v>
          </cell>
          <cell r="AU49">
            <v>68449.75</v>
          </cell>
          <cell r="AV49">
            <v>46885.049999999996</v>
          </cell>
          <cell r="AW49">
            <v>60813.7</v>
          </cell>
          <cell r="AX49">
            <v>266575.64999999997</v>
          </cell>
          <cell r="AY49">
            <v>39698.049999999996</v>
          </cell>
          <cell r="AZ49">
            <v>52427.100000000006</v>
          </cell>
          <cell r="BA49">
            <v>37173.800000000003</v>
          </cell>
          <cell r="BB49">
            <v>35531.799999999988</v>
          </cell>
          <cell r="BC49">
            <v>164830.75</v>
          </cell>
          <cell r="BD49">
            <v>34383.12282828788</v>
          </cell>
          <cell r="BE49">
            <v>80205.913340224273</v>
          </cell>
          <cell r="BF49">
            <v>36240.100717440037</v>
          </cell>
          <cell r="BG49">
            <v>35745.074728897482</v>
          </cell>
          <cell r="BH49">
            <v>186574.21161484969</v>
          </cell>
          <cell r="BI49">
            <v>36058.89731603711</v>
          </cell>
          <cell r="BJ49">
            <v>36926.123171107589</v>
          </cell>
          <cell r="BK49">
            <v>38228.063448627865</v>
          </cell>
          <cell r="BL49">
            <v>39016.934918785781</v>
          </cell>
          <cell r="BM49">
            <v>150230.01885455835</v>
          </cell>
          <cell r="BN49">
            <v>39459.113858351753</v>
          </cell>
          <cell r="BO49">
            <v>40036.763595698103</v>
          </cell>
          <cell r="BP49">
            <v>40525.210370658446</v>
          </cell>
          <cell r="BQ49">
            <v>40921.903466363015</v>
          </cell>
          <cell r="BR49">
            <v>160942.99129107132</v>
          </cell>
        </row>
        <row r="50">
          <cell r="A50" t="str">
            <v>Adjustment: OP Minority Interest</v>
          </cell>
          <cell r="D50">
            <v>1809</v>
          </cell>
          <cell r="E50">
            <v>2061</v>
          </cell>
          <cell r="F50">
            <v>2092</v>
          </cell>
          <cell r="G50">
            <v>2100</v>
          </cell>
          <cell r="H50">
            <v>8062</v>
          </cell>
          <cell r="J50">
            <v>2210</v>
          </cell>
          <cell r="K50">
            <v>3011</v>
          </cell>
          <cell r="L50">
            <v>3835</v>
          </cell>
          <cell r="M50">
            <v>4468</v>
          </cell>
          <cell r="N50">
            <v>13524</v>
          </cell>
          <cell r="P50">
            <v>4679</v>
          </cell>
          <cell r="Q50">
            <v>5223</v>
          </cell>
          <cell r="R50">
            <v>5092</v>
          </cell>
          <cell r="S50">
            <v>5215</v>
          </cell>
          <cell r="T50">
            <v>20209</v>
          </cell>
          <cell r="U50">
            <v>4830</v>
          </cell>
          <cell r="V50">
            <v>4894</v>
          </cell>
          <cell r="W50">
            <v>4775</v>
          </cell>
          <cell r="X50">
            <v>4672</v>
          </cell>
          <cell r="Y50">
            <v>19171</v>
          </cell>
          <cell r="Z50">
            <v>2081</v>
          </cell>
          <cell r="AA50">
            <v>2138</v>
          </cell>
          <cell r="AB50">
            <v>1819.8280405405405</v>
          </cell>
          <cell r="AC50">
            <v>1625</v>
          </cell>
          <cell r="AD50">
            <v>20384</v>
          </cell>
          <cell r="AE50">
            <v>1993</v>
          </cell>
          <cell r="AF50">
            <v>2117</v>
          </cell>
          <cell r="AG50">
            <v>1843</v>
          </cell>
          <cell r="AH50">
            <v>1691</v>
          </cell>
          <cell r="AI50">
            <v>7644</v>
          </cell>
          <cell r="AJ50">
            <v>1694</v>
          </cell>
          <cell r="AK50">
            <v>1610</v>
          </cell>
          <cell r="AL50">
            <v>1689</v>
          </cell>
          <cell r="AM50">
            <v>1962</v>
          </cell>
          <cell r="AN50">
            <v>6955</v>
          </cell>
          <cell r="AO50">
            <v>1855</v>
          </cell>
          <cell r="AP50">
            <v>1797</v>
          </cell>
          <cell r="AQ50">
            <v>2093</v>
          </cell>
          <cell r="AR50">
            <v>4273</v>
          </cell>
          <cell r="AS50">
            <v>10018</v>
          </cell>
          <cell r="AT50">
            <v>3582</v>
          </cell>
          <cell r="AU50">
            <v>3210</v>
          </cell>
          <cell r="AV50">
            <v>2189</v>
          </cell>
          <cell r="AW50">
            <v>2805</v>
          </cell>
          <cell r="AX50">
            <v>11786</v>
          </cell>
          <cell r="AY50">
            <v>1815</v>
          </cell>
          <cell r="AZ50">
            <v>2407</v>
          </cell>
          <cell r="BA50">
            <v>1705</v>
          </cell>
          <cell r="BB50">
            <v>1629</v>
          </cell>
          <cell r="BC50">
            <v>7556</v>
          </cell>
          <cell r="BD50">
            <v>1762.9528761192003</v>
          </cell>
          <cell r="BE50">
            <v>3844.5929119706152</v>
          </cell>
          <cell r="BF50">
            <v>1831.9747630540521</v>
          </cell>
          <cell r="BG50">
            <v>1801.6932074446354</v>
          </cell>
          <cell r="BH50">
            <v>9241.213758588503</v>
          </cell>
          <cell r="BI50">
            <v>1815.8786180937</v>
          </cell>
          <cell r="BJ50">
            <v>1847.1082747402199</v>
          </cell>
          <cell r="BK50">
            <v>1897.552538635764</v>
          </cell>
          <cell r="BL50">
            <v>1924.6716657938382</v>
          </cell>
          <cell r="BM50">
            <v>7485.2110972635219</v>
          </cell>
          <cell r="BN50">
            <v>1944.4035978113195</v>
          </cell>
          <cell r="BO50">
            <v>1961.8233015109502</v>
          </cell>
          <cell r="BP50">
            <v>1975.1488484403492</v>
          </cell>
          <cell r="BQ50">
            <v>1984.3195149488515</v>
          </cell>
          <cell r="BR50">
            <v>7865.6952627114697</v>
          </cell>
        </row>
        <row r="51">
          <cell r="A51" t="str">
            <v>Adjustment: Gains and Extraordinary Items</v>
          </cell>
          <cell r="D51">
            <v>0</v>
          </cell>
          <cell r="E51">
            <v>-1048</v>
          </cell>
          <cell r="F51">
            <v>0</v>
          </cell>
          <cell r="G51">
            <v>0</v>
          </cell>
          <cell r="H51">
            <v>-1048</v>
          </cell>
          <cell r="J51">
            <v>0</v>
          </cell>
          <cell r="K51">
            <v>11942</v>
          </cell>
          <cell r="L51">
            <v>-1270</v>
          </cell>
          <cell r="M51">
            <v>102</v>
          </cell>
          <cell r="N51">
            <v>10774</v>
          </cell>
          <cell r="P51">
            <v>2478</v>
          </cell>
          <cell r="Q51">
            <v>4167</v>
          </cell>
          <cell r="R51">
            <v>2964</v>
          </cell>
          <cell r="S51">
            <v>6674</v>
          </cell>
          <cell r="T51">
            <v>16283</v>
          </cell>
          <cell r="U51">
            <v>1477</v>
          </cell>
          <cell r="V51">
            <v>717</v>
          </cell>
          <cell r="W51">
            <v>140</v>
          </cell>
          <cell r="X51">
            <v>-219</v>
          </cell>
          <cell r="Y51">
            <v>2115</v>
          </cell>
          <cell r="Z51">
            <v>871</v>
          </cell>
          <cell r="AA51">
            <v>1760</v>
          </cell>
          <cell r="AB51">
            <v>-5414</v>
          </cell>
          <cell r="AC51">
            <v>-5128</v>
          </cell>
          <cell r="AD51">
            <v>-7911</v>
          </cell>
          <cell r="AE51">
            <v>598</v>
          </cell>
          <cell r="AF51">
            <v>0</v>
          </cell>
          <cell r="AG51">
            <v>-312</v>
          </cell>
          <cell r="AH51">
            <v>155</v>
          </cell>
          <cell r="AI51">
            <v>441</v>
          </cell>
          <cell r="AJ51">
            <v>-330</v>
          </cell>
          <cell r="AK51">
            <v>-78</v>
          </cell>
          <cell r="AL51">
            <v>128</v>
          </cell>
          <cell r="AM51">
            <v>2120</v>
          </cell>
          <cell r="AN51">
            <v>1840</v>
          </cell>
          <cell r="AO51">
            <v>1816</v>
          </cell>
          <cell r="AP51">
            <v>-504</v>
          </cell>
          <cell r="AQ51">
            <v>21</v>
          </cell>
          <cell r="AR51">
            <v>75258</v>
          </cell>
          <cell r="AS51">
            <v>74707</v>
          </cell>
          <cell r="AT51">
            <v>116</v>
          </cell>
          <cell r="AU51">
            <v>18099</v>
          </cell>
          <cell r="AV51">
            <v>806</v>
          </cell>
          <cell r="AW51">
            <v>4517</v>
          </cell>
          <cell r="AX51">
            <v>22877</v>
          </cell>
          <cell r="AY51">
            <v>586</v>
          </cell>
          <cell r="AZ51">
            <v>1119</v>
          </cell>
          <cell r="BA51">
            <v>1157</v>
          </cell>
          <cell r="BB51">
            <v>16</v>
          </cell>
          <cell r="BC51">
            <v>2313</v>
          </cell>
          <cell r="BD51">
            <v>7500</v>
          </cell>
          <cell r="BE51">
            <v>50700</v>
          </cell>
          <cell r="BF51">
            <v>5000</v>
          </cell>
          <cell r="BG51">
            <v>5000</v>
          </cell>
          <cell r="BH51">
            <v>68200</v>
          </cell>
          <cell r="BI51">
            <v>5000</v>
          </cell>
          <cell r="BJ51">
            <v>5000</v>
          </cell>
          <cell r="BK51">
            <v>5000</v>
          </cell>
          <cell r="BL51">
            <v>5000</v>
          </cell>
          <cell r="BM51">
            <v>20000</v>
          </cell>
          <cell r="BN51">
            <v>5000</v>
          </cell>
          <cell r="BO51">
            <v>5000</v>
          </cell>
          <cell r="BP51">
            <v>5000</v>
          </cell>
          <cell r="BQ51">
            <v>5000</v>
          </cell>
          <cell r="BR51">
            <v>20000</v>
          </cell>
        </row>
        <row r="52">
          <cell r="A52" t="str">
            <v>Normalized Earnings</v>
          </cell>
          <cell r="D52">
            <v>23652</v>
          </cell>
          <cell r="E52">
            <v>26245</v>
          </cell>
          <cell r="F52">
            <v>28003</v>
          </cell>
          <cell r="G52">
            <v>28228</v>
          </cell>
          <cell r="H52">
            <v>106128</v>
          </cell>
          <cell r="J52">
            <v>31738</v>
          </cell>
          <cell r="K52">
            <v>31421</v>
          </cell>
          <cell r="L52">
            <v>34298</v>
          </cell>
          <cell r="M52">
            <v>36162</v>
          </cell>
          <cell r="N52">
            <v>133619</v>
          </cell>
          <cell r="P52">
            <v>38045</v>
          </cell>
          <cell r="Q52">
            <v>38715</v>
          </cell>
          <cell r="R52">
            <v>39319</v>
          </cell>
          <cell r="S52">
            <v>37621</v>
          </cell>
          <cell r="T52">
            <v>153700</v>
          </cell>
          <cell r="U52">
            <v>41719</v>
          </cell>
          <cell r="V52">
            <v>43832</v>
          </cell>
          <cell r="W52">
            <v>44199</v>
          </cell>
          <cell r="X52">
            <v>42843</v>
          </cell>
          <cell r="Y52">
            <v>172593</v>
          </cell>
          <cell r="Z52">
            <v>40660</v>
          </cell>
          <cell r="AA52">
            <v>42132</v>
          </cell>
          <cell r="AB52">
            <v>47131.828040540538</v>
          </cell>
          <cell r="AC52">
            <v>40074</v>
          </cell>
          <cell r="AD52">
            <v>182718</v>
          </cell>
          <cell r="AE52">
            <v>42982</v>
          </cell>
          <cell r="AF52">
            <v>47146</v>
          </cell>
          <cell r="AG52">
            <v>41264</v>
          </cell>
          <cell r="AH52">
            <v>39421</v>
          </cell>
          <cell r="AI52">
            <v>170813</v>
          </cell>
          <cell r="AJ52">
            <v>40695</v>
          </cell>
          <cell r="AK52">
            <v>39044</v>
          </cell>
          <cell r="AL52">
            <v>41040</v>
          </cell>
          <cell r="AM52">
            <v>45781</v>
          </cell>
          <cell r="AN52">
            <v>166560</v>
          </cell>
          <cell r="AO52">
            <v>45640</v>
          </cell>
          <cell r="AP52">
            <v>46858</v>
          </cell>
          <cell r="AQ52">
            <v>53946</v>
          </cell>
          <cell r="AR52">
            <v>36331</v>
          </cell>
          <cell r="AS52">
            <v>184659</v>
          </cell>
          <cell r="AT52">
            <v>93893.15</v>
          </cell>
          <cell r="AU52">
            <v>53560.75</v>
          </cell>
          <cell r="AV52">
            <v>48268.049999999996</v>
          </cell>
          <cell r="AW52">
            <v>59101.7</v>
          </cell>
          <cell r="AX52">
            <v>255484.64999999997</v>
          </cell>
          <cell r="AY52">
            <v>40927.049999999996</v>
          </cell>
          <cell r="AZ52">
            <v>53715.100000000006</v>
          </cell>
          <cell r="BA52">
            <v>37721.800000000003</v>
          </cell>
          <cell r="BB52">
            <v>37144.799999999988</v>
          </cell>
          <cell r="BC52">
            <v>170073.75</v>
          </cell>
          <cell r="BD52">
            <v>28646.075704407078</v>
          </cell>
          <cell r="BE52">
            <v>33350.506252194886</v>
          </cell>
          <cell r="BF52">
            <v>33072.075480494088</v>
          </cell>
          <cell r="BG52">
            <v>32546.767936342119</v>
          </cell>
          <cell r="BH52">
            <v>127615.42537343819</v>
          </cell>
          <cell r="BI52">
            <v>32874.775934130812</v>
          </cell>
          <cell r="BJ52">
            <v>33773.231445847807</v>
          </cell>
          <cell r="BK52">
            <v>35125.615987263627</v>
          </cell>
          <cell r="BL52">
            <v>35941.606584579618</v>
          </cell>
          <cell r="BM52">
            <v>137715.22995182188</v>
          </cell>
          <cell r="BN52">
            <v>36403.51745616307</v>
          </cell>
          <cell r="BO52">
            <v>36998.586897209054</v>
          </cell>
          <cell r="BP52">
            <v>37500.359219098798</v>
          </cell>
          <cell r="BQ52">
            <v>37906.222981311868</v>
          </cell>
          <cell r="BR52">
            <v>148808.68655378278</v>
          </cell>
        </row>
        <row r="53">
          <cell r="Z53">
            <v>-0.4395859738065061</v>
          </cell>
          <cell r="AA53">
            <v>-0.36114864864864865</v>
          </cell>
        </row>
        <row r="54">
          <cell r="A54" t="str">
            <v>Adjustments</v>
          </cell>
          <cell r="H54" t="str">
            <v xml:space="preserve"> </v>
          </cell>
          <cell r="J54" t="str">
            <v xml:space="preserve"> </v>
          </cell>
          <cell r="K54" t="str">
            <v xml:space="preserve"> </v>
          </cell>
        </row>
        <row r="55">
          <cell r="A55" t="str">
            <v>Depreciation and Amortization</v>
          </cell>
          <cell r="B55">
            <v>40315</v>
          </cell>
          <cell r="D55">
            <v>14080</v>
          </cell>
          <cell r="E55">
            <v>16199</v>
          </cell>
          <cell r="F55">
            <v>17707</v>
          </cell>
          <cell r="G55">
            <v>18881</v>
          </cell>
          <cell r="H55">
            <v>66867</v>
          </cell>
          <cell r="J55">
            <v>19834</v>
          </cell>
          <cell r="K55">
            <v>20064</v>
          </cell>
          <cell r="L55">
            <v>21385</v>
          </cell>
          <cell r="M55">
            <v>21677</v>
          </cell>
          <cell r="N55">
            <v>82960</v>
          </cell>
          <cell r="P55">
            <v>22262</v>
          </cell>
          <cell r="Q55">
            <v>22450</v>
          </cell>
          <cell r="R55">
            <v>22598</v>
          </cell>
          <cell r="S55">
            <v>24757</v>
          </cell>
          <cell r="T55">
            <v>92067</v>
          </cell>
          <cell r="U55">
            <v>24533</v>
          </cell>
          <cell r="V55">
            <v>24328</v>
          </cell>
          <cell r="W55">
            <v>25264</v>
          </cell>
          <cell r="X55">
            <v>26676</v>
          </cell>
          <cell r="Y55">
            <v>100801</v>
          </cell>
          <cell r="Z55">
            <v>26078</v>
          </cell>
          <cell r="AA55">
            <v>27286</v>
          </cell>
          <cell r="AB55">
            <v>27787</v>
          </cell>
          <cell r="AC55">
            <v>27912</v>
          </cell>
          <cell r="AD55">
            <v>109063</v>
          </cell>
          <cell r="AE55">
            <v>28463</v>
          </cell>
          <cell r="AF55">
            <v>30783</v>
          </cell>
          <cell r="AG55">
            <v>30162</v>
          </cell>
          <cell r="AH55">
            <v>31418</v>
          </cell>
          <cell r="AI55">
            <v>120826</v>
          </cell>
          <cell r="AJ55">
            <v>32012</v>
          </cell>
          <cell r="AK55">
            <v>33474</v>
          </cell>
          <cell r="AL55">
            <v>33411</v>
          </cell>
          <cell r="AM55">
            <v>34784</v>
          </cell>
          <cell r="AN55">
            <v>133681</v>
          </cell>
          <cell r="AO55">
            <v>34698</v>
          </cell>
          <cell r="AP55">
            <v>37085</v>
          </cell>
          <cell r="AQ55">
            <v>36997</v>
          </cell>
          <cell r="AR55">
            <v>38889</v>
          </cell>
          <cell r="AS55">
            <v>147669</v>
          </cell>
          <cell r="AT55">
            <v>36591</v>
          </cell>
          <cell r="AU55">
            <v>37809</v>
          </cell>
          <cell r="AV55">
            <v>37404</v>
          </cell>
          <cell r="AW55">
            <v>37802</v>
          </cell>
          <cell r="AX55">
            <v>149606</v>
          </cell>
          <cell r="AY55">
            <v>37927</v>
          </cell>
          <cell r="AZ55">
            <v>39062</v>
          </cell>
          <cell r="BA55">
            <v>41715</v>
          </cell>
          <cell r="BB55">
            <v>44129</v>
          </cell>
          <cell r="BC55">
            <v>162833</v>
          </cell>
          <cell r="BD55">
            <v>43578.207832184838</v>
          </cell>
          <cell r="BE55">
            <v>39899.700156520805</v>
          </cell>
          <cell r="BF55">
            <v>39857.818024269138</v>
          </cell>
          <cell r="BG55">
            <v>39815.935892017471</v>
          </cell>
          <cell r="BH55">
            <v>163151.66190499224</v>
          </cell>
          <cell r="BI55">
            <v>39962.523354898309</v>
          </cell>
          <cell r="BJ55">
            <v>40109.110817779147</v>
          </cell>
          <cell r="BK55">
            <v>40255.698280659992</v>
          </cell>
          <cell r="BL55">
            <v>40402.285743540822</v>
          </cell>
          <cell r="BM55">
            <v>160729.61819687826</v>
          </cell>
          <cell r="BN55">
            <v>40590.755338673327</v>
          </cell>
          <cell r="BO55">
            <v>40779.224933805839</v>
          </cell>
          <cell r="BP55">
            <v>40967.694528938344</v>
          </cell>
          <cell r="BQ55">
            <v>41156.164124070856</v>
          </cell>
          <cell r="BR55">
            <v>163493.83892548835</v>
          </cell>
          <cell r="CA55" t="str">
            <v>mstag:depreciationRealEstate</v>
          </cell>
          <cell r="CB55">
            <v>3</v>
          </cell>
          <cell r="CC55" t="str">
            <v>ISO4217:USD</v>
          </cell>
          <cell r="CD55" t="b">
            <v>0</v>
          </cell>
          <cell r="CE55" t="b">
            <v>0</v>
          </cell>
        </row>
        <row r="56">
          <cell r="A56" t="str">
            <v>D&amp;A from unconsol. JVs</v>
          </cell>
          <cell r="AC56">
            <v>83</v>
          </cell>
          <cell r="AD56">
            <v>83</v>
          </cell>
          <cell r="AE56">
            <v>166</v>
          </cell>
          <cell r="AF56">
            <v>161</v>
          </cell>
          <cell r="AG56">
            <v>168</v>
          </cell>
          <cell r="AH56">
            <v>168</v>
          </cell>
          <cell r="AI56">
            <v>663</v>
          </cell>
          <cell r="AJ56">
            <v>886</v>
          </cell>
          <cell r="AK56">
            <v>558</v>
          </cell>
          <cell r="AL56">
            <v>567</v>
          </cell>
          <cell r="AM56">
            <v>555</v>
          </cell>
          <cell r="AN56">
            <v>2566</v>
          </cell>
          <cell r="AO56">
            <v>366</v>
          </cell>
          <cell r="AP56">
            <v>286</v>
          </cell>
          <cell r="AQ56">
            <v>291</v>
          </cell>
          <cell r="AR56">
            <v>373</v>
          </cell>
          <cell r="AS56">
            <v>1316</v>
          </cell>
          <cell r="AT56">
            <v>553</v>
          </cell>
          <cell r="AU56">
            <v>763</v>
          </cell>
          <cell r="AV56">
            <v>792</v>
          </cell>
          <cell r="AW56">
            <v>763</v>
          </cell>
          <cell r="AX56">
            <v>2871</v>
          </cell>
          <cell r="AY56">
            <v>841</v>
          </cell>
          <cell r="AZ56">
            <v>844</v>
          </cell>
          <cell r="BA56">
            <v>1134</v>
          </cell>
          <cell r="BB56">
            <v>3675</v>
          </cell>
          <cell r="BC56">
            <v>6494</v>
          </cell>
          <cell r="BD56">
            <v>3675</v>
          </cell>
          <cell r="BE56">
            <v>3675</v>
          </cell>
          <cell r="BF56">
            <v>3675</v>
          </cell>
          <cell r="BG56">
            <v>3675</v>
          </cell>
          <cell r="BH56">
            <v>14700</v>
          </cell>
          <cell r="BI56">
            <v>3675</v>
          </cell>
          <cell r="BJ56">
            <v>3675</v>
          </cell>
          <cell r="BK56">
            <v>3675</v>
          </cell>
          <cell r="BL56">
            <v>3675</v>
          </cell>
          <cell r="BM56">
            <v>14700</v>
          </cell>
          <cell r="BN56">
            <v>3675</v>
          </cell>
          <cell r="BO56">
            <v>3675</v>
          </cell>
          <cell r="BP56">
            <v>3675</v>
          </cell>
          <cell r="BQ56">
            <v>3675</v>
          </cell>
          <cell r="BR56">
            <v>14700</v>
          </cell>
          <cell r="CA56" t="str">
            <v>mstag:jointVentureRealEstateDepreciation</v>
          </cell>
          <cell r="CB56">
            <v>3</v>
          </cell>
          <cell r="CC56" t="str">
            <v>ISO4217:USD</v>
          </cell>
          <cell r="CD56" t="b">
            <v>0</v>
          </cell>
          <cell r="CE56" t="b">
            <v>0</v>
          </cell>
        </row>
        <row r="57">
          <cell r="A57" t="str">
            <v>Gain (Loss) on Property Dispositions</v>
          </cell>
          <cell r="B57">
            <v>-2518</v>
          </cell>
          <cell r="D57">
            <v>0</v>
          </cell>
          <cell r="E57">
            <v>1048</v>
          </cell>
          <cell r="F57">
            <v>0</v>
          </cell>
          <cell r="G57">
            <v>237</v>
          </cell>
          <cell r="H57">
            <v>1285</v>
          </cell>
          <cell r="J57">
            <v>-1269</v>
          </cell>
          <cell r="K57">
            <v>-11942</v>
          </cell>
          <cell r="L57">
            <v>1270</v>
          </cell>
          <cell r="M57">
            <v>-1247</v>
          </cell>
          <cell r="N57">
            <v>-13188</v>
          </cell>
          <cell r="P57">
            <v>-4353</v>
          </cell>
          <cell r="Q57">
            <v>-4395</v>
          </cell>
          <cell r="R57">
            <v>-2964</v>
          </cell>
          <cell r="S57">
            <v>-6674</v>
          </cell>
          <cell r="T57">
            <v>-18386</v>
          </cell>
          <cell r="U57">
            <v>-1477</v>
          </cell>
          <cell r="V57">
            <v>-717</v>
          </cell>
          <cell r="W57">
            <v>-140</v>
          </cell>
          <cell r="X57">
            <v>219</v>
          </cell>
          <cell r="Y57">
            <v>-2115</v>
          </cell>
          <cell r="Z57">
            <v>-871</v>
          </cell>
          <cell r="AA57">
            <v>-3536</v>
          </cell>
          <cell r="AB57">
            <v>4886</v>
          </cell>
          <cell r="AC57">
            <v>4366</v>
          </cell>
          <cell r="AD57">
            <v>4845</v>
          </cell>
          <cell r="AE57">
            <v>-178</v>
          </cell>
          <cell r="AF57">
            <v>-11093</v>
          </cell>
          <cell r="AG57">
            <v>-106</v>
          </cell>
          <cell r="AH57">
            <v>-445</v>
          </cell>
          <cell r="AI57">
            <v>-11822</v>
          </cell>
          <cell r="AJ57">
            <v>-1767</v>
          </cell>
          <cell r="AK57">
            <v>78</v>
          </cell>
          <cell r="AL57">
            <v>-2294</v>
          </cell>
          <cell r="AM57">
            <v>-9519</v>
          </cell>
          <cell r="AN57">
            <v>-13502</v>
          </cell>
          <cell r="AO57">
            <v>-8867</v>
          </cell>
          <cell r="AP57">
            <v>-6740</v>
          </cell>
          <cell r="AQ57">
            <v>-19550</v>
          </cell>
          <cell r="AR57">
            <v>-79224</v>
          </cell>
          <cell r="AS57">
            <v>-114381</v>
          </cell>
          <cell r="AT57">
            <v>-59646</v>
          </cell>
          <cell r="AU57">
            <v>-34649</v>
          </cell>
          <cell r="AV57">
            <v>-12192</v>
          </cell>
          <cell r="AW57">
            <v>-29549</v>
          </cell>
          <cell r="AX57">
            <v>-136036</v>
          </cell>
          <cell r="AY57">
            <v>-3387</v>
          </cell>
          <cell r="AZ57">
            <v>-18549</v>
          </cell>
          <cell r="BA57">
            <v>-5302</v>
          </cell>
          <cell r="BB57">
            <v>-9260</v>
          </cell>
          <cell r="BC57">
            <v>-36498</v>
          </cell>
          <cell r="BD57">
            <v>-7500</v>
          </cell>
          <cell r="BE57">
            <v>-50700</v>
          </cell>
          <cell r="BF57">
            <v>-5000</v>
          </cell>
          <cell r="BG57">
            <v>-5000</v>
          </cell>
          <cell r="BH57">
            <v>-68200</v>
          </cell>
          <cell r="BI57">
            <v>-5000</v>
          </cell>
          <cell r="BJ57">
            <v>-5000</v>
          </cell>
          <cell r="BK57">
            <v>-5000</v>
          </cell>
          <cell r="BL57">
            <v>-5000</v>
          </cell>
          <cell r="BM57">
            <v>-20000</v>
          </cell>
          <cell r="BN57">
            <v>-5000</v>
          </cell>
          <cell r="BO57">
            <v>-5000</v>
          </cell>
          <cell r="BP57">
            <v>-5000</v>
          </cell>
          <cell r="BQ57">
            <v>-5000</v>
          </cell>
          <cell r="BR57">
            <v>-20000</v>
          </cell>
        </row>
        <row r="58">
          <cell r="A58" t="str">
            <v>Min. Int. in Income/(Loss), excl. pref unit dist.</v>
          </cell>
          <cell r="B58">
            <v>5606</v>
          </cell>
          <cell r="D58">
            <v>1809</v>
          </cell>
          <cell r="E58">
            <v>2061</v>
          </cell>
          <cell r="F58">
            <v>2092</v>
          </cell>
          <cell r="G58">
            <v>2100</v>
          </cell>
          <cell r="H58">
            <v>8062</v>
          </cell>
          <cell r="J58">
            <v>2210</v>
          </cell>
          <cell r="K58">
            <v>3011</v>
          </cell>
          <cell r="L58">
            <v>2273</v>
          </cell>
          <cell r="M58">
            <v>2247</v>
          </cell>
          <cell r="N58">
            <v>9741</v>
          </cell>
          <cell r="P58">
            <v>2482</v>
          </cell>
          <cell r="Q58">
            <v>2656</v>
          </cell>
          <cell r="R58">
            <v>2439</v>
          </cell>
          <cell r="S58">
            <v>2562</v>
          </cell>
          <cell r="T58">
            <v>10139</v>
          </cell>
          <cell r="V58">
            <v>2241</v>
          </cell>
          <cell r="W58">
            <v>2122</v>
          </cell>
          <cell r="X58">
            <v>2019</v>
          </cell>
          <cell r="Y58">
            <v>8559</v>
          </cell>
          <cell r="Z58">
            <v>2081</v>
          </cell>
          <cell r="AA58">
            <v>2138</v>
          </cell>
          <cell r="AB58">
            <v>1959</v>
          </cell>
          <cell r="AC58">
            <v>1625</v>
          </cell>
          <cell r="AD58">
            <v>7803</v>
          </cell>
          <cell r="AE58">
            <v>1993</v>
          </cell>
          <cell r="AF58">
            <v>2117</v>
          </cell>
          <cell r="AG58">
            <v>1843</v>
          </cell>
          <cell r="AH58">
            <v>1691</v>
          </cell>
          <cell r="AI58">
            <v>7644</v>
          </cell>
          <cell r="AJ58">
            <v>1694</v>
          </cell>
          <cell r="AK58">
            <v>1610</v>
          </cell>
          <cell r="AL58">
            <v>1689</v>
          </cell>
          <cell r="AM58">
            <v>1962</v>
          </cell>
          <cell r="AN58">
            <v>6955</v>
          </cell>
          <cell r="AO58">
            <v>1855</v>
          </cell>
          <cell r="AP58">
            <v>1797</v>
          </cell>
          <cell r="AQ58">
            <v>2093</v>
          </cell>
          <cell r="AR58">
            <v>4273</v>
          </cell>
          <cell r="AS58">
            <v>10018</v>
          </cell>
          <cell r="AT58">
            <v>3582</v>
          </cell>
          <cell r="AU58">
            <v>3210</v>
          </cell>
          <cell r="AV58">
            <v>2189</v>
          </cell>
          <cell r="AW58">
            <v>2805</v>
          </cell>
          <cell r="AX58">
            <v>11786</v>
          </cell>
          <cell r="AY58">
            <v>1815</v>
          </cell>
          <cell r="AZ58">
            <v>2407</v>
          </cell>
          <cell r="BA58">
            <v>1705</v>
          </cell>
          <cell r="BB58">
            <v>1629</v>
          </cell>
          <cell r="BC58">
            <v>7556</v>
          </cell>
          <cell r="BD58">
            <v>1762.9528761192003</v>
          </cell>
          <cell r="BE58">
            <v>3844.5929119706152</v>
          </cell>
          <cell r="BF58">
            <v>1831.9747630540521</v>
          </cell>
          <cell r="BG58">
            <v>1801.6932074446354</v>
          </cell>
          <cell r="BH58">
            <v>9241.213758588503</v>
          </cell>
          <cell r="BI58">
            <v>1815.8786180937</v>
          </cell>
          <cell r="BJ58">
            <v>1847.1082747402199</v>
          </cell>
          <cell r="BK58">
            <v>1897.552538635764</v>
          </cell>
          <cell r="BL58">
            <v>1924.6716657938382</v>
          </cell>
          <cell r="BM58">
            <v>7485.2110972635219</v>
          </cell>
          <cell r="BN58">
            <v>1944.4035978113195</v>
          </cell>
          <cell r="BO58">
            <v>1961.8233015109502</v>
          </cell>
          <cell r="BP58">
            <v>1975.1488484403492</v>
          </cell>
          <cell r="BQ58">
            <v>1984.3195149488515</v>
          </cell>
          <cell r="BR58">
            <v>7865.6952627114697</v>
          </cell>
          <cell r="CA58" t="str">
            <v>mstag:shareOfNetIncomeToCommonUnitholdersOfOperatingPartnership</v>
          </cell>
          <cell r="CB58">
            <v>3</v>
          </cell>
          <cell r="CC58" t="str">
            <v>ISO4217:USD</v>
          </cell>
          <cell r="CD58" t="b">
            <v>0</v>
          </cell>
          <cell r="CE58" t="b">
            <v>0</v>
          </cell>
        </row>
        <row r="59">
          <cell r="A59" t="str">
            <v>Other Adjustments</v>
          </cell>
          <cell r="B59">
            <v>2919</v>
          </cell>
          <cell r="D59">
            <v>0</v>
          </cell>
          <cell r="E59">
            <v>0</v>
          </cell>
          <cell r="F59">
            <v>0</v>
          </cell>
          <cell r="G59">
            <v>0</v>
          </cell>
          <cell r="H59">
            <v>0</v>
          </cell>
          <cell r="J59">
            <v>0</v>
          </cell>
          <cell r="K59">
            <v>0</v>
          </cell>
          <cell r="L59">
            <v>0</v>
          </cell>
          <cell r="M59">
            <v>1145</v>
          </cell>
          <cell r="N59">
            <v>1145</v>
          </cell>
          <cell r="P59">
            <v>1875</v>
          </cell>
          <cell r="Q59">
            <v>228</v>
          </cell>
          <cell r="R59">
            <v>0</v>
          </cell>
          <cell r="S59">
            <v>0</v>
          </cell>
          <cell r="T59">
            <v>2103</v>
          </cell>
          <cell r="U59">
            <v>1371</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CA59" t="str">
            <v>mstag:otherFfoAdjustment</v>
          </cell>
          <cell r="CB59">
            <v>3</v>
          </cell>
          <cell r="CC59" t="str">
            <v>ISO4217:USD</v>
          </cell>
          <cell r="CD59" t="b">
            <v>0</v>
          </cell>
          <cell r="CE59" t="b">
            <v>0</v>
          </cell>
        </row>
        <row r="60">
          <cell r="A60" t="str">
            <v>Int. &amp; Amort. of Exchangeable Sub. Deb.</v>
          </cell>
          <cell r="B60">
            <v>12718</v>
          </cell>
          <cell r="D60">
            <v>2583</v>
          </cell>
          <cell r="E60">
            <v>2508</v>
          </cell>
          <cell r="F60">
            <v>2538</v>
          </cell>
          <cell r="G60">
            <v>2422</v>
          </cell>
          <cell r="H60">
            <v>10051</v>
          </cell>
          <cell r="J60">
            <v>2438</v>
          </cell>
          <cell r="K60">
            <v>2421</v>
          </cell>
          <cell r="L60">
            <v>2450</v>
          </cell>
          <cell r="M60">
            <v>2364</v>
          </cell>
          <cell r="N60">
            <v>9673</v>
          </cell>
          <cell r="P60">
            <v>2305</v>
          </cell>
          <cell r="Q60">
            <v>0</v>
          </cell>
          <cell r="R60">
            <v>2123</v>
          </cell>
          <cell r="S60">
            <v>2120</v>
          </cell>
          <cell r="T60">
            <v>6548</v>
          </cell>
          <cell r="U60">
            <v>2177</v>
          </cell>
          <cell r="V60">
            <v>0</v>
          </cell>
          <cell r="W60">
            <v>0</v>
          </cell>
          <cell r="X60">
            <v>0</v>
          </cell>
          <cell r="Y60">
            <v>2587</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row>
        <row r="61">
          <cell r="A61" t="str">
            <v xml:space="preserve"> Other Adjustments</v>
          </cell>
          <cell r="B61">
            <v>98</v>
          </cell>
          <cell r="D61">
            <v>0</v>
          </cell>
          <cell r="E61">
            <v>0</v>
          </cell>
          <cell r="F61">
            <v>0</v>
          </cell>
          <cell r="G61">
            <v>0</v>
          </cell>
          <cell r="H61">
            <v>0</v>
          </cell>
          <cell r="J61">
            <v>0</v>
          </cell>
          <cell r="K61">
            <v>0</v>
          </cell>
          <cell r="L61">
            <v>0</v>
          </cell>
          <cell r="M61">
            <v>0</v>
          </cell>
          <cell r="N61">
            <v>0</v>
          </cell>
          <cell r="P61">
            <v>0</v>
          </cell>
          <cell r="Q61">
            <v>0</v>
          </cell>
          <cell r="R61">
            <v>0</v>
          </cell>
          <cell r="S61">
            <v>0</v>
          </cell>
          <cell r="T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row>
        <row r="62">
          <cell r="A62" t="str">
            <v>Funds From Operations</v>
          </cell>
          <cell r="B62">
            <v>114564</v>
          </cell>
          <cell r="D62">
            <v>40315</v>
          </cell>
          <cell r="E62">
            <v>44952</v>
          </cell>
          <cell r="F62">
            <v>48248</v>
          </cell>
          <cell r="G62">
            <v>49768</v>
          </cell>
          <cell r="H62">
            <v>183283</v>
          </cell>
          <cell r="J62">
            <v>52741</v>
          </cell>
          <cell r="K62">
            <v>53906</v>
          </cell>
          <cell r="L62">
            <v>56571</v>
          </cell>
          <cell r="M62">
            <v>57982</v>
          </cell>
          <cell r="N62">
            <v>221200</v>
          </cell>
          <cell r="P62">
            <v>60415</v>
          </cell>
          <cell r="Q62">
            <v>58598</v>
          </cell>
          <cell r="R62">
            <v>61387</v>
          </cell>
          <cell r="S62">
            <v>61845</v>
          </cell>
          <cell r="T62">
            <v>242245</v>
          </cell>
          <cell r="U62">
            <v>64970</v>
          </cell>
          <cell r="V62">
            <v>65507</v>
          </cell>
          <cell r="W62">
            <v>66810</v>
          </cell>
          <cell r="X62">
            <v>66866</v>
          </cell>
          <cell r="Y62">
            <v>265369</v>
          </cell>
          <cell r="Z62">
            <v>66738</v>
          </cell>
          <cell r="AA62">
            <v>67642</v>
          </cell>
          <cell r="AB62">
            <v>74530</v>
          </cell>
          <cell r="AC62">
            <v>67307</v>
          </cell>
          <cell r="AD62">
            <v>276217</v>
          </cell>
          <cell r="AE62">
            <v>72031</v>
          </cell>
          <cell r="AF62">
            <v>66997</v>
          </cell>
          <cell r="AG62">
            <v>71176</v>
          </cell>
          <cell r="AH62">
            <v>70717</v>
          </cell>
          <cell r="AI62">
            <v>280921</v>
          </cell>
          <cell r="AJ62">
            <v>71496</v>
          </cell>
          <cell r="AK62">
            <v>73076</v>
          </cell>
          <cell r="AL62">
            <v>72852</v>
          </cell>
          <cell r="AM62">
            <v>73721</v>
          </cell>
          <cell r="AN62">
            <v>291145</v>
          </cell>
          <cell r="AO62">
            <v>73653</v>
          </cell>
          <cell r="AP62">
            <v>76985</v>
          </cell>
          <cell r="AQ62">
            <v>71705</v>
          </cell>
          <cell r="AR62">
            <v>71627</v>
          </cell>
          <cell r="AS62">
            <v>293970</v>
          </cell>
          <cell r="AT62">
            <v>71507.149999999994</v>
          </cell>
          <cell r="AU62">
            <v>75582.75</v>
          </cell>
          <cell r="AV62">
            <v>75078.049999999988</v>
          </cell>
          <cell r="AW62">
            <v>72634.7</v>
          </cell>
          <cell r="AX62">
            <v>294802.64999999997</v>
          </cell>
          <cell r="AY62">
            <v>76894.049999999988</v>
          </cell>
          <cell r="AZ62">
            <v>76191.100000000006</v>
          </cell>
          <cell r="BA62">
            <v>76425.8</v>
          </cell>
          <cell r="BB62">
            <v>75704.799999999988</v>
          </cell>
          <cell r="BC62">
            <v>305215.75</v>
          </cell>
          <cell r="BD62">
            <v>75899.283536591916</v>
          </cell>
          <cell r="BE62">
            <v>76925.20640871569</v>
          </cell>
          <cell r="BF62">
            <v>76604.893504763226</v>
          </cell>
          <cell r="BG62">
            <v>76037.70382835959</v>
          </cell>
          <cell r="BH62">
            <v>305467.08727843041</v>
          </cell>
          <cell r="BI62">
            <v>76512.299289029121</v>
          </cell>
          <cell r="BJ62">
            <v>77557.342263626953</v>
          </cell>
          <cell r="BK62">
            <v>79056.314267923619</v>
          </cell>
          <cell r="BL62">
            <v>80018.892328120448</v>
          </cell>
          <cell r="BM62">
            <v>313144.84814870014</v>
          </cell>
          <cell r="BN62">
            <v>80669.272794836405</v>
          </cell>
          <cell r="BO62">
            <v>81452.8118310149</v>
          </cell>
          <cell r="BP62">
            <v>82143.053748037142</v>
          </cell>
          <cell r="BQ62">
            <v>82737.387105382717</v>
          </cell>
          <cell r="BR62">
            <v>327002.52547927119</v>
          </cell>
        </row>
        <row r="63">
          <cell r="B63" t="str">
            <v xml:space="preserve"> </v>
          </cell>
          <cell r="E63" t="str">
            <v xml:space="preserve"> </v>
          </cell>
          <cell r="K63" t="str">
            <v xml:space="preserve"> </v>
          </cell>
          <cell r="P63">
            <v>0.79489294834020818</v>
          </cell>
        </row>
        <row r="64">
          <cell r="A64" t="str">
            <v>Straight-lining Adjustment</v>
          </cell>
          <cell r="B64">
            <v>-3269</v>
          </cell>
          <cell r="D64">
            <v>-1242</v>
          </cell>
          <cell r="E64">
            <v>-1632</v>
          </cell>
          <cell r="F64">
            <v>-1335</v>
          </cell>
          <cell r="G64">
            <v>-1516</v>
          </cell>
          <cell r="H64">
            <v>-5725</v>
          </cell>
          <cell r="J64">
            <v>-1807</v>
          </cell>
          <cell r="K64">
            <v>-1968</v>
          </cell>
          <cell r="L64">
            <v>-2378</v>
          </cell>
          <cell r="M64">
            <v>-2109.0720000000001</v>
          </cell>
          <cell r="N64">
            <v>-8262.0720000000001</v>
          </cell>
          <cell r="P64">
            <v>-2747</v>
          </cell>
          <cell r="Q64">
            <v>-2408</v>
          </cell>
          <cell r="R64">
            <v>-2617</v>
          </cell>
          <cell r="S64">
            <v>-3025</v>
          </cell>
          <cell r="T64">
            <v>-10797</v>
          </cell>
          <cell r="U64">
            <v>-2965</v>
          </cell>
          <cell r="V64">
            <v>-2821</v>
          </cell>
          <cell r="W64">
            <v>-2716</v>
          </cell>
          <cell r="X64">
            <v>-2493</v>
          </cell>
          <cell r="Y64">
            <v>-10995</v>
          </cell>
          <cell r="Z64">
            <v>-2731</v>
          </cell>
          <cell r="AA64">
            <v>-2684</v>
          </cell>
          <cell r="AB64">
            <v>-2287</v>
          </cell>
          <cell r="AC64">
            <v>-2134</v>
          </cell>
          <cell r="AD64">
            <v>-9836</v>
          </cell>
          <cell r="AE64">
            <v>-2936</v>
          </cell>
          <cell r="AF64">
            <v>-2849</v>
          </cell>
          <cell r="AG64">
            <v>-2392</v>
          </cell>
          <cell r="AH64">
            <v>-2312</v>
          </cell>
          <cell r="AI64">
            <v>-10489</v>
          </cell>
          <cell r="AJ64">
            <v>-2800</v>
          </cell>
          <cell r="AK64">
            <v>-2995</v>
          </cell>
          <cell r="AL64">
            <v>-3141</v>
          </cell>
          <cell r="AM64">
            <v>-2657</v>
          </cell>
          <cell r="AN64">
            <v>-11593</v>
          </cell>
          <cell r="AO64">
            <v>-2924</v>
          </cell>
          <cell r="AP64">
            <v>-2969</v>
          </cell>
          <cell r="AQ64">
            <v>-2826</v>
          </cell>
          <cell r="AR64">
            <v>-3395</v>
          </cell>
          <cell r="AS64">
            <v>-12114</v>
          </cell>
          <cell r="AT64">
            <v>-2676</v>
          </cell>
          <cell r="AU64">
            <v>-2397</v>
          </cell>
          <cell r="AV64">
            <v>-2321</v>
          </cell>
          <cell r="AW64">
            <v>-2537</v>
          </cell>
          <cell r="AX64">
            <v>-9931</v>
          </cell>
          <cell r="AY64">
            <v>-2927</v>
          </cell>
          <cell r="AZ64">
            <v>-2667</v>
          </cell>
          <cell r="BA64">
            <v>-3764</v>
          </cell>
          <cell r="BB64">
            <v>-9005</v>
          </cell>
          <cell r="BC64">
            <v>-18363</v>
          </cell>
          <cell r="BD64">
            <v>-3546.0892589090372</v>
          </cell>
          <cell r="BE64">
            <v>-3498.4184600301051</v>
          </cell>
          <cell r="BF64">
            <v>-3440.4226076913674</v>
          </cell>
          <cell r="BG64">
            <v>-3466.6418203630237</v>
          </cell>
          <cell r="BH64">
            <v>-13951.572146993534</v>
          </cell>
          <cell r="BI64">
            <v>-3781.8458022059131</v>
          </cell>
          <cell r="BJ64">
            <v>-3854.6008490695422</v>
          </cell>
          <cell r="BK64">
            <v>-3960.8530196975389</v>
          </cell>
          <cell r="BL64">
            <v>-4036.9820983099144</v>
          </cell>
          <cell r="BM64">
            <v>-15634.281769282908</v>
          </cell>
          <cell r="BN64">
            <v>-4098.4251352683223</v>
          </cell>
          <cell r="BO64">
            <v>-4175.5788618248444</v>
          </cell>
          <cell r="BP64">
            <v>-4252.9122134547479</v>
          </cell>
          <cell r="BQ64">
            <v>-4330.4256495860554</v>
          </cell>
          <cell r="BR64">
            <v>-16857.341860133973</v>
          </cell>
          <cell r="CA64" t="str">
            <v>mstag:straightLiningOfRents</v>
          </cell>
          <cell r="CB64">
            <v>3</v>
          </cell>
          <cell r="CC64" t="str">
            <v>ISO4217:USD</v>
          </cell>
          <cell r="CD64" t="b">
            <v>1</v>
          </cell>
          <cell r="CE64" t="b">
            <v>0</v>
          </cell>
        </row>
        <row r="65">
          <cell r="A65" t="str">
            <v>Tenant Improvements &amp; LC's</v>
          </cell>
          <cell r="B65">
            <v>-7229</v>
          </cell>
          <cell r="D65">
            <v>-1624</v>
          </cell>
          <cell r="E65">
            <v>-2920</v>
          </cell>
          <cell r="F65">
            <v>-2080</v>
          </cell>
          <cell r="G65">
            <v>-4427</v>
          </cell>
          <cell r="H65">
            <v>-11051</v>
          </cell>
          <cell r="J65">
            <v>-2613</v>
          </cell>
          <cell r="K65">
            <v>-4801</v>
          </cell>
          <cell r="L65">
            <v>-4684</v>
          </cell>
          <cell r="M65">
            <v>-4271.8391914832018</v>
          </cell>
          <cell r="N65">
            <v>-16369.839191483203</v>
          </cell>
          <cell r="P65">
            <v>-5662</v>
          </cell>
          <cell r="Q65">
            <v>-7975</v>
          </cell>
          <cell r="R65">
            <v>-5155</v>
          </cell>
          <cell r="S65">
            <v>-7970</v>
          </cell>
          <cell r="T65">
            <v>-26762</v>
          </cell>
          <cell r="U65">
            <v>-4686</v>
          </cell>
          <cell r="V65">
            <v>-6176</v>
          </cell>
          <cell r="W65">
            <v>-6240</v>
          </cell>
          <cell r="X65">
            <v>-6206</v>
          </cell>
          <cell r="Y65">
            <v>-23308</v>
          </cell>
          <cell r="Z65">
            <v>-11350</v>
          </cell>
          <cell r="AA65">
            <v>-6140</v>
          </cell>
          <cell r="AB65">
            <v>-8094</v>
          </cell>
          <cell r="AC65">
            <v>-7553</v>
          </cell>
          <cell r="AD65">
            <v>-33137</v>
          </cell>
          <cell r="AE65">
            <v>-10110</v>
          </cell>
          <cell r="AF65">
            <v>-15710</v>
          </cell>
          <cell r="AG65">
            <v>-11883</v>
          </cell>
          <cell r="AH65">
            <v>-8969</v>
          </cell>
          <cell r="AI65">
            <v>-46672</v>
          </cell>
          <cell r="AJ65">
            <v>-11689</v>
          </cell>
          <cell r="AK65">
            <v>-11774</v>
          </cell>
          <cell r="AL65">
            <v>-11553</v>
          </cell>
          <cell r="AM65">
            <v>-14435</v>
          </cell>
          <cell r="AN65">
            <v>-49451</v>
          </cell>
          <cell r="AO65">
            <v>-8536</v>
          </cell>
          <cell r="AP65">
            <v>-18060</v>
          </cell>
          <cell r="AQ65">
            <v>-18196</v>
          </cell>
          <cell r="AR65">
            <v>-10814</v>
          </cell>
          <cell r="AS65">
            <v>-55606</v>
          </cell>
          <cell r="AT65">
            <v>-11422</v>
          </cell>
          <cell r="AU65">
            <v>-16519</v>
          </cell>
          <cell r="AV65">
            <v>-11170</v>
          </cell>
          <cell r="AW65">
            <v>-15306</v>
          </cell>
          <cell r="AX65">
            <v>-54417</v>
          </cell>
          <cell r="AY65">
            <v>-15898</v>
          </cell>
          <cell r="AZ65">
            <v>-17383</v>
          </cell>
          <cell r="BA65">
            <v>-15876</v>
          </cell>
          <cell r="BB65">
            <v>-16334</v>
          </cell>
          <cell r="BC65">
            <v>-65491</v>
          </cell>
          <cell r="BD65">
            <v>-17176.806096809316</v>
          </cell>
          <cell r="BE65">
            <v>-16945.894800155911</v>
          </cell>
          <cell r="BF65">
            <v>-16664.970255592085</v>
          </cell>
          <cell r="BG65">
            <v>-16791.972792525012</v>
          </cell>
          <cell r="BH65">
            <v>-67579.643945082324</v>
          </cell>
          <cell r="BI65">
            <v>-16961.834126644808</v>
          </cell>
          <cell r="BJ65">
            <v>-17288.145431050008</v>
          </cell>
          <cell r="BK65">
            <v>-17764.693600395469</v>
          </cell>
          <cell r="BL65">
            <v>-18106.137665323822</v>
          </cell>
          <cell r="BM65">
            <v>-70120.810823414111</v>
          </cell>
          <cell r="BN65">
            <v>-18381.713840459764</v>
          </cell>
          <cell r="BO65">
            <v>-18727.753520697628</v>
          </cell>
          <cell r="BP65">
            <v>-19074.59883153468</v>
          </cell>
          <cell r="BQ65">
            <v>-19422.251833536673</v>
          </cell>
          <cell r="BR65">
            <v>-75606.31802622875</v>
          </cell>
          <cell r="CA65" t="str">
            <v>mstag:tenantImprovementsAndLeasingCommissions</v>
          </cell>
          <cell r="CB65">
            <v>3</v>
          </cell>
          <cell r="CC65" t="str">
            <v>ISO4217:USD</v>
          </cell>
          <cell r="CD65" t="b">
            <v>1</v>
          </cell>
          <cell r="CE65" t="b">
            <v>0</v>
          </cell>
        </row>
        <row r="66">
          <cell r="A66" t="str">
            <v>Non-reimbursed Capital Expenditures</v>
          </cell>
          <cell r="B66">
            <v>-2266</v>
          </cell>
          <cell r="D66">
            <v>-379</v>
          </cell>
          <cell r="E66">
            <v>-564</v>
          </cell>
          <cell r="F66">
            <v>-766</v>
          </cell>
          <cell r="G66">
            <v>-493</v>
          </cell>
          <cell r="H66">
            <v>-2202</v>
          </cell>
          <cell r="J66">
            <v>-198</v>
          </cell>
          <cell r="K66">
            <v>-767</v>
          </cell>
          <cell r="L66">
            <v>-912</v>
          </cell>
          <cell r="M66">
            <v>-878.78</v>
          </cell>
          <cell r="N66">
            <v>-2755.7799999999997</v>
          </cell>
          <cell r="P66">
            <v>-246</v>
          </cell>
          <cell r="Q66">
            <v>-813</v>
          </cell>
          <cell r="R66">
            <v>-1123</v>
          </cell>
          <cell r="S66">
            <v>-1217</v>
          </cell>
          <cell r="T66">
            <v>-3399</v>
          </cell>
          <cell r="U66">
            <v>-290</v>
          </cell>
          <cell r="V66">
            <v>-636</v>
          </cell>
          <cell r="W66">
            <v>-984</v>
          </cell>
          <cell r="X66">
            <v>-1756</v>
          </cell>
          <cell r="Y66">
            <v>-3666</v>
          </cell>
          <cell r="Z66">
            <v>-767</v>
          </cell>
          <cell r="AA66">
            <v>-1334</v>
          </cell>
          <cell r="AB66">
            <v>-1380</v>
          </cell>
          <cell r="AC66">
            <v>-1288</v>
          </cell>
          <cell r="AD66">
            <v>-4769</v>
          </cell>
          <cell r="AE66">
            <v>-1678</v>
          </cell>
          <cell r="AF66">
            <v>-1728</v>
          </cell>
          <cell r="AG66">
            <v>-1523</v>
          </cell>
          <cell r="AH66">
            <v>-4501</v>
          </cell>
          <cell r="AI66">
            <v>-9430</v>
          </cell>
          <cell r="AJ66">
            <v>-1350</v>
          </cell>
          <cell r="AK66">
            <v>-2043</v>
          </cell>
          <cell r="AL66">
            <v>-3562</v>
          </cell>
          <cell r="AM66">
            <v>-3982</v>
          </cell>
          <cell r="AN66">
            <v>-10937</v>
          </cell>
          <cell r="AO66">
            <v>-1010</v>
          </cell>
          <cell r="AP66">
            <v>-1985</v>
          </cell>
          <cell r="AQ66">
            <v>-2965</v>
          </cell>
          <cell r="AR66">
            <v>-5936</v>
          </cell>
          <cell r="AS66">
            <v>-11896</v>
          </cell>
          <cell r="AT66">
            <v>-1222</v>
          </cell>
          <cell r="AU66">
            <v>-2100</v>
          </cell>
          <cell r="AV66">
            <v>-3697</v>
          </cell>
          <cell r="AW66">
            <v>-4996</v>
          </cell>
          <cell r="AX66">
            <v>-12015</v>
          </cell>
          <cell r="AY66">
            <v>-643</v>
          </cell>
          <cell r="AZ66">
            <v>-2457</v>
          </cell>
          <cell r="BA66">
            <v>-5640</v>
          </cell>
          <cell r="BB66">
            <v>-5276</v>
          </cell>
          <cell r="BC66">
            <v>-14016</v>
          </cell>
          <cell r="BD66">
            <v>-5548.2324578649414</v>
          </cell>
          <cell r="BE66">
            <v>-5473.6464408976717</v>
          </cell>
          <cell r="BF66">
            <v>-5382.9057835498861</v>
          </cell>
          <cell r="BG66">
            <v>-5423.9285204703056</v>
          </cell>
          <cell r="BH66">
            <v>-21828.713202782805</v>
          </cell>
          <cell r="BI66">
            <v>-5478.794958502388</v>
          </cell>
          <cell r="BJ66">
            <v>-5584.1958671617394</v>
          </cell>
          <cell r="BK66">
            <v>-5738.1243685371919</v>
          </cell>
          <cell r="BL66">
            <v>-5848.4132681675328</v>
          </cell>
          <cell r="BM66">
            <v>-22649.528462368853</v>
          </cell>
          <cell r="BN66">
            <v>-5937.4263635524503</v>
          </cell>
          <cell r="BO66">
            <v>-6049.1996801273845</v>
          </cell>
          <cell r="BP66">
            <v>-6161.2332212058882</v>
          </cell>
          <cell r="BQ66">
            <v>-6273.5276523655857</v>
          </cell>
          <cell r="BR66">
            <v>-24421.386917251308</v>
          </cell>
          <cell r="CA66" t="str">
            <v>mstag:recurringButNonRevenueEnhancingCapex</v>
          </cell>
          <cell r="CB66">
            <v>3</v>
          </cell>
          <cell r="CC66" t="str">
            <v>ISO4217:USD</v>
          </cell>
          <cell r="CD66" t="b">
            <v>1</v>
          </cell>
          <cell r="CE66" t="b">
            <v>0</v>
          </cell>
        </row>
        <row r="67">
          <cell r="A67" t="str">
            <v>Adjusted Funds From Operations</v>
          </cell>
          <cell r="B67">
            <v>101800</v>
          </cell>
          <cell r="D67">
            <v>37070</v>
          </cell>
          <cell r="E67">
            <v>39836</v>
          </cell>
          <cell r="F67">
            <v>44067</v>
          </cell>
          <cell r="G67">
            <v>43332</v>
          </cell>
          <cell r="H67">
            <v>164305</v>
          </cell>
          <cell r="J67">
            <v>48123</v>
          </cell>
          <cell r="K67">
            <v>46370</v>
          </cell>
          <cell r="L67">
            <v>48597</v>
          </cell>
          <cell r="M67">
            <v>50722.308808516798</v>
          </cell>
          <cell r="N67">
            <v>193812.3088085168</v>
          </cell>
          <cell r="P67">
            <v>51760</v>
          </cell>
          <cell r="Q67">
            <v>47402</v>
          </cell>
          <cell r="R67">
            <v>52492</v>
          </cell>
          <cell r="S67">
            <v>49633</v>
          </cell>
          <cell r="T67">
            <v>201287</v>
          </cell>
          <cell r="U67">
            <v>57029</v>
          </cell>
          <cell r="V67">
            <v>55874</v>
          </cell>
          <cell r="W67">
            <v>56870</v>
          </cell>
          <cell r="X67">
            <v>56411</v>
          </cell>
          <cell r="Y67">
            <v>226184</v>
          </cell>
          <cell r="Z67">
            <v>51890</v>
          </cell>
          <cell r="AA67">
            <v>57484</v>
          </cell>
          <cell r="AB67">
            <v>62769</v>
          </cell>
          <cell r="AC67">
            <v>56332</v>
          </cell>
          <cell r="AD67">
            <v>228475</v>
          </cell>
          <cell r="AE67">
            <v>57307</v>
          </cell>
          <cell r="AF67">
            <v>46710</v>
          </cell>
          <cell r="AG67">
            <v>55378</v>
          </cell>
          <cell r="AH67">
            <v>54935</v>
          </cell>
          <cell r="AI67">
            <v>214330</v>
          </cell>
          <cell r="AJ67">
            <v>55657</v>
          </cell>
          <cell r="AK67">
            <v>56264</v>
          </cell>
          <cell r="AL67">
            <v>54596</v>
          </cell>
          <cell r="AM67">
            <v>52647</v>
          </cell>
          <cell r="AN67">
            <v>219164</v>
          </cell>
          <cell r="AO67">
            <v>61183</v>
          </cell>
          <cell r="AP67">
            <v>53971</v>
          </cell>
          <cell r="AQ67">
            <v>47718</v>
          </cell>
          <cell r="AR67">
            <v>51482</v>
          </cell>
          <cell r="AS67">
            <v>214354</v>
          </cell>
          <cell r="AT67">
            <v>56187.149999999994</v>
          </cell>
          <cell r="AU67">
            <v>54566.75</v>
          </cell>
          <cell r="AV67">
            <v>57890.049999999988</v>
          </cell>
          <cell r="AW67">
            <v>49795.7</v>
          </cell>
          <cell r="AX67">
            <v>218439.64999999997</v>
          </cell>
          <cell r="AY67">
            <v>57426.049999999988</v>
          </cell>
          <cell r="AZ67">
            <v>53684.100000000006</v>
          </cell>
          <cell r="BA67">
            <v>51145.8</v>
          </cell>
          <cell r="BB67">
            <v>45089.799999999988</v>
          </cell>
          <cell r="BC67">
            <v>207345.75</v>
          </cell>
          <cell r="BD67">
            <v>49628.155723008618</v>
          </cell>
          <cell r="BE67">
            <v>51007.246707632003</v>
          </cell>
          <cell r="BF67">
            <v>51116.594857929886</v>
          </cell>
          <cell r="BG67">
            <v>50355.16069500125</v>
          </cell>
          <cell r="BH67">
            <v>202107.15798357176</v>
          </cell>
          <cell r="BI67">
            <v>50289.824401676015</v>
          </cell>
          <cell r="BJ67">
            <v>50830.400116345663</v>
          </cell>
          <cell r="BK67">
            <v>51592.643279293421</v>
          </cell>
          <cell r="BL67">
            <v>52027.359296319177</v>
          </cell>
          <cell r="BM67">
            <v>204740.22709363431</v>
          </cell>
          <cell r="BN67">
            <v>52251.707455555865</v>
          </cell>
          <cell r="BO67">
            <v>52500.279768365042</v>
          </cell>
          <cell r="BP67">
            <v>52654.309481841825</v>
          </cell>
          <cell r="BQ67">
            <v>52711.181969894402</v>
          </cell>
          <cell r="BR67">
            <v>210117.47867565713</v>
          </cell>
        </row>
        <row r="70">
          <cell r="A70" t="str">
            <v>Net Income Per Share</v>
          </cell>
          <cell r="B70">
            <v>1.3606822526099103</v>
          </cell>
          <cell r="D70">
            <v>0.4</v>
          </cell>
          <cell r="E70">
            <v>0.38528535029725725</v>
          </cell>
          <cell r="F70">
            <v>0.40851043703096424</v>
          </cell>
          <cell r="G70">
            <v>0.38777660695468913</v>
          </cell>
          <cell r="H70">
            <v>1.5802778818432068</v>
          </cell>
          <cell r="J70">
            <v>0.44619731931033441</v>
          </cell>
          <cell r="K70">
            <v>0.59778083937010207</v>
          </cell>
          <cell r="L70">
            <v>0.43170223148928621</v>
          </cell>
          <cell r="M70">
            <v>0.4701880988997989</v>
          </cell>
          <cell r="N70">
            <v>1.9465356769680993</v>
          </cell>
          <cell r="P70">
            <v>0.53251325934839777</v>
          </cell>
          <cell r="Q70">
            <v>0.55773759274892254</v>
          </cell>
          <cell r="R70">
            <v>0.54610522779696935</v>
          </cell>
          <cell r="S70">
            <v>0.574275175970963</v>
          </cell>
          <cell r="T70">
            <v>2.2106312558652528</v>
          </cell>
          <cell r="U70">
            <v>0.56000583856371333</v>
          </cell>
          <cell r="V70">
            <v>0.56000395413206805</v>
          </cell>
          <cell r="W70">
            <v>0.54851758215546031</v>
          </cell>
          <cell r="X70">
            <v>0.52440927441126073</v>
          </cell>
          <cell r="Y70">
            <v>2.1929366492625024</v>
          </cell>
          <cell r="Z70">
            <v>0.53860364853797782</v>
          </cell>
          <cell r="AA70">
            <v>0.56219644731849094</v>
          </cell>
          <cell r="AB70">
            <v>0.53437477796765975</v>
          </cell>
          <cell r="AC70">
            <v>0.44362960941728696</v>
          </cell>
          <cell r="AD70">
            <v>2.0788044832414156</v>
          </cell>
          <cell r="AE70">
            <v>0.53409791431213394</v>
          </cell>
          <cell r="AF70">
            <v>0.5681964441191687</v>
          </cell>
          <cell r="AG70">
            <v>0.48693302787703724</v>
          </cell>
          <cell r="AH70">
            <v>0.46224895678274236</v>
          </cell>
          <cell r="AI70">
            <v>2.0514763430910818</v>
          </cell>
          <cell r="AJ70">
            <v>0.45440765199407768</v>
          </cell>
          <cell r="AK70">
            <v>0.43535924479925414</v>
          </cell>
          <cell r="AL70">
            <v>0.45731926280306279</v>
          </cell>
          <cell r="AM70">
            <v>0.52897691289078241</v>
          </cell>
          <cell r="AN70">
            <v>1.8768364241932811</v>
          </cell>
          <cell r="AO70">
            <v>0.52250383848568871</v>
          </cell>
          <cell r="AP70">
            <v>0.50555971588717186</v>
          </cell>
          <cell r="AQ70">
            <v>0.58336519646431706</v>
          </cell>
          <cell r="AR70">
            <v>1.2017200062708562</v>
          </cell>
          <cell r="AS70">
            <v>2.8204234910867796</v>
          </cell>
          <cell r="AT70">
            <v>1.0061323378877565</v>
          </cell>
          <cell r="AU70">
            <v>0.75782460918471284</v>
          </cell>
          <cell r="AV70">
            <v>0.51517503955696198</v>
          </cell>
          <cell r="AW70">
            <v>0.66545969842207775</v>
          </cell>
          <cell r="AX70">
            <v>2.9407618438253249</v>
          </cell>
          <cell r="AY70">
            <v>0.43141613597339645</v>
          </cell>
          <cell r="AZ70">
            <v>0.56783532622822985</v>
          </cell>
          <cell r="BA70">
            <v>0.40686243392034327</v>
          </cell>
          <cell r="BB70">
            <v>0.3883469042024153</v>
          </cell>
          <cell r="BC70">
            <v>1.7955028212892965</v>
          </cell>
          <cell r="BD70">
            <v>0.37579236929108562</v>
          </cell>
          <cell r="BE70">
            <v>0.87279953577696578</v>
          </cell>
          <cell r="BF70">
            <v>0.39265508117926257</v>
          </cell>
          <cell r="BG70">
            <v>0.38562031100811783</v>
          </cell>
          <cell r="BH70">
            <v>2.025888610835004</v>
          </cell>
          <cell r="BI70">
            <v>0.38900585054250075</v>
          </cell>
          <cell r="BJ70">
            <v>0.39664990784797882</v>
          </cell>
          <cell r="BK70">
            <v>0.40887815871038946</v>
          </cell>
          <cell r="BL70">
            <v>0.41553794045248182</v>
          </cell>
          <cell r="BM70">
            <v>1.6102687052313451</v>
          </cell>
          <cell r="BN70">
            <v>0.42024723210343207</v>
          </cell>
          <cell r="BO70">
            <v>0.42459052543292969</v>
          </cell>
          <cell r="BP70">
            <v>0.4279551229807112</v>
          </cell>
          <cell r="BQ70">
            <v>0.43032655204125364</v>
          </cell>
          <cell r="BR70">
            <v>1.7031905528448206</v>
          </cell>
        </row>
        <row r="72">
          <cell r="A72" t="str">
            <v>Diluted EPS before Extraordinary</v>
          </cell>
          <cell r="D72">
            <v>0.35927816259569811</v>
          </cell>
          <cell r="E72">
            <v>0.37131094196542258</v>
          </cell>
          <cell r="F72">
            <v>0.37597508089311366</v>
          </cell>
          <cell r="G72">
            <v>0.37064075630252102</v>
          </cell>
          <cell r="H72">
            <v>1.4778176957139277</v>
          </cell>
          <cell r="J72">
            <v>0.41675530168734815</v>
          </cell>
          <cell r="K72">
            <v>0.41155513641662411</v>
          </cell>
          <cell r="L72">
            <v>0.4485333542573921</v>
          </cell>
          <cell r="M72">
            <v>0.47290369827901868</v>
          </cell>
          <cell r="N72">
            <v>1.7498731325936281</v>
          </cell>
          <cell r="P72">
            <v>0.49957323878931126</v>
          </cell>
          <cell r="Q72">
            <v>0.50697308976625421</v>
          </cell>
          <cell r="R72">
            <v>0.51099299949387589</v>
          </cell>
          <cell r="S72">
            <v>0.48925157682554132</v>
          </cell>
          <cell r="T72">
            <v>2.0069990337154944</v>
          </cell>
          <cell r="U72">
            <v>0.54160824635197591</v>
          </cell>
          <cell r="V72">
            <v>0.56000395413206805</v>
          </cell>
          <cell r="W72">
            <v>0.570924307186774</v>
          </cell>
          <cell r="X72">
            <v>0.54261730796299379</v>
          </cell>
          <cell r="Y72">
            <v>2.2776783069055684</v>
          </cell>
          <cell r="Z72">
            <v>0.51453374334054647</v>
          </cell>
          <cell r="AA72">
            <v>0.57031167854137255</v>
          </cell>
          <cell r="AB72">
            <v>0.45131000411471572</v>
          </cell>
          <cell r="AC72">
            <v>0.36863317179309663</v>
          </cell>
          <cell r="AD72">
            <v>2.0836995605273674</v>
          </cell>
          <cell r="AE72">
            <v>0.52698560604202938</v>
          </cell>
          <cell r="AF72">
            <v>0.56838704232823367</v>
          </cell>
          <cell r="AG72">
            <v>0.48372314467654587</v>
          </cell>
          <cell r="AH72">
            <v>0.46384374708134862</v>
          </cell>
          <cell r="AI72">
            <v>2.055119995212161</v>
          </cell>
          <cell r="AJ72">
            <v>0.45827702702702705</v>
          </cell>
          <cell r="AK72">
            <v>0.43461933926416024</v>
          </cell>
          <cell r="AL72">
            <v>0.45886993721873437</v>
          </cell>
          <cell r="AM72">
            <v>0.5526388474583761</v>
          </cell>
          <cell r="AN72">
            <v>1.8979664645023189</v>
          </cell>
          <cell r="AO72">
            <v>0.50186936441609853</v>
          </cell>
          <cell r="AP72">
            <v>0.50026731841441996</v>
          </cell>
          <cell r="AQ72">
            <v>0.58403288619645177</v>
          </cell>
          <cell r="AR72">
            <v>2.013003663003663</v>
          </cell>
          <cell r="AS72">
            <v>3.6326991091501721</v>
          </cell>
          <cell r="AT72">
            <v>1.0053445617491488</v>
          </cell>
          <cell r="AU72">
            <v>0.95511401725954226</v>
          </cell>
          <cell r="AV72">
            <v>0.52389507404684377</v>
          </cell>
          <cell r="AW72">
            <v>0.71285820403636702</v>
          </cell>
          <cell r="AX72">
            <v>3.1863450055796187</v>
          </cell>
          <cell r="AY72">
            <v>0.42540173374355561</v>
          </cell>
          <cell r="AZ72">
            <v>0.57971673677448776</v>
          </cell>
          <cell r="BA72">
            <v>0.41897296901325914</v>
          </cell>
          <cell r="BB72">
            <v>0.38853320792182672</v>
          </cell>
          <cell r="BC72">
            <v>1.8199407242270189</v>
          </cell>
          <cell r="BD72">
            <v>0.29937895913055418</v>
          </cell>
          <cell r="BE72">
            <v>1.4024093901461714</v>
          </cell>
          <cell r="BF72">
            <v>0.4464121415815317</v>
          </cell>
          <cell r="BG72">
            <v>0.43914711189907746</v>
          </cell>
          <cell r="BH72">
            <v>2.7420203081833949</v>
          </cell>
          <cell r="BI72">
            <v>0.33931749944914913</v>
          </cell>
          <cell r="BJ72">
            <v>0.44994841389574763</v>
          </cell>
          <cell r="BK72">
            <v>0.4619503095384514</v>
          </cell>
          <cell r="BL72">
            <v>0.46838565106366536</v>
          </cell>
          <cell r="BM72">
            <v>1.8230007688549201</v>
          </cell>
          <cell r="BN72">
            <v>0.37114255447992117</v>
          </cell>
          <cell r="BO72">
            <v>0.47721568662445096</v>
          </cell>
          <cell r="BP72">
            <v>0.48035960175050613</v>
          </cell>
          <cell r="BQ72">
            <v>0.4825121919858173</v>
          </cell>
          <cell r="BR72">
            <v>1.9132460511099234</v>
          </cell>
        </row>
        <row r="73">
          <cell r="A73" t="str">
            <v>Diluted EPS after Extraordinary</v>
          </cell>
          <cell r="D73">
            <v>0.35927816259569811</v>
          </cell>
          <cell r="E73">
            <v>0.35648397045923996</v>
          </cell>
          <cell r="F73">
            <v>0.37597508089311366</v>
          </cell>
          <cell r="G73">
            <v>0.37064075630252102</v>
          </cell>
          <cell r="H73">
            <v>1.4632244409168129</v>
          </cell>
          <cell r="J73">
            <v>0.41675530168734815</v>
          </cell>
          <cell r="K73">
            <v>0.56797254639998951</v>
          </cell>
          <cell r="L73">
            <v>0.431924882629108</v>
          </cell>
          <cell r="M73">
            <v>0.47423758957995499</v>
          </cell>
          <cell r="N73">
            <v>1.8909693324646326</v>
          </cell>
          <cell r="P73">
            <v>0.53211213971505478</v>
          </cell>
          <cell r="Q73">
            <v>0.56153997250049104</v>
          </cell>
          <cell r="R73">
            <v>0.54951339041174885</v>
          </cell>
          <cell r="S73">
            <v>0.57604525651862926</v>
          </cell>
          <cell r="T73">
            <v>2.2196207986210861</v>
          </cell>
          <cell r="U73">
            <v>0.56078309186269926</v>
          </cell>
          <cell r="V73">
            <v>0.5816552268640135</v>
          </cell>
          <cell r="W73">
            <v>0.56912729279782304</v>
          </cell>
          <cell r="X73">
            <v>0.5454196470844157</v>
          </cell>
          <cell r="Y73">
            <v>2.2504347378047993</v>
          </cell>
          <cell r="Z73">
            <v>0.52555585082823986</v>
          </cell>
          <cell r="AA73">
            <v>0.54832472168881807</v>
          </cell>
          <cell r="AB73">
            <v>0.51861399088846671</v>
          </cell>
          <cell r="AC73">
            <v>0.43202947285135002</v>
          </cell>
          <cell r="AD73">
            <v>2.1824685377546942</v>
          </cell>
          <cell r="AE73">
            <v>0.53431745175449352</v>
          </cell>
          <cell r="AF73">
            <v>0.56838704232823367</v>
          </cell>
          <cell r="AG73">
            <v>0.48743676724394452</v>
          </cell>
          <cell r="AH73">
            <v>0.46203418324460632</v>
          </cell>
          <cell r="AI73">
            <v>2.0498414028367944</v>
          </cell>
          <cell r="AJ73">
            <v>0.45456081081081079</v>
          </cell>
          <cell r="AK73">
            <v>0.43549108140730475</v>
          </cell>
          <cell r="AL73">
            <v>0.45744763597977667</v>
          </cell>
          <cell r="AM73">
            <v>0.52921679758708695</v>
          </cell>
          <cell r="AN73">
            <v>1.8774527292186942</v>
          </cell>
          <cell r="AO73">
            <v>0.52183857488453922</v>
          </cell>
          <cell r="AP73">
            <v>0.50576644008248683</v>
          </cell>
          <cell r="AQ73">
            <v>0.58380571181306795</v>
          </cell>
          <cell r="AR73">
            <v>1.2022085757379875</v>
          </cell>
          <cell r="AS73">
            <v>2.8203375823363266</v>
          </cell>
          <cell r="AT73">
            <v>1.0065866115596291</v>
          </cell>
          <cell r="AU73">
            <v>0.76252434106217482</v>
          </cell>
          <cell r="AV73">
            <v>0.5154295767251339</v>
          </cell>
          <cell r="AW73">
            <v>0.66559985771230679</v>
          </cell>
          <cell r="AX73">
            <v>2.9443640556163757</v>
          </cell>
          <cell r="AY73">
            <v>0.43149270330949607</v>
          </cell>
          <cell r="AZ73">
            <v>0.56812304440622485</v>
          </cell>
          <cell r="BA73">
            <v>0.40686501250562496</v>
          </cell>
          <cell r="BB73">
            <v>0.38836599257981907</v>
          </cell>
          <cell r="BC73">
            <v>1.7958449662471874</v>
          </cell>
          <cell r="BD73">
            <v>0.37776115069663035</v>
          </cell>
          <cell r="BE73">
            <v>0.87475158715923285</v>
          </cell>
          <cell r="BF73">
            <v>0.39459061491935626</v>
          </cell>
          <cell r="BG73">
            <v>0.38753953590692181</v>
          </cell>
          <cell r="BH73">
            <v>2.0337064482882918</v>
          </cell>
          <cell r="BI73">
            <v>0.39092507544130478</v>
          </cell>
          <cell r="BJ73">
            <v>0.39855302920129315</v>
          </cell>
          <cell r="BK73">
            <v>0.41076537838218385</v>
          </cell>
          <cell r="BL73">
            <v>0.4174094569463182</v>
          </cell>
          <cell r="BM73">
            <v>1.617841000685458</v>
          </cell>
          <cell r="BN73">
            <v>0.42211874859726839</v>
          </cell>
          <cell r="BO73">
            <v>0.42644653396160892</v>
          </cell>
          <cell r="BP73">
            <v>0.42979581553419427</v>
          </cell>
          <cell r="BQ73">
            <v>0.43215211745290699</v>
          </cell>
          <cell r="BR73">
            <v>1.7105810057636195</v>
          </cell>
        </row>
        <row r="74">
          <cell r="A74" t="str">
            <v>Normalized Earnings Per Share</v>
          </cell>
          <cell r="D74">
            <v>0.35927816259569811</v>
          </cell>
          <cell r="E74">
            <v>0.37131094196542258</v>
          </cell>
          <cell r="F74">
            <v>0.37597508089311366</v>
          </cell>
          <cell r="G74">
            <v>0.37064075630252102</v>
          </cell>
          <cell r="H74">
            <v>1.4778176957139277</v>
          </cell>
          <cell r="J74">
            <v>0.41675530168734815</v>
          </cell>
          <cell r="K74">
            <v>0.41155513641662411</v>
          </cell>
          <cell r="L74">
            <v>0.4485333542573921</v>
          </cell>
          <cell r="M74">
            <v>0.47290369827901868</v>
          </cell>
          <cell r="N74">
            <v>1.7498731325936281</v>
          </cell>
          <cell r="P74">
            <v>0.49957323878931126</v>
          </cell>
          <cell r="Q74">
            <v>0.50697308976625421</v>
          </cell>
          <cell r="R74">
            <v>0.51099299949387589</v>
          </cell>
          <cell r="S74">
            <v>0.48925157682554132</v>
          </cell>
          <cell r="T74">
            <v>2.0069990337154944</v>
          </cell>
          <cell r="U74">
            <v>0.54160824635197591</v>
          </cell>
          <cell r="V74">
            <v>0.57229369691583287</v>
          </cell>
          <cell r="W74">
            <v>0.53</v>
          </cell>
          <cell r="X74">
            <v>0.54822198620583762</v>
          </cell>
          <cell r="Y74">
            <v>2.2231911687040307</v>
          </cell>
          <cell r="Z74">
            <v>0.51453374334054647</v>
          </cell>
          <cell r="AA74">
            <v>0.5263377648362636</v>
          </cell>
          <cell r="AB74">
            <v>0.58591797766221765</v>
          </cell>
          <cell r="AC74">
            <v>0.49542577390960341</v>
          </cell>
          <cell r="AD74">
            <v>2.2812375149820214</v>
          </cell>
          <cell r="AE74">
            <v>0.52698560604202938</v>
          </cell>
          <cell r="AF74">
            <v>0.56838704232823367</v>
          </cell>
          <cell r="AG74">
            <v>0.49115038981134324</v>
          </cell>
          <cell r="AH74">
            <v>0.46022461940786402</v>
          </cell>
          <cell r="AI74">
            <v>2.0445628104614282</v>
          </cell>
          <cell r="AJ74">
            <v>0.45827702702702705</v>
          </cell>
          <cell r="AK74">
            <v>0.43636282355044931</v>
          </cell>
          <cell r="AL74">
            <v>0.45602533474081891</v>
          </cell>
          <cell r="AM74">
            <v>0.50579474771579769</v>
          </cell>
          <cell r="AN74">
            <v>1.8569389939350696</v>
          </cell>
          <cell r="AO74">
            <v>0.50186936441609853</v>
          </cell>
          <cell r="AP74">
            <v>0.51126556175055371</v>
          </cell>
          <cell r="AQ74">
            <v>0.58357853742968413</v>
          </cell>
          <cell r="AR74">
            <v>0.391413488472312</v>
          </cell>
          <cell r="AS74">
            <v>2.0079760555224806</v>
          </cell>
          <cell r="AT74">
            <v>1.0053445617491488</v>
          </cell>
          <cell r="AU74">
            <v>0.56993466486480737</v>
          </cell>
          <cell r="AV74">
            <v>0.50696407940342392</v>
          </cell>
          <cell r="AW74">
            <v>0.61834151138824656</v>
          </cell>
          <cell r="AX74">
            <v>2.7023831056531322</v>
          </cell>
          <cell r="AY74">
            <v>0.42540173374355561</v>
          </cell>
          <cell r="AZ74">
            <v>0.55652935203796194</v>
          </cell>
          <cell r="BA74">
            <v>0.39475705599799077</v>
          </cell>
          <cell r="BB74">
            <v>0.38819877723781143</v>
          </cell>
          <cell r="BC74">
            <v>1.7717492082673556</v>
          </cell>
          <cell r="BD74">
            <v>0.29937895913055418</v>
          </cell>
          <cell r="BE74">
            <v>0.3470937841722942</v>
          </cell>
          <cell r="BF74">
            <v>0.34276908825718078</v>
          </cell>
          <cell r="BG74">
            <v>0.33593195991476615</v>
          </cell>
          <cell r="BH74">
            <v>1.325392588393189</v>
          </cell>
          <cell r="BI74">
            <v>0.33931749944914913</v>
          </cell>
          <cell r="BJ74">
            <v>0.34715764450683873</v>
          </cell>
          <cell r="BK74">
            <v>0.35958044722591626</v>
          </cell>
          <cell r="BL74">
            <v>0.36643326282897098</v>
          </cell>
          <cell r="BM74">
            <v>1.4126812325159961</v>
          </cell>
          <cell r="BN74">
            <v>0.37114255447992117</v>
          </cell>
          <cell r="BO74">
            <v>0.37567738129876688</v>
          </cell>
          <cell r="BP74">
            <v>0.37923202931788236</v>
          </cell>
          <cell r="BQ74">
            <v>0.38179204291999663</v>
          </cell>
          <cell r="BR74">
            <v>1.5079159604173156</v>
          </cell>
        </row>
        <row r="75">
          <cell r="A75" t="str">
            <v>FFO Per Share</v>
          </cell>
          <cell r="B75">
            <v>2.1994317309169098</v>
          </cell>
          <cell r="D75">
            <v>0.61239214971442457</v>
          </cell>
          <cell r="E75">
            <v>0.6359752129254973</v>
          </cell>
          <cell r="F75">
            <v>0.6477893691008445</v>
          </cell>
          <cell r="G75">
            <v>0.65346638655462186</v>
          </cell>
          <cell r="H75">
            <v>2.5521903807057118</v>
          </cell>
          <cell r="J75">
            <v>0.69254809270566609</v>
          </cell>
          <cell r="K75">
            <v>0.70606572622368924</v>
          </cell>
          <cell r="L75">
            <v>0.73980932951469258</v>
          </cell>
          <cell r="M75">
            <v>0.75825181775383166</v>
          </cell>
          <cell r="N75">
            <v>2.8968330621372003</v>
          </cell>
          <cell r="P75">
            <v>0.79331626288490575</v>
          </cell>
          <cell r="Q75">
            <v>0.79489294834020818</v>
          </cell>
          <cell r="R75">
            <v>0.79779056588241204</v>
          </cell>
          <cell r="S75">
            <v>0.80427856167501133</v>
          </cell>
          <cell r="T75">
            <v>3.1632106761379957</v>
          </cell>
          <cell r="U75">
            <v>0.84345952121306533</v>
          </cell>
          <cell r="V75">
            <v>0.8552939223367737</v>
          </cell>
          <cell r="W75">
            <v>0.85756093804151101</v>
          </cell>
          <cell r="X75">
            <v>0.85562195293605803</v>
          </cell>
          <cell r="Y75">
            <v>3.4182499710174796</v>
          </cell>
          <cell r="Z75">
            <v>0.84453893170342809</v>
          </cell>
          <cell r="AA75">
            <v>0.84502371330709536</v>
          </cell>
          <cell r="AB75">
            <v>0.92651757189650197</v>
          </cell>
          <cell r="AC75">
            <v>0.83210117693601027</v>
          </cell>
          <cell r="AD75">
            <v>3.4485742109468638</v>
          </cell>
          <cell r="AE75">
            <v>0.88314411122826808</v>
          </cell>
          <cell r="AF75">
            <v>0.80770853677649579</v>
          </cell>
          <cell r="AG75">
            <v>0.84718205082425757</v>
          </cell>
          <cell r="AH75">
            <v>0.82559306995423554</v>
          </cell>
          <cell r="AI75">
            <v>3.3625112214973965</v>
          </cell>
          <cell r="AJ75">
            <v>0.80513513513513513</v>
          </cell>
          <cell r="AK75">
            <v>0.81671062631320135</v>
          </cell>
          <cell r="AL75">
            <v>0.80951163953552974</v>
          </cell>
          <cell r="AM75">
            <v>0.81447968800061865</v>
          </cell>
          <cell r="AN75">
            <v>3.2459084017124509</v>
          </cell>
          <cell r="AO75">
            <v>0.80990763140532218</v>
          </cell>
          <cell r="AP75">
            <v>0.83997992384152931</v>
          </cell>
          <cell r="AQ75">
            <v>0.7756923409779316</v>
          </cell>
          <cell r="AR75">
            <v>0.77167636285283348</v>
          </cell>
          <cell r="AS75">
            <v>3.1966203707479388</v>
          </cell>
          <cell r="AT75">
            <v>0.76565036297834976</v>
          </cell>
          <cell r="AU75">
            <v>0.80426859763559166</v>
          </cell>
          <cell r="AV75">
            <v>0.7885521478836256</v>
          </cell>
          <cell r="AW75">
            <v>0.75992822841359686</v>
          </cell>
          <cell r="AX75">
            <v>3.1182683611785422</v>
          </cell>
          <cell r="AY75">
            <v>0.79924798353567261</v>
          </cell>
          <cell r="AZ75">
            <v>0.78939783252864759</v>
          </cell>
          <cell r="BA75">
            <v>0.79979279382986079</v>
          </cell>
          <cell r="BB75">
            <v>0.7911877514761978</v>
          </cell>
          <cell r="BC75">
            <v>3.1795956954746227</v>
          </cell>
          <cell r="BD75">
            <v>0.79322029091907731</v>
          </cell>
          <cell r="BE75">
            <v>0.80059537293766658</v>
          </cell>
          <cell r="BF75">
            <v>0.79395650624203995</v>
          </cell>
          <cell r="BG75">
            <v>0.78482431571821842</v>
          </cell>
          <cell r="BH75">
            <v>3.1725303762624542</v>
          </cell>
          <cell r="BI75">
            <v>0.78972285997862535</v>
          </cell>
          <cell r="BJ75">
            <v>0.79721788830371543</v>
          </cell>
          <cell r="BK75">
            <v>0.80929840065438519</v>
          </cell>
          <cell r="BL75">
            <v>0.81581171767467453</v>
          </cell>
          <cell r="BM75">
            <v>3.2122362224824346</v>
          </cell>
          <cell r="BN75">
            <v>0.82244250185896317</v>
          </cell>
          <cell r="BO75">
            <v>0.8270580477333086</v>
          </cell>
          <cell r="BP75">
            <v>0.83069276177415319</v>
          </cell>
          <cell r="BQ75">
            <v>0.83333219625706523</v>
          </cell>
          <cell r="BR75">
            <v>3.3135990827306196</v>
          </cell>
        </row>
        <row r="76">
          <cell r="U76">
            <v>6.3207147860316032E-2</v>
          </cell>
          <cell r="V76">
            <v>7.5986299944774904E-2</v>
          </cell>
          <cell r="W76">
            <v>7.4919878368063644E-2</v>
          </cell>
          <cell r="X76">
            <v>6.3837821505670411E-2</v>
          </cell>
          <cell r="Z76">
            <v>1.2797419001333256E-3</v>
          </cell>
          <cell r="AA76">
            <v>-1.2007812474124456E-2</v>
          </cell>
        </row>
        <row r="77">
          <cell r="A77" t="str">
            <v>AFFO Per Share</v>
          </cell>
          <cell r="B77">
            <v>1.9543848871141145</v>
          </cell>
          <cell r="D77">
            <v>0.56310001215214489</v>
          </cell>
          <cell r="E77">
            <v>0.56359469171783483</v>
          </cell>
          <cell r="F77">
            <v>0.59165424739195227</v>
          </cell>
          <cell r="G77">
            <v>0.56896008403361342</v>
          </cell>
          <cell r="H77">
            <v>2.2879243601526165</v>
          </cell>
          <cell r="J77">
            <v>0.63190860744534172</v>
          </cell>
          <cell r="K77">
            <v>0.60735850786540402</v>
          </cell>
          <cell r="L77">
            <v>0.63552905174781282</v>
          </cell>
          <cell r="M77">
            <v>0.66331418120673746</v>
          </cell>
          <cell r="N77">
            <v>2.5381641229912133</v>
          </cell>
          <cell r="P77">
            <v>0.67966646969995403</v>
          </cell>
          <cell r="Q77">
            <v>0.62072939173705233</v>
          </cell>
          <cell r="R77">
            <v>0.68219040487887617</v>
          </cell>
          <cell r="S77">
            <v>0.64546459457702066</v>
          </cell>
          <cell r="T77">
            <v>2.6283852602439217</v>
          </cell>
          <cell r="U77">
            <v>0.74036713922210107</v>
          </cell>
          <cell r="V77">
            <v>0.72952039654761924</v>
          </cell>
          <cell r="W77">
            <v>0.72997291642599504</v>
          </cell>
          <cell r="X77">
            <v>0.72183905104351942</v>
          </cell>
          <cell r="Y77">
            <v>2.9135032782450763</v>
          </cell>
          <cell r="Z77">
            <v>0.65664426812447008</v>
          </cell>
          <cell r="AA77">
            <v>0.71812399301831809</v>
          </cell>
          <cell r="AB77">
            <v>0.78031103542696267</v>
          </cell>
          <cell r="AC77">
            <v>0.69641974087627334</v>
          </cell>
          <cell r="AD77">
            <v>2.8525144826208551</v>
          </cell>
          <cell r="AE77">
            <v>0.70261886662906747</v>
          </cell>
          <cell r="AF77">
            <v>0.56313067380375426</v>
          </cell>
          <cell r="AG77">
            <v>0.65914420044039757</v>
          </cell>
          <cell r="AH77">
            <v>0.6413444475576725</v>
          </cell>
          <cell r="AI77">
            <v>2.5654437728170447</v>
          </cell>
          <cell r="AJ77">
            <v>0.62676801801801807</v>
          </cell>
          <cell r="AK77">
            <v>0.62881666592158791</v>
          </cell>
          <cell r="AL77">
            <v>0.606655925329185</v>
          </cell>
          <cell r="AM77">
            <v>0.58165125451592592</v>
          </cell>
          <cell r="AN77">
            <v>2.4434088476632181</v>
          </cell>
          <cell r="AO77">
            <v>0.67278425335385972</v>
          </cell>
          <cell r="AP77">
            <v>0.58887518957785512</v>
          </cell>
          <cell r="AQ77">
            <v>0.51620510601471226</v>
          </cell>
          <cell r="AR77">
            <v>0.55464339581986644</v>
          </cell>
          <cell r="AS77">
            <v>2.330878535059032</v>
          </cell>
          <cell r="AT77">
            <v>0.60161412938732672</v>
          </cell>
          <cell r="AU77">
            <v>0.58063941177096523</v>
          </cell>
          <cell r="AV77">
            <v>0.60802489234324109</v>
          </cell>
          <cell r="AW77">
            <v>0.5209790648769107</v>
          </cell>
          <cell r="AX77">
            <v>2.3105404562065988</v>
          </cell>
          <cell r="AY77">
            <v>0.5968947488774321</v>
          </cell>
          <cell r="AZ77">
            <v>0.55620816842454268</v>
          </cell>
          <cell r="BA77">
            <v>0.5352386533691933</v>
          </cell>
          <cell r="BB77">
            <v>0.47123164550347485</v>
          </cell>
          <cell r="BC77">
            <v>2.1600315651304274</v>
          </cell>
          <cell r="BD77">
            <v>0.51866181452692295</v>
          </cell>
          <cell r="BE77">
            <v>0.53085545826749236</v>
          </cell>
          <cell r="BF77">
            <v>0.52978799666196696</v>
          </cell>
          <cell r="BG77">
            <v>0.51974155643289721</v>
          </cell>
          <cell r="BH77">
            <v>2.0990513370054709</v>
          </cell>
          <cell r="BI77">
            <v>0.51906718688833164</v>
          </cell>
          <cell r="BJ77">
            <v>0.52248959363052538</v>
          </cell>
          <cell r="BK77">
            <v>0.52815317888410118</v>
          </cell>
          <cell r="BL77">
            <v>0.53043135338042691</v>
          </cell>
          <cell r="BM77">
            <v>2.1002228762746507</v>
          </cell>
          <cell r="BN77">
            <v>0.53271863644345074</v>
          </cell>
          <cell r="BO77">
            <v>0.53307894368040865</v>
          </cell>
          <cell r="BP77">
            <v>0.53248024960147466</v>
          </cell>
          <cell r="BQ77">
            <v>0.530907810544336</v>
          </cell>
          <cell r="BR77">
            <v>2.1291734171926548</v>
          </cell>
        </row>
        <row r="78">
          <cell r="A78" t="str">
            <v>NOI Per Share</v>
          </cell>
          <cell r="B78">
            <v>3.1539318077100291</v>
          </cell>
          <cell r="D78">
            <v>0.90123344270263706</v>
          </cell>
          <cell r="E78">
            <v>0.94650689001443078</v>
          </cell>
          <cell r="F78">
            <v>0.97424846605174475</v>
          </cell>
          <cell r="G78">
            <v>0.99581144957983192</v>
          </cell>
          <cell r="H78">
            <v>3.8178002483486444</v>
          </cell>
          <cell r="J78">
            <v>1.0507648874006958</v>
          </cell>
          <cell r="K78">
            <v>1.0880715679725463</v>
          </cell>
          <cell r="L78">
            <v>1.1261459191546681</v>
          </cell>
          <cell r="M78">
            <v>1.1492127425851337</v>
          </cell>
          <cell r="N78">
            <v>4.414195117113044</v>
          </cell>
          <cell r="P78">
            <v>1.1896395509158952</v>
          </cell>
          <cell r="Q78">
            <v>1.2308387350225889</v>
          </cell>
          <cell r="R78">
            <v>1.2461164516765633</v>
          </cell>
          <cell r="S78">
            <v>1.2923597112946226</v>
          </cell>
          <cell r="T78">
            <v>4.9589544489096697</v>
          </cell>
          <cell r="U78">
            <v>1.3182608921431167</v>
          </cell>
          <cell r="V78">
            <v>1.3534787712946246</v>
          </cell>
          <cell r="W78">
            <v>1.3274416933009872</v>
          </cell>
          <cell r="X78">
            <v>1.3281935789325519</v>
          </cell>
          <cell r="Y78">
            <v>5.3273749356712798</v>
          </cell>
          <cell r="Z78">
            <v>1.3283094795186212</v>
          </cell>
          <cell r="AA78">
            <v>1.2908467412599991</v>
          </cell>
          <cell r="AB78">
            <v>1.3972601036958423</v>
          </cell>
          <cell r="AC78">
            <v>1.296644743348828</v>
          </cell>
          <cell r="AD78">
            <v>5.3130610678232912</v>
          </cell>
          <cell r="AE78">
            <v>1.3564404992521026</v>
          </cell>
          <cell r="AF78">
            <v>1.2888712069152592</v>
          </cell>
          <cell r="AG78">
            <v>1.3268225912039517</v>
          </cell>
          <cell r="AH78">
            <v>1.3125408611188942</v>
          </cell>
          <cell r="AI78">
            <v>5.2846751584902076</v>
          </cell>
          <cell r="AJ78">
            <v>1.2534009009009008</v>
          </cell>
          <cell r="AK78">
            <v>1.2801533372077429</v>
          </cell>
          <cell r="AL78">
            <v>1.2635035279737763</v>
          </cell>
          <cell r="AM78">
            <v>1.2833957553058677</v>
          </cell>
          <cell r="AN78">
            <v>5.0804535213882875</v>
          </cell>
          <cell r="AO78">
            <v>1.2973169122498351</v>
          </cell>
          <cell r="AP78">
            <v>1.384949427720374</v>
          </cell>
          <cell r="AQ78">
            <v>1.2687689311986152</v>
          </cell>
          <cell r="AR78">
            <v>1.2590503124326653</v>
          </cell>
          <cell r="AS78">
            <v>5.2100855836014901</v>
          </cell>
          <cell r="AT78">
            <v>1.2403184358738248</v>
          </cell>
          <cell r="AU78">
            <v>1.2564457260819137</v>
          </cell>
          <cell r="AV78">
            <v>1.2604337779644994</v>
          </cell>
          <cell r="AW78">
            <v>1.2662291668846319</v>
          </cell>
          <cell r="AX78">
            <v>5.0234271068048697</v>
          </cell>
          <cell r="AY78">
            <v>1.2634287169466156</v>
          </cell>
          <cell r="AZ78">
            <v>1.2583927350338797</v>
          </cell>
          <cell r="BA78">
            <v>1.3005258641439141</v>
          </cell>
          <cell r="BB78">
            <v>1.4096650467680409</v>
          </cell>
          <cell r="BC78">
            <v>5.2320123628924504</v>
          </cell>
          <cell r="BD78">
            <v>1.4824013205451374</v>
          </cell>
          <cell r="BE78">
            <v>1.4563848509257866</v>
          </cell>
          <cell r="BF78">
            <v>1.4263036151490354</v>
          </cell>
          <cell r="BG78">
            <v>1.4312398494557563</v>
          </cell>
          <cell r="BH78">
            <v>5.7963296360757157</v>
          </cell>
          <cell r="BI78">
            <v>1.4457177379848629</v>
          </cell>
          <cell r="BJ78">
            <v>1.4674718035666654</v>
          </cell>
          <cell r="BK78">
            <v>1.5017480676541715</v>
          </cell>
          <cell r="BL78">
            <v>1.5243702451237171</v>
          </cell>
          <cell r="BM78">
            <v>5.9393078543294164</v>
          </cell>
          <cell r="BN78">
            <v>1.5475712242285404</v>
          </cell>
          <cell r="BO78">
            <v>1.5703007458646061</v>
          </cell>
          <cell r="BP78">
            <v>1.5929136589471675</v>
          </cell>
          <cell r="BQ78">
            <v>1.6154115442398538</v>
          </cell>
          <cell r="BR78">
            <v>6.3261971732801676</v>
          </cell>
        </row>
        <row r="79">
          <cell r="A79" t="str">
            <v>EBITDA Per Share</v>
          </cell>
          <cell r="B79">
            <v>2.949470127476578</v>
          </cell>
          <cell r="D79">
            <v>0.85034633612832666</v>
          </cell>
          <cell r="E79">
            <v>0.89420220140912821</v>
          </cell>
          <cell r="F79">
            <v>0.91568319437171897</v>
          </cell>
          <cell r="G79">
            <v>0.94180672268907561</v>
          </cell>
          <cell r="H79">
            <v>3.6020384545982491</v>
          </cell>
          <cell r="J79">
            <v>0.9984373974131705</v>
          </cell>
          <cell r="K79">
            <v>1.0365829698612912</v>
          </cell>
          <cell r="L79">
            <v>1.0742411759321013</v>
          </cell>
          <cell r="M79">
            <v>1.0937385573050165</v>
          </cell>
          <cell r="N79">
            <v>4.2030001005115798</v>
          </cell>
          <cell r="P79">
            <v>1.1312717484078525</v>
          </cell>
          <cell r="Q79">
            <v>1.1677600995220323</v>
          </cell>
          <cell r="R79">
            <v>1.1845670011411225</v>
          </cell>
          <cell r="S79">
            <v>1.2239287339879057</v>
          </cell>
          <cell r="T79">
            <v>4.7075275830589129</v>
          </cell>
          <cell r="U79">
            <v>1.2434958716310951</v>
          </cell>
          <cell r="V79">
            <v>1.2822554158311306</v>
          </cell>
          <cell r="W79">
            <v>1.2638658913833161</v>
          </cell>
          <cell r="X79">
            <v>1.2656847816350818</v>
          </cell>
          <cell r="Y79">
            <v>5.0553019604806231</v>
          </cell>
          <cell r="Z79">
            <v>1.2527745086873443</v>
          </cell>
          <cell r="AA79">
            <v>1.2207008533468779</v>
          </cell>
          <cell r="AB79">
            <v>1.3319948782502951</v>
          </cell>
          <cell r="AC79">
            <v>1.2264860053407181</v>
          </cell>
          <cell r="AD79">
            <v>5.0319562456252349</v>
          </cell>
          <cell r="AE79">
            <v>1.2775679850910964</v>
          </cell>
          <cell r="AF79">
            <v>1.1822971294923263</v>
          </cell>
          <cell r="AG79">
            <v>1.2489555436529192</v>
          </cell>
          <cell r="AH79">
            <v>1.2231951060054169</v>
          </cell>
          <cell r="AI79">
            <v>4.9320157642417586</v>
          </cell>
          <cell r="AJ79">
            <v>1.1578828828828829</v>
          </cell>
          <cell r="AK79">
            <v>1.1900397872055075</v>
          </cell>
          <cell r="AL79">
            <v>1.1685093616312017</v>
          </cell>
          <cell r="AM79">
            <v>1.1926132157811584</v>
          </cell>
          <cell r="AN79">
            <v>4.7090452475007503</v>
          </cell>
          <cell r="AO79">
            <v>1.2059049923026171</v>
          </cell>
          <cell r="AP79">
            <v>1.282495553785556</v>
          </cell>
          <cell r="AQ79">
            <v>1.1695153613154479</v>
          </cell>
          <cell r="AR79">
            <v>1.1425237017884078</v>
          </cell>
          <cell r="AS79">
            <v>4.8004396091920292</v>
          </cell>
          <cell r="AT79">
            <v>1.1330417371565626</v>
          </cell>
          <cell r="AU79">
            <v>1.1340647179629058</v>
          </cell>
          <cell r="AV79">
            <v>1.1344386093897698</v>
          </cell>
          <cell r="AW79">
            <v>1.1348432219792637</v>
          </cell>
          <cell r="AX79">
            <v>4.5363882864885019</v>
          </cell>
          <cell r="AY79">
            <v>1.1247812032263429</v>
          </cell>
          <cell r="AZ79">
            <v>1.1257853457386187</v>
          </cell>
          <cell r="BA79">
            <v>1.1629744550373076</v>
          </cell>
          <cell r="BB79">
            <v>1.2503088258347703</v>
          </cell>
          <cell r="BC79">
            <v>4.663849829837039</v>
          </cell>
          <cell r="BD79">
            <v>1.3308176433239112</v>
          </cell>
          <cell r="BE79">
            <v>1.3115812739672561</v>
          </cell>
          <cell r="BF79">
            <v>1.2816296091726078</v>
          </cell>
          <cell r="BG79">
            <v>1.2775493920335361</v>
          </cell>
          <cell r="BH79">
            <v>5.2015779184973114</v>
          </cell>
          <cell r="BI79">
            <v>1.2917475821173299</v>
          </cell>
          <cell r="BJ79">
            <v>1.3138561677019371</v>
          </cell>
          <cell r="BK79">
            <v>1.348484048419138</v>
          </cell>
          <cell r="BL79">
            <v>1.3714549746659672</v>
          </cell>
          <cell r="BM79">
            <v>5.3255427729043721</v>
          </cell>
          <cell r="BN79">
            <v>1.3943872552425585</v>
          </cell>
          <cell r="BO79">
            <v>1.4174713313026757</v>
          </cell>
          <cell r="BP79">
            <v>1.4404359303910328</v>
          </cell>
          <cell r="BQ79">
            <v>1.4632826679401605</v>
          </cell>
          <cell r="BR79">
            <v>5.7155771848764276</v>
          </cell>
        </row>
        <row r="81">
          <cell r="A81" t="str">
            <v>Dividends Per Share</v>
          </cell>
          <cell r="B81">
            <v>1.66</v>
          </cell>
          <cell r="D81">
            <v>0.42</v>
          </cell>
          <cell r="E81">
            <v>0.42</v>
          </cell>
          <cell r="F81">
            <v>0.45</v>
          </cell>
          <cell r="G81">
            <v>0.45</v>
          </cell>
          <cell r="H81">
            <v>1.74</v>
          </cell>
          <cell r="J81">
            <v>0.45</v>
          </cell>
          <cell r="K81">
            <v>0.45</v>
          </cell>
          <cell r="L81">
            <v>0.52</v>
          </cell>
          <cell r="M81">
            <v>0.52</v>
          </cell>
          <cell r="N81">
            <v>1.94</v>
          </cell>
          <cell r="P81">
            <v>0.52</v>
          </cell>
          <cell r="Q81">
            <v>0.52</v>
          </cell>
          <cell r="R81">
            <v>0.56999999999999995</v>
          </cell>
          <cell r="S81">
            <v>0.56999999999999995</v>
          </cell>
          <cell r="T81">
            <v>2.1799999999999997</v>
          </cell>
          <cell r="U81">
            <v>0.56999999999999995</v>
          </cell>
          <cell r="V81">
            <v>0.56999999999999995</v>
          </cell>
          <cell r="W81">
            <v>0.59</v>
          </cell>
          <cell r="X81">
            <v>0.59</v>
          </cell>
          <cell r="Y81">
            <v>2.3199999999999998</v>
          </cell>
          <cell r="Z81">
            <v>0.59</v>
          </cell>
          <cell r="AA81">
            <v>0.59</v>
          </cell>
          <cell r="AB81">
            <v>0.6</v>
          </cell>
          <cell r="AC81">
            <v>0.6</v>
          </cell>
          <cell r="AD81">
            <v>2.38</v>
          </cell>
          <cell r="AE81">
            <v>0.6</v>
          </cell>
          <cell r="AF81">
            <v>0.6</v>
          </cell>
          <cell r="AG81">
            <v>0.60499999999999998</v>
          </cell>
          <cell r="AH81">
            <v>0.60499999999999998</v>
          </cell>
          <cell r="AI81">
            <v>2.41</v>
          </cell>
          <cell r="AJ81">
            <v>0.60499999999999998</v>
          </cell>
          <cell r="AK81">
            <v>0.60499999999999998</v>
          </cell>
          <cell r="AL81">
            <v>0.61</v>
          </cell>
          <cell r="AM81">
            <v>0.61</v>
          </cell>
          <cell r="AN81">
            <v>2.4299999999999997</v>
          </cell>
          <cell r="AO81">
            <v>0.61</v>
          </cell>
          <cell r="AP81">
            <v>0.61</v>
          </cell>
          <cell r="AQ81">
            <v>0.61499999999999999</v>
          </cell>
          <cell r="AR81">
            <v>0.61499999999999999</v>
          </cell>
          <cell r="AS81">
            <v>2.4500000000000002</v>
          </cell>
          <cell r="AT81">
            <v>0.61499999999999999</v>
          </cell>
          <cell r="AU81">
            <v>0.61499999999999999</v>
          </cell>
          <cell r="AV81">
            <v>0.64575000000000005</v>
          </cell>
          <cell r="AW81">
            <v>0.64575000000000005</v>
          </cell>
          <cell r="AX81">
            <v>2.5215000000000001</v>
          </cell>
          <cell r="AY81">
            <v>0.64575000000000005</v>
          </cell>
          <cell r="AZ81">
            <v>0.64575000000000005</v>
          </cell>
          <cell r="BA81">
            <v>0.67803750000000007</v>
          </cell>
          <cell r="BB81">
            <v>0.67803750000000007</v>
          </cell>
          <cell r="BC81">
            <v>2.6475750000000002</v>
          </cell>
          <cell r="BD81">
            <v>0.67803750000000007</v>
          </cell>
          <cell r="BE81">
            <v>0.67803750000000007</v>
          </cell>
          <cell r="BF81">
            <v>0.71193937500000015</v>
          </cell>
          <cell r="BG81">
            <v>0.71193937500000015</v>
          </cell>
          <cell r="BH81">
            <v>2.7799537500000002</v>
          </cell>
          <cell r="BI81">
            <v>0.71193937500000015</v>
          </cell>
          <cell r="BJ81">
            <v>0.71193937500000015</v>
          </cell>
          <cell r="BK81">
            <v>0.74753634375000022</v>
          </cell>
          <cell r="BL81">
            <v>0.74753634375000022</v>
          </cell>
          <cell r="BM81">
            <v>2.9189514375000005</v>
          </cell>
          <cell r="BN81">
            <v>0.74753634375000022</v>
          </cell>
          <cell r="BO81">
            <v>0.74753634375000022</v>
          </cell>
          <cell r="BP81">
            <v>0.7849131609375003</v>
          </cell>
          <cell r="BQ81">
            <v>0.7849131609375003</v>
          </cell>
          <cell r="BR81">
            <v>3.0648990093750008</v>
          </cell>
          <cell r="CA81" t="str">
            <v>mstag:dividendsPerShare</v>
          </cell>
          <cell r="CB81">
            <v>0</v>
          </cell>
          <cell r="CC81" t="str">
            <v>ISO4217:USD</v>
          </cell>
          <cell r="CD81" t="b">
            <v>0</v>
          </cell>
          <cell r="CE81" t="b">
            <v>0</v>
          </cell>
        </row>
        <row r="83">
          <cell r="A83" t="str">
            <v>Payout Ratio (Net Income)</v>
          </cell>
          <cell r="B83">
            <v>1.2199762264966501</v>
          </cell>
          <cell r="D83">
            <v>1.0499999999999998</v>
          </cell>
          <cell r="E83">
            <v>1.0901011410788382</v>
          </cell>
          <cell r="F83">
            <v>1.1015630427231677</v>
          </cell>
          <cell r="G83">
            <v>1.1604619565217391</v>
          </cell>
          <cell r="H83">
            <v>1.1010721721742358</v>
          </cell>
          <cell r="J83">
            <v>1.0085224193985369</v>
          </cell>
          <cell r="K83">
            <v>0.7527842486122126</v>
          </cell>
          <cell r="L83">
            <v>1.2045339636214161</v>
          </cell>
          <cell r="M83">
            <v>1.1059403698578438</v>
          </cell>
          <cell r="N83">
            <v>0.9966424057645431</v>
          </cell>
          <cell r="P83">
            <v>0.97650150652828926</v>
          </cell>
          <cell r="Q83">
            <v>0.93233808651318417</v>
          </cell>
          <cell r="R83">
            <v>1.0437548863969384</v>
          </cell>
          <cell r="S83">
            <v>0.99255552712384831</v>
          </cell>
          <cell r="T83">
            <v>0.98614366109952434</v>
          </cell>
          <cell r="U83">
            <v>1.0178465307824636</v>
          </cell>
          <cell r="V83">
            <v>1.0178499558693732</v>
          </cell>
          <cell r="W83">
            <v>1.0756264141643919</v>
          </cell>
          <cell r="X83">
            <v>1.1250754492516861</v>
          </cell>
          <cell r="Y83">
            <v>1.0579420982271557</v>
          </cell>
          <cell r="Z83">
            <v>1.0954251825095056</v>
          </cell>
          <cell r="AA83">
            <v>1.0494552265744894</v>
          </cell>
          <cell r="AB83">
            <v>1.1228074840693769</v>
          </cell>
          <cell r="AC83">
            <v>1.3524796074547583</v>
          </cell>
          <cell r="AD83">
            <v>1.1448888143097227</v>
          </cell>
          <cell r="AE83">
            <v>1.1233895207637001</v>
          </cell>
          <cell r="AF83">
            <v>1.0559728175175997</v>
          </cell>
          <cell r="AG83">
            <v>1.2424706589276124</v>
          </cell>
          <cell r="AH83">
            <v>1.3088185297611192</v>
          </cell>
          <cell r="AI83">
            <v>1.1747637296020237</v>
          </cell>
          <cell r="AJ83">
            <v>1.3314036357994363</v>
          </cell>
          <cell r="AK83">
            <v>1.3896569493521789</v>
          </cell>
          <cell r="AL83">
            <v>1.3338602801489399</v>
          </cell>
          <cell r="AM83">
            <v>1.1531694203182481</v>
          </cell>
          <cell r="AN83">
            <v>1.294731905602527</v>
          </cell>
          <cell r="AO83">
            <v>1.1674555382557401</v>
          </cell>
          <cell r="AP83">
            <v>1.206583477343627</v>
          </cell>
          <cell r="AQ83">
            <v>1.0542281296988858</v>
          </cell>
          <cell r="AR83">
            <v>0.51176646539192661</v>
          </cell>
          <cell r="AS83">
            <v>0.8686638753870094</v>
          </cell>
          <cell r="AT83">
            <v>0.61125159866256984</v>
          </cell>
          <cell r="AU83">
            <v>0.81153342415421525</v>
          </cell>
          <cell r="AV83">
            <v>1.2534574667191356</v>
          </cell>
          <cell r="AW83">
            <v>0.97038183008105094</v>
          </cell>
          <cell r="AX83">
            <v>0.85743087468791701</v>
          </cell>
          <cell r="AY83">
            <v>1.4968146672191711</v>
          </cell>
          <cell r="AZ83">
            <v>1.1372135021773091</v>
          </cell>
          <cell r="BA83">
            <v>1.6665030818076172</v>
          </cell>
          <cell r="BB83">
            <v>1.7459582982708455</v>
          </cell>
          <cell r="BC83">
            <v>1.474559086517534</v>
          </cell>
          <cell r="BD83">
            <v>1.8042875678372221</v>
          </cell>
          <cell r="BE83">
            <v>0.77685364417203928</v>
          </cell>
          <cell r="BF83">
            <v>1.8131418874342076</v>
          </cell>
          <cell r="BG83">
            <v>1.8462185592319924</v>
          </cell>
          <cell r="BH83">
            <v>1.3722145112678212</v>
          </cell>
          <cell r="BI83">
            <v>1.8301508165163634</v>
          </cell>
          <cell r="BJ83">
            <v>1.7948809792056224</v>
          </cell>
          <cell r="BK83">
            <v>1.8282618619388866</v>
          </cell>
          <cell r="BL83">
            <v>1.7989605063162302</v>
          </cell>
          <cell r="BM83">
            <v>1.8127107780316942</v>
          </cell>
          <cell r="BN83">
            <v>1.7788013498825737</v>
          </cell>
          <cell r="BO83">
            <v>1.7606053337807808</v>
          </cell>
          <cell r="BP83">
            <v>1.8341015653009904</v>
          </cell>
          <cell r="BQ83">
            <v>1.8239942602060351</v>
          </cell>
          <cell r="BR83">
            <v>1.7995044678093908</v>
          </cell>
        </row>
        <row r="84">
          <cell r="A84" t="str">
            <v>Payout Ratio (FFO)</v>
          </cell>
          <cell r="B84">
            <v>0.75474040710869028</v>
          </cell>
          <cell r="D84">
            <v>0.68583504898920999</v>
          </cell>
          <cell r="E84">
            <v>0.66040309663641217</v>
          </cell>
          <cell r="F84">
            <v>0.69467024539877298</v>
          </cell>
          <cell r="G84">
            <v>0.68863526764185823</v>
          </cell>
          <cell r="H84">
            <v>0.6817673215737412</v>
          </cell>
          <cell r="J84">
            <v>0.64977436908666886</v>
          </cell>
          <cell r="K84">
            <v>0.63733443401476642</v>
          </cell>
          <cell r="L84">
            <v>0.70288380972583131</v>
          </cell>
          <cell r="M84">
            <v>0.68578800317339872</v>
          </cell>
          <cell r="N84">
            <v>0.66969685804701617</v>
          </cell>
          <cell r="P84">
            <v>0.65547628900107591</v>
          </cell>
          <cell r="Q84">
            <v>0.65417613917169126</v>
          </cell>
          <cell r="R84">
            <v>0.71447322690453252</v>
          </cell>
          <cell r="S84">
            <v>0.70870967741935487</v>
          </cell>
          <cell r="T84">
            <v>0.6891731924291522</v>
          </cell>
          <cell r="U84">
            <v>0.67578820994305067</v>
          </cell>
          <cell r="V84">
            <v>0.66643756621429762</v>
          </cell>
          <cell r="W84">
            <v>0.68799775482712167</v>
          </cell>
          <cell r="X84">
            <v>0.68955687494391771</v>
          </cell>
          <cell r="Y84">
            <v>0.6787098719142024</v>
          </cell>
          <cell r="Z84">
            <v>0.69860604153555694</v>
          </cell>
          <cell r="AA84">
            <v>0.69820525827727198</v>
          </cell>
          <cell r="AB84">
            <v>0.64758620688850133</v>
          </cell>
          <cell r="AC84">
            <v>0.72106615953764097</v>
          </cell>
          <cell r="AD84">
            <v>0.69014028825162821</v>
          </cell>
          <cell r="AE84">
            <v>0.67939081784231781</v>
          </cell>
          <cell r="AF84">
            <v>0.7428422168156783</v>
          </cell>
          <cell r="AG84">
            <v>0.71413222153534894</v>
          </cell>
          <cell r="AH84">
            <v>0.7328065387389171</v>
          </cell>
          <cell r="AI84">
            <v>0.71672623264191715</v>
          </cell>
          <cell r="AJ84">
            <v>0.7514266532393421</v>
          </cell>
          <cell r="AK84">
            <v>0.74077645191307673</v>
          </cell>
          <cell r="AL84">
            <v>0.75354074013067585</v>
          </cell>
          <cell r="AM84">
            <v>0.74894439847533267</v>
          </cell>
          <cell r="AN84">
            <v>0.74863480396366067</v>
          </cell>
          <cell r="AO84">
            <v>0.75317230798473922</v>
          </cell>
          <cell r="AP84">
            <v>0.7262078326946807</v>
          </cell>
          <cell r="AQ84">
            <v>0.79284010877902522</v>
          </cell>
          <cell r="AR84">
            <v>0.79696622781911841</v>
          </cell>
          <cell r="AS84">
            <v>0.76643445759771411</v>
          </cell>
          <cell r="AT84">
            <v>0.80323869710931006</v>
          </cell>
          <cell r="AU84">
            <v>0.76466991476229695</v>
          </cell>
          <cell r="AV84">
            <v>0.81890589193512631</v>
          </cell>
          <cell r="AW84">
            <v>0.84975129999848564</v>
          </cell>
          <cell r="AX84">
            <v>0.80862187212360548</v>
          </cell>
          <cell r="AY84">
            <v>0.80794698679546739</v>
          </cell>
          <cell r="AZ84">
            <v>0.81802859520337678</v>
          </cell>
          <cell r="BA84">
            <v>0.84776645304988629</v>
          </cell>
          <cell r="BB84">
            <v>0.85698685139515618</v>
          </cell>
          <cell r="BC84">
            <v>0.83267662104593243</v>
          </cell>
          <cell r="BD84">
            <v>0.85479091717936406</v>
          </cell>
          <cell r="BE84">
            <v>0.84691658598030806</v>
          </cell>
          <cell r="BF84">
            <v>0.89669820626542407</v>
          </cell>
          <cell r="BG84">
            <v>0.90713215778550527</v>
          </cell>
          <cell r="BH84">
            <v>0.8762575673980002</v>
          </cell>
          <cell r="BI84">
            <v>0.90150533950513922</v>
          </cell>
          <cell r="BJ84">
            <v>0.89302985475505692</v>
          </cell>
          <cell r="BK84">
            <v>0.92368444463198596</v>
          </cell>
          <cell r="BL84">
            <v>0.91630988812065473</v>
          </cell>
          <cell r="BM84">
            <v>0.90869762848394076</v>
          </cell>
          <cell r="BN84">
            <v>0.90892231622313668</v>
          </cell>
          <cell r="BO84">
            <v>0.90384991210562426</v>
          </cell>
          <cell r="BP84">
            <v>0.94488985224948985</v>
          </cell>
          <cell r="BQ84">
            <v>0.94189707833557812</v>
          </cell>
          <cell r="BR84">
            <v>0.92494563550196485</v>
          </cell>
        </row>
        <row r="85">
          <cell r="A85" t="str">
            <v>Payout Ratio (AFFO)</v>
          </cell>
          <cell r="B85">
            <v>0.84937210216110015</v>
          </cell>
          <cell r="D85">
            <v>0.74587105476126236</v>
          </cell>
          <cell r="E85">
            <v>0.74521638718746852</v>
          </cell>
          <cell r="F85">
            <v>0.76057934508816127</v>
          </cell>
          <cell r="G85">
            <v>0.79091664358903357</v>
          </cell>
          <cell r="H85">
            <v>0.76051465262773499</v>
          </cell>
          <cell r="J85">
            <v>0.71212829624088281</v>
          </cell>
          <cell r="K85">
            <v>0.74091330601682126</v>
          </cell>
          <cell r="L85">
            <v>0.81821593925550962</v>
          </cell>
          <cell r="M85">
            <v>0.78394223240333494</v>
          </cell>
          <cell r="N85">
            <v>0.76433197618194992</v>
          </cell>
          <cell r="P85">
            <v>0.76508114374034009</v>
          </cell>
          <cell r="Q85">
            <v>0.83772414666047845</v>
          </cell>
          <cell r="R85">
            <v>0.83554385392037911</v>
          </cell>
          <cell r="S85">
            <v>0.88308484274575372</v>
          </cell>
          <cell r="T85">
            <v>0.82940656873022089</v>
          </cell>
          <cell r="U85">
            <v>0.76988830244261686</v>
          </cell>
          <cell r="V85">
            <v>0.7813352480581307</v>
          </cell>
          <cell r="W85">
            <v>0.80824916476173736</v>
          </cell>
          <cell r="X85">
            <v>0.81735672120685676</v>
          </cell>
          <cell r="Y85">
            <v>0.79629222226152152</v>
          </cell>
          <cell r="Z85">
            <v>0.89850780497205629</v>
          </cell>
          <cell r="AA85">
            <v>0.82158513813219736</v>
          </cell>
          <cell r="AB85">
            <v>0.76892415044687668</v>
          </cell>
          <cell r="AC85">
            <v>0.86154938578427886</v>
          </cell>
          <cell r="AD85">
            <v>0.83435159207790777</v>
          </cell>
          <cell r="AE85">
            <v>0.85394803427155486</v>
          </cell>
          <cell r="AF85">
            <v>1.0654720616570326</v>
          </cell>
          <cell r="AG85">
            <v>0.91785682039799188</v>
          </cell>
          <cell r="AH85">
            <v>0.94333084554473468</v>
          </cell>
          <cell r="AI85">
            <v>0.93940862221807497</v>
          </cell>
          <cell r="AJ85">
            <v>0.96526941804265398</v>
          </cell>
          <cell r="AK85">
            <v>0.96212462675956201</v>
          </cell>
          <cell r="AL85">
            <v>1.0055123085940361</v>
          </cell>
          <cell r="AM85">
            <v>1.0487383896518319</v>
          </cell>
          <cell r="AN85">
            <v>0.9945122374112535</v>
          </cell>
          <cell r="AO85">
            <v>0.90667996011964103</v>
          </cell>
          <cell r="AP85">
            <v>1.0358731541012767</v>
          </cell>
          <cell r="AQ85">
            <v>1.1913868980259021</v>
          </cell>
          <cell r="AR85">
            <v>1.1088205586418554</v>
          </cell>
          <cell r="AS85">
            <v>1.0511058226111947</v>
          </cell>
          <cell r="AT85">
            <v>1.0222499272520498</v>
          </cell>
          <cell r="AU85">
            <v>1.059177154585897</v>
          </cell>
          <cell r="AV85">
            <v>1.0620453342154657</v>
          </cell>
          <cell r="AW85">
            <v>1.2394931841504386</v>
          </cell>
          <cell r="AX85">
            <v>1.0913031162153943</v>
          </cell>
          <cell r="AY85">
            <v>1.0818490214806697</v>
          </cell>
          <cell r="AZ85">
            <v>1.1609861858539119</v>
          </cell>
          <cell r="BA85">
            <v>1.266794719947679</v>
          </cell>
          <cell r="BB85">
            <v>1.4388624076287768</v>
          </cell>
          <cell r="BC85">
            <v>1.2257112547520268</v>
          </cell>
          <cell r="BD85">
            <v>1.3072824738764419</v>
          </cell>
          <cell r="BE85">
            <v>1.2772544568211717</v>
          </cell>
          <cell r="BF85">
            <v>1.3438193758365868</v>
          </cell>
          <cell r="BG85">
            <v>1.3697949801940019</v>
          </cell>
          <cell r="BH85">
            <v>1.3243857837064206</v>
          </cell>
          <cell r="BI85">
            <v>1.3715746111170799</v>
          </cell>
          <cell r="BJ85">
            <v>1.3625905351589505</v>
          </cell>
          <cell r="BK85">
            <v>1.4153779123878771</v>
          </cell>
          <cell r="BL85">
            <v>1.4092989394121749</v>
          </cell>
          <cell r="BM85">
            <v>1.3898293702416957</v>
          </cell>
          <cell r="BN85">
            <v>1.4032479673336018</v>
          </cell>
          <cell r="BO85">
            <v>1.4022995141938359</v>
          </cell>
          <cell r="BP85">
            <v>1.4740699988871973</v>
          </cell>
          <cell r="BQ85">
            <v>1.4784358891475611</v>
          </cell>
          <cell r="BR85">
            <v>1.4394783368167885</v>
          </cell>
        </row>
        <row r="87">
          <cell r="A87" t="str">
            <v>Weighted Avg. Common Shares</v>
          </cell>
          <cell r="AD87">
            <v>74901</v>
          </cell>
          <cell r="AH87">
            <v>80461</v>
          </cell>
          <cell r="AI87">
            <v>80461</v>
          </cell>
          <cell r="AJ87">
            <v>83480</v>
          </cell>
          <cell r="AK87">
            <v>84411</v>
          </cell>
          <cell r="AL87">
            <v>84877</v>
          </cell>
          <cell r="AM87">
            <v>85349</v>
          </cell>
          <cell r="AN87">
            <v>84529.25</v>
          </cell>
          <cell r="AO87">
            <v>85867</v>
          </cell>
          <cell r="AP87">
            <v>86685</v>
          </cell>
          <cell r="AQ87">
            <v>87443</v>
          </cell>
          <cell r="AR87">
            <v>87922</v>
          </cell>
          <cell r="AS87">
            <v>86979.25</v>
          </cell>
          <cell r="AT87">
            <v>88326</v>
          </cell>
          <cell r="AU87">
            <v>88934</v>
          </cell>
          <cell r="AV87">
            <v>89675</v>
          </cell>
          <cell r="AW87">
            <v>90272</v>
          </cell>
          <cell r="AX87">
            <v>89301.75</v>
          </cell>
          <cell r="AY87">
            <v>91036</v>
          </cell>
          <cell r="AZ87">
            <v>91597</v>
          </cell>
          <cell r="BA87">
            <v>90905</v>
          </cell>
          <cell r="BB87">
            <v>91206</v>
          </cell>
          <cell r="BC87">
            <v>91186</v>
          </cell>
          <cell r="BD87">
            <v>91206</v>
          </cell>
          <cell r="BE87">
            <v>91206</v>
          </cell>
          <cell r="BF87">
            <v>91206</v>
          </cell>
          <cell r="BG87">
            <v>91206</v>
          </cell>
          <cell r="BH87">
            <v>91206</v>
          </cell>
          <cell r="BI87">
            <v>91206</v>
          </cell>
          <cell r="BJ87">
            <v>91206</v>
          </cell>
          <cell r="BK87">
            <v>91206</v>
          </cell>
          <cell r="BL87">
            <v>91206</v>
          </cell>
          <cell r="BM87">
            <v>91206</v>
          </cell>
          <cell r="BN87">
            <v>91206</v>
          </cell>
          <cell r="BO87">
            <v>91206</v>
          </cell>
          <cell r="BP87">
            <v>91206</v>
          </cell>
          <cell r="BQ87">
            <v>91206</v>
          </cell>
          <cell r="BR87">
            <v>91206</v>
          </cell>
          <cell r="CA87" t="str">
            <v>mstag:averageBasicSharesOutstanding</v>
          </cell>
          <cell r="CB87">
            <v>3</v>
          </cell>
          <cell r="CC87" t="str">
            <v>ms_eqr_gcim_Decimal:ms_eqr_gcim_decimal</v>
          </cell>
          <cell r="CD87" t="b">
            <v>0</v>
          </cell>
          <cell r="CE87" t="b">
            <v>0</v>
          </cell>
        </row>
        <row r="88">
          <cell r="A88" t="str">
            <v>Dilutive Shares for compensation plans</v>
          </cell>
          <cell r="AH88">
            <v>1497</v>
          </cell>
          <cell r="AI88">
            <v>1497</v>
          </cell>
          <cell r="AJ88">
            <v>1622</v>
          </cell>
          <cell r="AK88">
            <v>1394</v>
          </cell>
          <cell r="AL88">
            <v>1450</v>
          </cell>
          <cell r="AM88">
            <v>1496</v>
          </cell>
          <cell r="AN88">
            <v>1490.5</v>
          </cell>
          <cell r="AO88">
            <v>1407</v>
          </cell>
          <cell r="AP88">
            <v>1449</v>
          </cell>
          <cell r="AQ88">
            <v>1479</v>
          </cell>
          <cell r="AR88">
            <v>1380</v>
          </cell>
          <cell r="AS88">
            <v>1428.75</v>
          </cell>
          <cell r="AT88">
            <v>1550</v>
          </cell>
          <cell r="AU88">
            <v>1390</v>
          </cell>
          <cell r="AV88">
            <v>1333</v>
          </cell>
          <cell r="AW88">
            <v>1114</v>
          </cell>
          <cell r="AX88">
            <v>1346.75</v>
          </cell>
          <cell r="AY88">
            <v>982</v>
          </cell>
          <cell r="AZ88">
            <v>731</v>
          </cell>
          <cell r="BA88">
            <v>462</v>
          </cell>
          <cell r="BB88">
            <v>289</v>
          </cell>
          <cell r="BC88">
            <v>616</v>
          </cell>
          <cell r="BD88">
            <v>289</v>
          </cell>
          <cell r="BE88">
            <v>689</v>
          </cell>
          <cell r="BF88">
            <v>1089</v>
          </cell>
          <cell r="BG88">
            <v>1489</v>
          </cell>
          <cell r="BH88">
            <v>889</v>
          </cell>
          <cell r="BI88">
            <v>1489</v>
          </cell>
          <cell r="BJ88">
            <v>1889</v>
          </cell>
          <cell r="BK88">
            <v>2289</v>
          </cell>
          <cell r="BL88">
            <v>2689</v>
          </cell>
          <cell r="BM88">
            <v>2089</v>
          </cell>
          <cell r="BN88">
            <v>2689</v>
          </cell>
          <cell r="BO88">
            <v>3089</v>
          </cell>
          <cell r="BP88">
            <v>3489</v>
          </cell>
          <cell r="BQ88">
            <v>3889</v>
          </cell>
          <cell r="BR88">
            <v>3289</v>
          </cell>
        </row>
        <row r="89">
          <cell r="A89" t="str">
            <v>Weighted Avg. Common Units</v>
          </cell>
          <cell r="AE89">
            <v>3698</v>
          </cell>
          <cell r="AF89">
            <v>3698</v>
          </cell>
          <cell r="AG89">
            <v>3698</v>
          </cell>
          <cell r="AH89">
            <v>3698</v>
          </cell>
          <cell r="AI89">
            <v>3698</v>
          </cell>
          <cell r="AJ89">
            <v>3698</v>
          </cell>
          <cell r="AK89">
            <v>3671</v>
          </cell>
          <cell r="AL89">
            <v>3668</v>
          </cell>
          <cell r="AM89">
            <v>3668</v>
          </cell>
          <cell r="AN89">
            <v>3676.25</v>
          </cell>
          <cell r="AO89">
            <v>3666</v>
          </cell>
          <cell r="AP89">
            <v>3517</v>
          </cell>
          <cell r="AQ89">
            <v>3518</v>
          </cell>
          <cell r="AR89">
            <v>3518</v>
          </cell>
          <cell r="AS89">
            <v>3554.75</v>
          </cell>
          <cell r="AT89">
            <v>3518</v>
          </cell>
          <cell r="AU89">
            <v>3653</v>
          </cell>
          <cell r="AV89">
            <v>4202</v>
          </cell>
          <cell r="AW89">
            <v>4195</v>
          </cell>
          <cell r="AX89">
            <v>3892</v>
          </cell>
          <cell r="AY89">
            <v>4190</v>
          </cell>
          <cell r="AZ89">
            <v>4190</v>
          </cell>
          <cell r="BA89">
            <v>4190</v>
          </cell>
          <cell r="BB89">
            <v>4190</v>
          </cell>
          <cell r="BC89">
            <v>4190</v>
          </cell>
          <cell r="BD89">
            <v>4190</v>
          </cell>
          <cell r="BE89">
            <v>4190</v>
          </cell>
          <cell r="BF89">
            <v>4190</v>
          </cell>
          <cell r="BG89">
            <v>4190</v>
          </cell>
          <cell r="BH89">
            <v>4190</v>
          </cell>
          <cell r="BI89">
            <v>4190</v>
          </cell>
          <cell r="BJ89">
            <v>4190</v>
          </cell>
          <cell r="BK89">
            <v>4190</v>
          </cell>
          <cell r="BL89">
            <v>4190</v>
          </cell>
          <cell r="BM89">
            <v>4190</v>
          </cell>
          <cell r="BN89">
            <v>4190</v>
          </cell>
          <cell r="BO89">
            <v>4190</v>
          </cell>
          <cell r="BP89">
            <v>4190</v>
          </cell>
          <cell r="BQ89">
            <v>4190</v>
          </cell>
          <cell r="BR89">
            <v>4190</v>
          </cell>
        </row>
        <row r="90">
          <cell r="A90" t="str">
            <v>Diluted Wght. Avg. Shares &amp; OP Units</v>
          </cell>
          <cell r="B90">
            <v>52088</v>
          </cell>
          <cell r="D90">
            <v>65832</v>
          </cell>
          <cell r="E90">
            <v>70682</v>
          </cell>
          <cell r="F90">
            <v>74481</v>
          </cell>
          <cell r="G90">
            <v>76160</v>
          </cell>
          <cell r="H90">
            <v>71814</v>
          </cell>
          <cell r="J90">
            <v>76155</v>
          </cell>
          <cell r="K90">
            <v>76347</v>
          </cell>
          <cell r="L90">
            <v>76467</v>
          </cell>
          <cell r="M90">
            <v>76468</v>
          </cell>
          <cell r="N90">
            <v>76359.25</v>
          </cell>
          <cell r="P90">
            <v>76155</v>
          </cell>
          <cell r="Q90">
            <v>76365</v>
          </cell>
          <cell r="R90">
            <v>76946.259614014984</v>
          </cell>
          <cell r="S90">
            <v>76895</v>
          </cell>
          <cell r="T90">
            <v>76582</v>
          </cell>
          <cell r="U90">
            <v>77028</v>
          </cell>
          <cell r="V90">
            <v>76590.044999999998</v>
          </cell>
          <cell r="W90">
            <v>77907</v>
          </cell>
          <cell r="X90">
            <v>78149</v>
          </cell>
          <cell r="Y90">
            <v>77633</v>
          </cell>
          <cell r="Z90">
            <v>79023</v>
          </cell>
          <cell r="AA90">
            <v>80047.457763374972</v>
          </cell>
          <cell r="AB90">
            <v>80440.999999000007</v>
          </cell>
          <cell r="AC90">
            <v>80888</v>
          </cell>
          <cell r="AD90">
            <v>80096</v>
          </cell>
          <cell r="AE90">
            <v>81562</v>
          </cell>
          <cell r="AF90">
            <v>82947</v>
          </cell>
          <cell r="AG90">
            <v>84015</v>
          </cell>
          <cell r="AH90">
            <v>85656</v>
          </cell>
          <cell r="AI90">
            <v>83545</v>
          </cell>
          <cell r="AJ90">
            <v>88800</v>
          </cell>
          <cell r="AK90">
            <v>89476</v>
          </cell>
          <cell r="AL90">
            <v>89995</v>
          </cell>
          <cell r="AM90">
            <v>90513</v>
          </cell>
          <cell r="AN90">
            <v>89696</v>
          </cell>
          <cell r="AO90">
            <v>90940</v>
          </cell>
          <cell r="AP90">
            <v>91651</v>
          </cell>
          <cell r="AQ90">
            <v>92440</v>
          </cell>
          <cell r="AR90">
            <v>92820</v>
          </cell>
          <cell r="AS90">
            <v>91962.75</v>
          </cell>
          <cell r="AT90">
            <v>93394</v>
          </cell>
          <cell r="AU90">
            <v>93977</v>
          </cell>
          <cell r="AV90">
            <v>95210</v>
          </cell>
          <cell r="AW90">
            <v>95581</v>
          </cell>
          <cell r="AX90">
            <v>94540.5</v>
          </cell>
          <cell r="AY90">
            <v>96208</v>
          </cell>
          <cell r="AZ90">
            <v>96518</v>
          </cell>
          <cell r="BA90">
            <v>95557</v>
          </cell>
          <cell r="BB90">
            <v>95685</v>
          </cell>
          <cell r="BC90">
            <v>95992</v>
          </cell>
          <cell r="BD90">
            <v>95685</v>
          </cell>
          <cell r="BE90">
            <v>96085</v>
          </cell>
          <cell r="BF90">
            <v>96485</v>
          </cell>
          <cell r="BG90">
            <v>96885</v>
          </cell>
          <cell r="BH90">
            <v>96285</v>
          </cell>
          <cell r="BI90">
            <v>96885</v>
          </cell>
          <cell r="BJ90">
            <v>97285</v>
          </cell>
          <cell r="BK90">
            <v>97685</v>
          </cell>
          <cell r="BL90">
            <v>98085</v>
          </cell>
          <cell r="BM90">
            <v>97485</v>
          </cell>
          <cell r="BN90">
            <v>98085</v>
          </cell>
          <cell r="BO90">
            <v>98485</v>
          </cell>
          <cell r="BP90">
            <v>98885</v>
          </cell>
          <cell r="BQ90">
            <v>99285</v>
          </cell>
          <cell r="BR90">
            <v>98685</v>
          </cell>
          <cell r="CA90" t="str">
            <v>mstag:averageDilutedSharesOutstandingForFfo</v>
          </cell>
          <cell r="CB90">
            <v>3</v>
          </cell>
          <cell r="CC90" t="str">
            <v>ms_eqr_gcim_Decimal:ms_eqr_gcim_decimal</v>
          </cell>
          <cell r="CD90" t="b">
            <v>0</v>
          </cell>
          <cell r="CE90" t="b">
            <v>0</v>
          </cell>
        </row>
        <row r="92">
          <cell r="A92" t="str">
            <v>Diluted Weighted Avg. Common Shares</v>
          </cell>
          <cell r="B92">
            <v>40806</v>
          </cell>
          <cell r="D92">
            <v>55667</v>
          </cell>
          <cell r="E92">
            <v>60049</v>
          </cell>
          <cell r="F92">
            <v>63428</v>
          </cell>
          <cell r="G92">
            <v>67379</v>
          </cell>
          <cell r="H92">
            <v>61393</v>
          </cell>
          <cell r="J92">
            <v>66177</v>
          </cell>
          <cell r="K92">
            <v>67503</v>
          </cell>
          <cell r="L92">
            <v>67623</v>
          </cell>
          <cell r="M92">
            <v>67624</v>
          </cell>
          <cell r="N92">
            <v>67231.75</v>
          </cell>
          <cell r="P92">
            <v>67311</v>
          </cell>
          <cell r="Q92">
            <v>67521</v>
          </cell>
          <cell r="R92">
            <v>68102.259614014984</v>
          </cell>
          <cell r="S92">
            <v>68051</v>
          </cell>
          <cell r="T92">
            <v>67746.31490350375</v>
          </cell>
          <cell r="U92">
            <v>68510</v>
          </cell>
          <cell r="V92">
            <v>70812</v>
          </cell>
          <cell r="W92">
            <v>72128.955000000002</v>
          </cell>
          <cell r="X92">
            <v>72370.955000000002</v>
          </cell>
          <cell r="Y92">
            <v>70955.477500000008</v>
          </cell>
          <cell r="Z92">
            <v>73244.955000000002</v>
          </cell>
          <cell r="AA92">
            <v>74269.412763374974</v>
          </cell>
          <cell r="AB92">
            <v>74662.954999000009</v>
          </cell>
          <cell r="AC92">
            <v>75109.955000000002</v>
          </cell>
          <cell r="AD92">
            <v>75109.955000000002</v>
          </cell>
          <cell r="AE92">
            <v>77864</v>
          </cell>
          <cell r="AF92">
            <v>79249</v>
          </cell>
          <cell r="AG92">
            <v>80317</v>
          </cell>
          <cell r="AH92">
            <v>81958</v>
          </cell>
          <cell r="AI92">
            <v>81958</v>
          </cell>
          <cell r="AJ92">
            <v>85102</v>
          </cell>
          <cell r="AK92">
            <v>85805</v>
          </cell>
          <cell r="AL92">
            <v>86327</v>
          </cell>
          <cell r="AM92">
            <v>86845</v>
          </cell>
          <cell r="AN92">
            <v>86019.75</v>
          </cell>
          <cell r="AO92">
            <v>87274</v>
          </cell>
          <cell r="AP92">
            <v>88134</v>
          </cell>
          <cell r="AQ92">
            <v>88922</v>
          </cell>
          <cell r="AR92">
            <v>89302</v>
          </cell>
          <cell r="AS92">
            <v>88408</v>
          </cell>
          <cell r="AT92">
            <v>89876</v>
          </cell>
          <cell r="AU92">
            <v>90324</v>
          </cell>
          <cell r="AV92">
            <v>91008</v>
          </cell>
          <cell r="AW92">
            <v>91386</v>
          </cell>
          <cell r="AX92">
            <v>90648.5</v>
          </cell>
          <cell r="AY92">
            <v>92018</v>
          </cell>
          <cell r="AZ92">
            <v>92328</v>
          </cell>
          <cell r="BA92">
            <v>91367</v>
          </cell>
          <cell r="BB92">
            <v>91495</v>
          </cell>
          <cell r="BC92">
            <v>91802</v>
          </cell>
          <cell r="BD92">
            <v>91495</v>
          </cell>
          <cell r="BE92">
            <v>91895</v>
          </cell>
          <cell r="BF92">
            <v>92295</v>
          </cell>
          <cell r="BG92">
            <v>92695</v>
          </cell>
          <cell r="BH92">
            <v>92095</v>
          </cell>
          <cell r="BI92">
            <v>92695</v>
          </cell>
          <cell r="BJ92">
            <v>93095</v>
          </cell>
          <cell r="BK92">
            <v>93495</v>
          </cell>
          <cell r="BL92">
            <v>93895</v>
          </cell>
          <cell r="BM92">
            <v>93295</v>
          </cell>
          <cell r="BN92">
            <v>93895</v>
          </cell>
          <cell r="BO92">
            <v>94295</v>
          </cell>
          <cell r="BP92">
            <v>94695</v>
          </cell>
          <cell r="BQ92">
            <v>95095</v>
          </cell>
          <cell r="BR92">
            <v>94495</v>
          </cell>
          <cell r="CA92" t="str">
            <v>mstag:averageDilutedSharesOutstanding</v>
          </cell>
          <cell r="CB92">
            <v>3</v>
          </cell>
          <cell r="CC92" t="str">
            <v>ms_eqr_gcim_Decimal:ms_eqr_gcim_decimal</v>
          </cell>
          <cell r="CD92" t="b">
            <v>0</v>
          </cell>
          <cell r="CE92" t="b">
            <v>0</v>
          </cell>
        </row>
        <row r="94">
          <cell r="A94" t="str">
            <v>A = Actual; E = Morgan Stanley Estimate</v>
          </cell>
          <cell r="AX94">
            <v>-5.423072651403367E-2</v>
          </cell>
          <cell r="BC94">
            <v>1.9667112381854812E-2</v>
          </cell>
          <cell r="BH94">
            <v>-2.2220810093007692E-3</v>
          </cell>
        </row>
        <row r="96">
          <cell r="AB96">
            <v>3.3701358757650315</v>
          </cell>
          <cell r="AC96">
            <v>3.3636277687832568</v>
          </cell>
          <cell r="AE96">
            <v>3.2856187926901237</v>
          </cell>
          <cell r="AF96">
            <v>3.2946208822268295</v>
          </cell>
          <cell r="AG96">
            <v>3.2569504709381016</v>
          </cell>
          <cell r="AH96">
            <v>3.2458370889844845</v>
          </cell>
        </row>
        <row r="99">
          <cell r="A99" t="str">
            <v>Retained Capital</v>
          </cell>
        </row>
        <row r="100">
          <cell r="A100" t="str">
            <v>AFFO</v>
          </cell>
          <cell r="D100">
            <v>37070</v>
          </cell>
          <cell r="E100">
            <v>39836</v>
          </cell>
          <cell r="F100">
            <v>44067</v>
          </cell>
          <cell r="G100">
            <v>43332</v>
          </cell>
          <cell r="H100">
            <v>164305</v>
          </cell>
          <cell r="J100">
            <v>48123</v>
          </cell>
          <cell r="K100">
            <v>46370</v>
          </cell>
          <cell r="L100">
            <v>48597</v>
          </cell>
          <cell r="M100">
            <v>50722.308808516798</v>
          </cell>
          <cell r="N100">
            <v>193812.3088085168</v>
          </cell>
          <cell r="P100">
            <v>51760</v>
          </cell>
          <cell r="Q100">
            <v>47402</v>
          </cell>
          <cell r="R100">
            <v>52492</v>
          </cell>
          <cell r="S100">
            <v>49633</v>
          </cell>
          <cell r="T100">
            <v>201287</v>
          </cell>
          <cell r="U100">
            <v>57029</v>
          </cell>
          <cell r="V100">
            <v>55874</v>
          </cell>
          <cell r="W100">
            <v>56870</v>
          </cell>
          <cell r="X100">
            <v>56411</v>
          </cell>
          <cell r="Y100">
            <v>226184</v>
          </cell>
          <cell r="Z100">
            <v>51890</v>
          </cell>
          <cell r="AA100">
            <v>57484</v>
          </cell>
          <cell r="AB100">
            <v>62769</v>
          </cell>
          <cell r="AC100">
            <v>56332</v>
          </cell>
          <cell r="AD100">
            <v>228475</v>
          </cell>
          <cell r="AE100">
            <v>57307</v>
          </cell>
          <cell r="AF100">
            <v>46710</v>
          </cell>
          <cell r="AG100">
            <v>55378</v>
          </cell>
          <cell r="AH100">
            <v>54935</v>
          </cell>
          <cell r="AI100">
            <v>214330</v>
          </cell>
          <cell r="AJ100">
            <v>55657</v>
          </cell>
          <cell r="AK100">
            <v>56264</v>
          </cell>
          <cell r="AL100">
            <v>54596</v>
          </cell>
          <cell r="AM100">
            <v>52647</v>
          </cell>
          <cell r="AN100">
            <v>219164</v>
          </cell>
          <cell r="AO100">
            <v>61183</v>
          </cell>
          <cell r="AP100">
            <v>53971</v>
          </cell>
          <cell r="AQ100">
            <v>47718</v>
          </cell>
          <cell r="AR100">
            <v>51482</v>
          </cell>
          <cell r="AS100">
            <v>214354</v>
          </cell>
          <cell r="AT100">
            <v>56187.149999999994</v>
          </cell>
          <cell r="AU100">
            <v>54566.75</v>
          </cell>
          <cell r="AV100">
            <v>57890.049999999988</v>
          </cell>
          <cell r="AW100">
            <v>49795.7</v>
          </cell>
          <cell r="AX100">
            <v>218439.64999999997</v>
          </cell>
          <cell r="AY100">
            <v>57426.049999999988</v>
          </cell>
          <cell r="AZ100">
            <v>53684.100000000006</v>
          </cell>
          <cell r="BA100">
            <v>51145.8</v>
          </cell>
          <cell r="BB100">
            <v>45089.799999999988</v>
          </cell>
          <cell r="BC100">
            <v>207345.75</v>
          </cell>
          <cell r="BD100">
            <v>49628.155723008618</v>
          </cell>
          <cell r="BE100">
            <v>51007.246707632003</v>
          </cell>
          <cell r="BF100">
            <v>51116.594857929886</v>
          </cell>
          <cell r="BG100">
            <v>50355.16069500125</v>
          </cell>
          <cell r="BH100">
            <v>202107.15798357176</v>
          </cell>
          <cell r="BI100">
            <v>50289.824401676015</v>
          </cell>
          <cell r="BJ100">
            <v>50830.400116345663</v>
          </cell>
          <cell r="BK100">
            <v>51592.643279293421</v>
          </cell>
          <cell r="BL100">
            <v>52027.359296319177</v>
          </cell>
          <cell r="BM100">
            <v>204740.22709363431</v>
          </cell>
          <cell r="BN100">
            <v>52251.707455555865</v>
          </cell>
          <cell r="BO100">
            <v>52500.279768365042</v>
          </cell>
          <cell r="BP100">
            <v>52654.309481841825</v>
          </cell>
          <cell r="BQ100">
            <v>52711.181969894402</v>
          </cell>
          <cell r="BR100">
            <v>210117.47867565713</v>
          </cell>
        </row>
        <row r="101">
          <cell r="A101" t="str">
            <v>Non-Real Estate Depreciation</v>
          </cell>
          <cell r="AJ101">
            <v>752</v>
          </cell>
          <cell r="AK101">
            <v>664</v>
          </cell>
          <cell r="AL101">
            <v>657</v>
          </cell>
          <cell r="AM101">
            <v>502</v>
          </cell>
          <cell r="AO101">
            <v>402</v>
          </cell>
          <cell r="AP101">
            <v>471</v>
          </cell>
          <cell r="AQ101">
            <v>413</v>
          </cell>
          <cell r="AR101">
            <v>232</v>
          </cell>
          <cell r="AT101">
            <v>102</v>
          </cell>
          <cell r="AU101">
            <v>-486</v>
          </cell>
          <cell r="AV101">
            <v>359</v>
          </cell>
          <cell r="AW101">
            <v>-369</v>
          </cell>
          <cell r="AY101">
            <v>350</v>
          </cell>
          <cell r="AZ101">
            <v>204</v>
          </cell>
          <cell r="BA101">
            <v>-995</v>
          </cell>
          <cell r="BB101">
            <v>391</v>
          </cell>
          <cell r="BD101">
            <v>697.11749079835135</v>
          </cell>
          <cell r="BE101">
            <v>638.27266517779208</v>
          </cell>
          <cell r="BF101">
            <v>637.60267968740663</v>
          </cell>
          <cell r="BG101">
            <v>636.93269419702119</v>
          </cell>
          <cell r="BI101">
            <v>639.27764341337024</v>
          </cell>
          <cell r="BJ101">
            <v>641.62259262971929</v>
          </cell>
          <cell r="BK101">
            <v>643.96754184606834</v>
          </cell>
          <cell r="BL101">
            <v>646.31249106242467</v>
          </cell>
          <cell r="BN101">
            <v>649.32742576915916</v>
          </cell>
          <cell r="BO101">
            <v>652.34236047589366</v>
          </cell>
          <cell r="BP101">
            <v>655.35729518262815</v>
          </cell>
          <cell r="BQ101">
            <v>658.37222988936264</v>
          </cell>
        </row>
        <row r="102">
          <cell r="A102" t="str">
            <v>Dividends - Common</v>
          </cell>
          <cell r="P102">
            <v>35001.72</v>
          </cell>
          <cell r="Q102">
            <v>35110.92</v>
          </cell>
          <cell r="R102">
            <v>38818.287979988534</v>
          </cell>
          <cell r="S102">
            <v>38789.07</v>
          </cell>
          <cell r="U102">
            <v>39050.699999999997</v>
          </cell>
          <cell r="V102">
            <v>40362.839999999997</v>
          </cell>
          <cell r="W102">
            <v>42556.083449999998</v>
          </cell>
          <cell r="X102">
            <v>42698.863449999997</v>
          </cell>
          <cell r="Z102">
            <v>43214.523450000001</v>
          </cell>
          <cell r="AA102">
            <v>43818.953530391234</v>
          </cell>
          <cell r="AB102">
            <v>44797.772999400004</v>
          </cell>
          <cell r="AC102">
            <v>45065.972999999998</v>
          </cell>
          <cell r="AE102">
            <v>46718.400000000001</v>
          </cell>
          <cell r="AF102">
            <v>47549.4</v>
          </cell>
          <cell r="AG102">
            <v>48591.784999999996</v>
          </cell>
          <cell r="AH102">
            <v>49584.59</v>
          </cell>
          <cell r="AJ102">
            <v>51486.71</v>
          </cell>
          <cell r="AK102">
            <v>51912.025000000001</v>
          </cell>
          <cell r="AL102">
            <v>52659.47</v>
          </cell>
          <cell r="AM102">
            <v>52975.45</v>
          </cell>
          <cell r="AN102">
            <v>209033.65500000003</v>
          </cell>
          <cell r="AO102">
            <v>53237.14</v>
          </cell>
          <cell r="AP102">
            <v>53761.74</v>
          </cell>
          <cell r="AQ102">
            <v>54687.03</v>
          </cell>
          <cell r="AR102">
            <v>54920.729999999996</v>
          </cell>
          <cell r="AS102">
            <v>216606.64</v>
          </cell>
          <cell r="AT102">
            <v>55273.74</v>
          </cell>
          <cell r="AU102">
            <v>55549.26</v>
          </cell>
          <cell r="AV102">
            <v>58768.416000000005</v>
          </cell>
          <cell r="AW102">
            <v>59012.509500000007</v>
          </cell>
          <cell r="AX102">
            <v>228603.92550000001</v>
          </cell>
          <cell r="AY102">
            <v>59420.623500000002</v>
          </cell>
          <cell r="AZ102">
            <v>59620.806000000004</v>
          </cell>
          <cell r="BA102">
            <v>61950.252262500006</v>
          </cell>
          <cell r="BB102">
            <v>62037.041062500008</v>
          </cell>
          <cell r="BC102">
            <v>243028.722825</v>
          </cell>
          <cell r="BD102">
            <v>62037.041062500008</v>
          </cell>
          <cell r="BE102">
            <v>62308.256062500004</v>
          </cell>
          <cell r="BF102">
            <v>65708.44461562502</v>
          </cell>
          <cell r="BG102">
            <v>65993.22036562502</v>
          </cell>
          <cell r="BH102">
            <v>256046.96210625005</v>
          </cell>
          <cell r="BI102">
            <v>65993.22036562502</v>
          </cell>
          <cell r="BJ102">
            <v>66277.996115625021</v>
          </cell>
          <cell r="BK102">
            <v>69890.910458906277</v>
          </cell>
          <cell r="BL102">
            <v>70189.924996406276</v>
          </cell>
          <cell r="BM102">
            <v>272352.05193656264</v>
          </cell>
          <cell r="BN102">
            <v>70189.924996406276</v>
          </cell>
          <cell r="BO102">
            <v>70488.939533906276</v>
          </cell>
          <cell r="BP102">
            <v>74327.351774976589</v>
          </cell>
          <cell r="BQ102">
            <v>74641.31703935159</v>
          </cell>
          <cell r="BR102">
            <v>289647.53334464075</v>
          </cell>
        </row>
        <row r="103">
          <cell r="A103" t="str">
            <v>Dividends - OP</v>
          </cell>
          <cell r="AE103">
            <v>2218.7999999999997</v>
          </cell>
          <cell r="AF103">
            <v>2218.7999999999997</v>
          </cell>
          <cell r="AG103">
            <v>2237.29</v>
          </cell>
          <cell r="AH103">
            <v>2237.29</v>
          </cell>
          <cell r="AJ103">
            <v>2237.29</v>
          </cell>
          <cell r="AK103">
            <v>2220.9549999999999</v>
          </cell>
          <cell r="AL103">
            <v>2237.48</v>
          </cell>
          <cell r="AM103">
            <v>2237.48</v>
          </cell>
          <cell r="AO103">
            <v>2236.2599999999998</v>
          </cell>
          <cell r="AP103">
            <v>2145.37</v>
          </cell>
          <cell r="AQ103">
            <v>2163.5700000000002</v>
          </cell>
          <cell r="AR103">
            <v>2163.5700000000002</v>
          </cell>
          <cell r="AT103">
            <v>2163.5700000000002</v>
          </cell>
          <cell r="AU103">
            <v>2246.5949999999998</v>
          </cell>
          <cell r="AV103">
            <v>2713.4415000000004</v>
          </cell>
          <cell r="AW103">
            <v>2708.9212500000003</v>
          </cell>
          <cell r="AY103">
            <v>2705.6925000000001</v>
          </cell>
          <cell r="AZ103">
            <v>2705.6925000000001</v>
          </cell>
          <cell r="BA103">
            <v>2840.9771250000003</v>
          </cell>
          <cell r="BB103">
            <v>2840.9771250000003</v>
          </cell>
          <cell r="BD103">
            <v>2840.9771250000003</v>
          </cell>
          <cell r="BE103">
            <v>2840.9771250000003</v>
          </cell>
          <cell r="BF103">
            <v>2983.0259812500008</v>
          </cell>
          <cell r="BG103">
            <v>2983.0259812500008</v>
          </cell>
          <cell r="BI103">
            <v>2983.0259812500008</v>
          </cell>
          <cell r="BJ103">
            <v>2983.0259812500008</v>
          </cell>
          <cell r="BK103">
            <v>3132.1772803125009</v>
          </cell>
          <cell r="BL103">
            <v>3132.1772803125009</v>
          </cell>
          <cell r="BN103">
            <v>3132.1772803125009</v>
          </cell>
          <cell r="BO103">
            <v>3132.1772803125009</v>
          </cell>
          <cell r="BP103">
            <v>3288.7861443281263</v>
          </cell>
          <cell r="BQ103">
            <v>3288.7861443281263</v>
          </cell>
        </row>
        <row r="104">
          <cell r="A104" t="str">
            <v>Retained Cash</v>
          </cell>
          <cell r="P104">
            <v>16758.28</v>
          </cell>
          <cell r="Q104">
            <v>12291.080000000002</v>
          </cell>
          <cell r="R104">
            <v>13673.712020011466</v>
          </cell>
          <cell r="S104">
            <v>10843.93</v>
          </cell>
          <cell r="U104">
            <v>17978.300000000003</v>
          </cell>
          <cell r="V104">
            <v>15511.160000000003</v>
          </cell>
          <cell r="W104">
            <v>14313.916550000002</v>
          </cell>
          <cell r="X104">
            <v>13712.136550000003</v>
          </cell>
          <cell r="Z104">
            <v>8675.4765499999994</v>
          </cell>
          <cell r="AA104">
            <v>13665.046469608766</v>
          </cell>
          <cell r="AB104">
            <v>17971.227000599996</v>
          </cell>
          <cell r="AC104">
            <v>11266.027000000002</v>
          </cell>
          <cell r="AE104">
            <v>8369.7999999999993</v>
          </cell>
          <cell r="AF104">
            <v>-3058.2000000000012</v>
          </cell>
          <cell r="AG104">
            <v>4548.9250000000038</v>
          </cell>
          <cell r="AH104">
            <v>3113.1200000000035</v>
          </cell>
          <cell r="AJ104">
            <v>2685.0000000000009</v>
          </cell>
          <cell r="AK104">
            <v>2795.0199999999986</v>
          </cell>
          <cell r="AL104">
            <v>356.04999999999882</v>
          </cell>
          <cell r="AM104">
            <v>-2063.9299999999971</v>
          </cell>
          <cell r="AN104">
            <v>3772.1400000000008</v>
          </cell>
          <cell r="AO104">
            <v>6111.6</v>
          </cell>
          <cell r="AP104">
            <v>-1465.1099999999979</v>
          </cell>
          <cell r="AQ104">
            <v>-8719.5999999999985</v>
          </cell>
          <cell r="AR104">
            <v>-5370.2999999999956</v>
          </cell>
          <cell r="AS104">
            <v>-9443.4099999999926</v>
          </cell>
          <cell r="AT104">
            <v>-1148.1600000000039</v>
          </cell>
          <cell r="AU104">
            <v>-3715.1050000000018</v>
          </cell>
          <cell r="AV104">
            <v>-3232.8075000000167</v>
          </cell>
          <cell r="AW104">
            <v>-12294.73075000001</v>
          </cell>
          <cell r="AX104">
            <v>-20390.803250000034</v>
          </cell>
          <cell r="AY104">
            <v>-4350.2660000000133</v>
          </cell>
          <cell r="AZ104">
            <v>-8438.3984999999993</v>
          </cell>
          <cell r="BA104">
            <v>-14640.429387500004</v>
          </cell>
          <cell r="BB104">
            <v>-19397.218187500021</v>
          </cell>
          <cell r="BC104">
            <v>-46826.312075000038</v>
          </cell>
          <cell r="BD104">
            <v>-14552.744973693039</v>
          </cell>
          <cell r="BE104">
            <v>-13503.713814690211</v>
          </cell>
          <cell r="BF104">
            <v>-16937.273059257728</v>
          </cell>
          <cell r="BG104">
            <v>-17984.15295767675</v>
          </cell>
          <cell r="BH104">
            <v>-62977.884805317728</v>
          </cell>
          <cell r="BI104">
            <v>-18047.144301785636</v>
          </cell>
          <cell r="BJ104">
            <v>-17788.999387899639</v>
          </cell>
          <cell r="BK104">
            <v>-20786.47691807929</v>
          </cell>
          <cell r="BL104">
            <v>-20648.430489337177</v>
          </cell>
          <cell r="BM104">
            <v>-77271.051097101736</v>
          </cell>
          <cell r="BN104">
            <v>-20421.067395393755</v>
          </cell>
          <cell r="BO104">
            <v>-20468.494685377842</v>
          </cell>
          <cell r="BP104">
            <v>-24306.471142280261</v>
          </cell>
          <cell r="BQ104">
            <v>-24560.548983895951</v>
          </cell>
          <cell r="BR104">
            <v>-89756.582206947802</v>
          </cell>
        </row>
        <row r="108">
          <cell r="A108" t="str">
            <v>For Modelware</v>
          </cell>
        </row>
        <row r="109">
          <cell r="A109" t="str">
            <v>Statutory Tax Rate</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CA109" t="str">
            <v>mstag:statutoryTaxRate</v>
          </cell>
          <cell r="CB109">
            <v>0</v>
          </cell>
          <cell r="CC109" t="str">
            <v>ms_eqr_gcim_Decimal:ms_eqr_gcim_decimal</v>
          </cell>
          <cell r="CD109" t="b">
            <v>0</v>
          </cell>
          <cell r="CE109" t="b">
            <v>0</v>
          </cell>
        </row>
        <row r="110">
          <cell r="A110" t="str">
            <v>Unrecorded Goodwill from Poolings, Writeoffs, and Cumul. Amort</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CA110" t="str">
            <v>mstag:unrecordedGoodwillFromPoolingAndAmortizedOrWrittenOffGoodwill</v>
          </cell>
          <cell r="CB110">
            <v>3</v>
          </cell>
          <cell r="CC110" t="str">
            <v>ISO4217:USD</v>
          </cell>
          <cell r="CD110" t="b">
            <v>0</v>
          </cell>
          <cell r="CE110" t="b">
            <v>0</v>
          </cell>
        </row>
        <row r="111">
          <cell r="A111" t="str">
            <v>Period End Basic Shares</v>
          </cell>
          <cell r="U111">
            <v>70352.376000000004</v>
          </cell>
          <cell r="V111">
            <v>72854.23</v>
          </cell>
          <cell r="W111">
            <v>73391.502999999997</v>
          </cell>
          <cell r="X111">
            <v>74120.404999999999</v>
          </cell>
          <cell r="Y111">
            <v>72679.628499999992</v>
          </cell>
          <cell r="Z111">
            <v>74809.789000000004</v>
          </cell>
          <cell r="AA111">
            <v>75545.531000000003</v>
          </cell>
          <cell r="AB111">
            <v>76348.501999999993</v>
          </cell>
          <cell r="AC111">
            <v>77063.733999999997</v>
          </cell>
          <cell r="AD111">
            <v>75941.888999999996</v>
          </cell>
          <cell r="AE111">
            <v>78388.17</v>
          </cell>
          <cell r="AF111">
            <v>79254.820000000007</v>
          </cell>
          <cell r="AG111">
            <v>80121.3</v>
          </cell>
          <cell r="AH111">
            <v>83610.528000000006</v>
          </cell>
          <cell r="AI111">
            <v>80343.704499999993</v>
          </cell>
          <cell r="AJ111">
            <v>85102</v>
          </cell>
          <cell r="AK111">
            <v>85805</v>
          </cell>
          <cell r="AL111">
            <v>86327</v>
          </cell>
          <cell r="AM111">
            <v>86845</v>
          </cell>
          <cell r="AN111">
            <v>86019.75</v>
          </cell>
          <cell r="AO111">
            <v>87274</v>
          </cell>
          <cell r="AP111">
            <v>88134</v>
          </cell>
          <cell r="AQ111">
            <v>88922</v>
          </cell>
          <cell r="AR111">
            <v>89302</v>
          </cell>
          <cell r="AS111">
            <v>88408</v>
          </cell>
          <cell r="AT111">
            <v>89876</v>
          </cell>
          <cell r="AU111">
            <v>90324</v>
          </cell>
          <cell r="AV111">
            <v>91008</v>
          </cell>
          <cell r="AW111">
            <v>91386</v>
          </cell>
          <cell r="AX111">
            <v>90648.5</v>
          </cell>
          <cell r="AY111">
            <v>92018</v>
          </cell>
          <cell r="AZ111">
            <v>92328</v>
          </cell>
          <cell r="BA111">
            <v>91367</v>
          </cell>
          <cell r="BB111">
            <v>91495</v>
          </cell>
          <cell r="BC111">
            <v>91802</v>
          </cell>
          <cell r="BD111">
            <v>91495</v>
          </cell>
          <cell r="BE111">
            <v>91895</v>
          </cell>
          <cell r="BF111">
            <v>92295</v>
          </cell>
          <cell r="BG111">
            <v>92695</v>
          </cell>
          <cell r="BH111">
            <v>92095</v>
          </cell>
          <cell r="BI111">
            <v>92695</v>
          </cell>
          <cell r="BJ111">
            <v>93095</v>
          </cell>
          <cell r="BK111">
            <v>93495</v>
          </cell>
          <cell r="BL111">
            <v>93895</v>
          </cell>
          <cell r="BM111">
            <v>93295</v>
          </cell>
          <cell r="BN111">
            <v>93895</v>
          </cell>
          <cell r="BO111">
            <v>94295</v>
          </cell>
          <cell r="BP111">
            <v>94695</v>
          </cell>
          <cell r="BQ111">
            <v>95095</v>
          </cell>
          <cell r="BR111">
            <v>94495</v>
          </cell>
          <cell r="CA111" t="str">
            <v>mstag:periodEndBasicSharesOutstanding</v>
          </cell>
          <cell r="CB111">
            <v>3</v>
          </cell>
          <cell r="CC111" t="str">
            <v>ms_eqr_gcim_Decimal:ms_eqr_gcim_decimal</v>
          </cell>
          <cell r="CD111" t="b">
            <v>0</v>
          </cell>
          <cell r="CE111" t="b">
            <v>0</v>
          </cell>
        </row>
        <row r="112">
          <cell r="A112" t="str">
            <v>Period End Diluted Shares</v>
          </cell>
          <cell r="AE112">
            <v>77292</v>
          </cell>
          <cell r="AF112">
            <v>78643</v>
          </cell>
          <cell r="AG112">
            <v>79613</v>
          </cell>
          <cell r="AH112">
            <v>83013</v>
          </cell>
          <cell r="AI112">
            <v>83013</v>
          </cell>
          <cell r="AJ112">
            <v>84224</v>
          </cell>
          <cell r="AK112">
            <v>84750</v>
          </cell>
          <cell r="AL112">
            <v>85255</v>
          </cell>
          <cell r="AM112">
            <v>85675</v>
          </cell>
          <cell r="AN112">
            <v>85675</v>
          </cell>
          <cell r="AO112">
            <v>86398</v>
          </cell>
          <cell r="AP112">
            <v>87369</v>
          </cell>
          <cell r="AQ112">
            <v>87809</v>
          </cell>
          <cell r="AR112">
            <v>88357</v>
          </cell>
          <cell r="AS112">
            <v>88357</v>
          </cell>
          <cell r="AT112">
            <v>88799</v>
          </cell>
          <cell r="AU112">
            <v>90100</v>
          </cell>
          <cell r="AV112">
            <v>90112</v>
          </cell>
          <cell r="AW112">
            <v>90909</v>
          </cell>
          <cell r="AX112">
            <v>90909</v>
          </cell>
          <cell r="AY112">
            <v>91639</v>
          </cell>
          <cell r="AZ112">
            <v>91234</v>
          </cell>
          <cell r="BA112">
            <v>91367</v>
          </cell>
          <cell r="BB112">
            <v>91495</v>
          </cell>
          <cell r="BC112">
            <v>91495</v>
          </cell>
          <cell r="BD112">
            <v>91495</v>
          </cell>
          <cell r="BE112">
            <v>91895</v>
          </cell>
          <cell r="BF112">
            <v>92295</v>
          </cell>
          <cell r="BG112">
            <v>92695</v>
          </cell>
          <cell r="BH112">
            <v>92695</v>
          </cell>
          <cell r="BI112">
            <v>92695</v>
          </cell>
          <cell r="BJ112">
            <v>93095</v>
          </cell>
          <cell r="BK112">
            <v>93495</v>
          </cell>
          <cell r="BL112">
            <v>93895</v>
          </cell>
          <cell r="BM112">
            <v>93895</v>
          </cell>
          <cell r="BN112">
            <v>93895</v>
          </cell>
          <cell r="BO112">
            <v>94295</v>
          </cell>
          <cell r="BP112">
            <v>94695</v>
          </cell>
          <cell r="BQ112">
            <v>95095</v>
          </cell>
          <cell r="BR112">
            <v>95095</v>
          </cell>
          <cell r="CA112" t="str">
            <v>mstag:periodEndDilutedSharesOutstanding</v>
          </cell>
          <cell r="CB112">
            <v>3</v>
          </cell>
          <cell r="CC112" t="str">
            <v>ms_eqr_gcim_Decimal:ms_eqr_gcim_decimal</v>
          </cell>
          <cell r="CD112" t="b">
            <v>0</v>
          </cell>
          <cell r="CE112" t="b">
            <v>0</v>
          </cell>
        </row>
        <row r="113">
          <cell r="A113" t="str">
            <v>JV depreciation - to fix 2004 MW audit</v>
          </cell>
          <cell r="AE113">
            <v>-166</v>
          </cell>
          <cell r="AF113">
            <v>-161</v>
          </cell>
          <cell r="AG113">
            <v>-168</v>
          </cell>
          <cell r="AH113">
            <v>-168</v>
          </cell>
          <cell r="AI113">
            <v>-663</v>
          </cell>
          <cell r="AJ113">
            <v>-886</v>
          </cell>
          <cell r="AK113">
            <v>-558</v>
          </cell>
          <cell r="AL113">
            <v>-567</v>
          </cell>
          <cell r="AM113">
            <v>-555</v>
          </cell>
          <cell r="AN113">
            <v>-2566</v>
          </cell>
          <cell r="CA113" t="str">
            <v>mstag:otherJointVenureNetIncome</v>
          </cell>
          <cell r="CB113">
            <v>3</v>
          </cell>
          <cell r="CC113" t="str">
            <v>ISO4217:USD</v>
          </cell>
          <cell r="CD113" t="b">
            <v>1</v>
          </cell>
          <cell r="CE113" t="b">
            <v>0</v>
          </cell>
        </row>
      </sheetData>
      <sheetData sheetId="9" refreshError="1"/>
      <sheetData sheetId="10" refreshError="1">
        <row r="1">
          <cell r="A1" t="str">
            <v>Liberty Property Trust (LRY)</v>
          </cell>
          <cell r="H1" t="str">
            <v>Matt Ostrower</v>
          </cell>
        </row>
        <row r="2">
          <cell r="A2" t="str">
            <v>3Q07 Earnings Variance Analysis Worksheet</v>
          </cell>
          <cell r="H2" t="str">
            <v>Morgan Stanley REIT Research Team</v>
          </cell>
        </row>
        <row r="3">
          <cell r="A3" t="str">
            <v>($ in Thousands, Except per Share Amounts)</v>
          </cell>
          <cell r="H3" t="str">
            <v>(212) 761-6284   Matthew.Ostrower@morganstanley.com</v>
          </cell>
        </row>
        <row r="5">
          <cell r="B5">
            <v>54</v>
          </cell>
          <cell r="C5">
            <v>54</v>
          </cell>
          <cell r="G5">
            <v>49</v>
          </cell>
          <cell r="H5">
            <v>53</v>
          </cell>
        </row>
        <row r="7">
          <cell r="B7" t="str">
            <v>MS</v>
          </cell>
          <cell r="C7" t="str">
            <v>Reported</v>
          </cell>
          <cell r="E7" t="str">
            <v>Per Share</v>
          </cell>
        </row>
        <row r="8">
          <cell r="A8" t="str">
            <v>Year Ends December 31</v>
          </cell>
          <cell r="B8" t="str">
            <v>4Q07E</v>
          </cell>
          <cell r="C8" t="str">
            <v>4Q07A</v>
          </cell>
          <cell r="D8" t="str">
            <v>Variance</v>
          </cell>
          <cell r="E8" t="str">
            <v>Impact</v>
          </cell>
          <cell r="F8" t="str">
            <v>Comments</v>
          </cell>
          <cell r="G8" t="str">
            <v>4Q06A</v>
          </cell>
          <cell r="H8" t="str">
            <v>3Q07A</v>
          </cell>
        </row>
        <row r="9">
          <cell r="A9" t="str">
            <v>Op Exp Reimbursements as % of Total Exps</v>
          </cell>
          <cell r="B9">
            <v>0.94</v>
          </cell>
          <cell r="C9">
            <v>0.94530173138342577</v>
          </cell>
          <cell r="G9">
            <v>0.96762052165960211</v>
          </cell>
          <cell r="H9">
            <v>0.94130049610205524</v>
          </cell>
        </row>
        <row r="10">
          <cell r="A10" t="str">
            <v>Rental Property Expenses as % of Rental Revenue</v>
          </cell>
          <cell r="B10">
            <v>0.31</v>
          </cell>
          <cell r="C10">
            <v>0.30022303708464071</v>
          </cell>
          <cell r="G10">
            <v>0.30994481547155428</v>
          </cell>
          <cell r="H10">
            <v>0.29521724486359041</v>
          </cell>
        </row>
        <row r="11">
          <cell r="A11" t="str">
            <v>Real Estate Taxes as % of Rental Revenue</v>
          </cell>
          <cell r="B11">
            <v>0.16</v>
          </cell>
          <cell r="C11">
            <v>0.14955581597550371</v>
          </cell>
          <cell r="G11">
            <v>0.16117030972938037</v>
          </cell>
          <cell r="H11">
            <v>0.15739626938683859</v>
          </cell>
        </row>
        <row r="12">
          <cell r="A12" t="str">
            <v>G&amp;A Expenses as % of NOI</v>
          </cell>
          <cell r="B12">
            <v>0.11219243549222289</v>
          </cell>
          <cell r="C12">
            <v>0.11304545097335633</v>
          </cell>
          <cell r="G12">
            <v>0.103761584665297</v>
          </cell>
          <cell r="H12">
            <v>0.1057659927410604</v>
          </cell>
        </row>
        <row r="13">
          <cell r="A13" t="str">
            <v>Interest &amp; Other Income as % of NOI</v>
          </cell>
          <cell r="B13">
            <v>2.6626837283988413E-2</v>
          </cell>
          <cell r="C13">
            <v>2.8921189942750725E-2</v>
          </cell>
          <cell r="G13">
            <v>2.1714082218538027E-2</v>
          </cell>
          <cell r="H13">
            <v>2.0406463602505264E-2</v>
          </cell>
        </row>
        <row r="15">
          <cell r="A15" t="str">
            <v>Revenue</v>
          </cell>
        </row>
        <row r="16">
          <cell r="A16" t="str">
            <v>Rental</v>
          </cell>
          <cell r="B16">
            <v>124013.67299999998</v>
          </cell>
          <cell r="C16">
            <v>132265</v>
          </cell>
          <cell r="D16">
            <v>8251.3270000000193</v>
          </cell>
          <cell r="E16">
            <v>8.6234279145111767E-2</v>
          </cell>
          <cell r="G16">
            <v>120686</v>
          </cell>
          <cell r="H16">
            <v>124698</v>
          </cell>
        </row>
        <row r="17">
          <cell r="A17" t="str">
            <v>Operating Expense Reimbursement</v>
          </cell>
          <cell r="B17">
            <v>54789.240731399994</v>
          </cell>
          <cell r="C17">
            <v>56236</v>
          </cell>
          <cell r="D17">
            <v>1446.7592686000062</v>
          </cell>
          <cell r="E17">
            <v>1.5120021618853594E-2</v>
          </cell>
          <cell r="G17">
            <v>55016</v>
          </cell>
          <cell r="H17">
            <v>53127</v>
          </cell>
        </row>
        <row r="18">
          <cell r="A18" t="str">
            <v>Total Revenue</v>
          </cell>
          <cell r="B18">
            <v>178802.91373139998</v>
          </cell>
          <cell r="C18">
            <v>188501</v>
          </cell>
          <cell r="D18">
            <v>9698.0862686000182</v>
          </cell>
          <cell r="E18">
            <v>0.10135430076396529</v>
          </cell>
          <cell r="G18">
            <v>175702</v>
          </cell>
          <cell r="H18">
            <v>177825</v>
          </cell>
        </row>
        <row r="20">
          <cell r="A20" t="str">
            <v>Expenses</v>
          </cell>
        </row>
        <row r="21">
          <cell r="A21" t="str">
            <v>Rental Property Expenses</v>
          </cell>
          <cell r="B21">
            <v>38444.238629999993</v>
          </cell>
          <cell r="C21">
            <v>39709</v>
          </cell>
          <cell r="D21">
            <v>-1264.7613700000074</v>
          </cell>
          <cell r="E21">
            <v>-1.3217969065161806E-2</v>
          </cell>
          <cell r="G21">
            <v>37406</v>
          </cell>
          <cell r="H21">
            <v>36813</v>
          </cell>
        </row>
        <row r="22">
          <cell r="A22" t="str">
            <v>Real Estate Taxes</v>
          </cell>
          <cell r="B22">
            <v>19842.187679999999</v>
          </cell>
          <cell r="C22">
            <v>19781</v>
          </cell>
          <cell r="D22">
            <v>61.187679999999091</v>
          </cell>
          <cell r="E22">
            <v>6.3946992736582632E-4</v>
          </cell>
          <cell r="G22">
            <v>19451</v>
          </cell>
          <cell r="H22">
            <v>19627</v>
          </cell>
        </row>
        <row r="23">
          <cell r="A23" t="str">
            <v>Total Expenses</v>
          </cell>
          <cell r="B23">
            <v>58286.426309999995</v>
          </cell>
          <cell r="C23">
            <v>59490</v>
          </cell>
          <cell r="D23">
            <v>-1203.5736900000047</v>
          </cell>
          <cell r="E23">
            <v>-1.2578499137795941E-2</v>
          </cell>
          <cell r="G23">
            <v>56857</v>
          </cell>
          <cell r="H23">
            <v>56440</v>
          </cell>
        </row>
        <row r="25">
          <cell r="A25" t="str">
            <v>NOI of JVs</v>
          </cell>
          <cell r="B25">
            <v>2918.2435000000005</v>
          </cell>
          <cell r="C25">
            <v>5872.8</v>
          </cell>
          <cell r="D25">
            <v>2954.5564999999997</v>
          </cell>
          <cell r="E25">
            <v>3.0877948476772742E-2</v>
          </cell>
          <cell r="G25">
            <v>2182.4499999999998</v>
          </cell>
          <cell r="H25">
            <v>2889.3500000000004</v>
          </cell>
        </row>
        <row r="26">
          <cell r="A26" t="str">
            <v>Equity in earnings of uncon. JV</v>
          </cell>
          <cell r="B26">
            <v>0</v>
          </cell>
          <cell r="C26">
            <v>0</v>
          </cell>
          <cell r="D26">
            <v>0</v>
          </cell>
          <cell r="E26">
            <v>0</v>
          </cell>
          <cell r="G26">
            <v>0</v>
          </cell>
          <cell r="H26">
            <v>0</v>
          </cell>
        </row>
        <row r="27">
          <cell r="A27" t="str">
            <v>Acquisition &amp; Development NOI</v>
          </cell>
          <cell r="B27">
            <v>8138.956112279413</v>
          </cell>
          <cell r="C27">
            <v>0</v>
          </cell>
          <cell r="D27">
            <v>-8138.956112279413</v>
          </cell>
          <cell r="E27">
            <v>-8.5059895618742887E-2</v>
          </cell>
          <cell r="G27">
            <v>0</v>
          </cell>
          <cell r="H27">
            <v>0</v>
          </cell>
        </row>
        <row r="28">
          <cell r="A28" t="str">
            <v>Net Operating Income</v>
          </cell>
          <cell r="B28">
            <v>131573.68703367939</v>
          </cell>
          <cell r="C28">
            <v>134883.79999999999</v>
          </cell>
          <cell r="D28">
            <v>3310.1129663205938</v>
          </cell>
          <cell r="E28">
            <v>3.4593854484199132E-2</v>
          </cell>
          <cell r="G28">
            <v>121027.45</v>
          </cell>
          <cell r="H28">
            <v>124274.35</v>
          </cell>
        </row>
        <row r="30">
          <cell r="A30" t="str">
            <v>General and Administrative</v>
          </cell>
          <cell r="B30">
            <v>14761.572394999999</v>
          </cell>
          <cell r="C30">
            <v>15248</v>
          </cell>
          <cell r="D30">
            <v>-486.42760500000077</v>
          </cell>
          <cell r="E30">
            <v>-5.0836348957516934E-3</v>
          </cell>
          <cell r="G30">
            <v>12558</v>
          </cell>
          <cell r="H30">
            <v>13144</v>
          </cell>
        </row>
        <row r="32">
          <cell r="A32" t="str">
            <v>EBITDA</v>
          </cell>
          <cell r="B32">
            <v>116812.1146386794</v>
          </cell>
          <cell r="C32">
            <v>119635.79999999999</v>
          </cell>
          <cell r="D32">
            <v>2823.6853613205894</v>
          </cell>
          <cell r="E32">
            <v>2.9510219588447399E-2</v>
          </cell>
          <cell r="G32">
            <v>108469.45</v>
          </cell>
          <cell r="H32">
            <v>111130.35</v>
          </cell>
        </row>
        <row r="34">
          <cell r="A34" t="str">
            <v>Interest Expense - consolidated</v>
          </cell>
          <cell r="B34">
            <v>36726.114212623273</v>
          </cell>
          <cell r="C34">
            <v>40110</v>
          </cell>
          <cell r="D34">
            <v>-3383.8857873767265</v>
          </cell>
          <cell r="E34">
            <v>-3.5364851203184687E-2</v>
          </cell>
          <cell r="G34">
            <v>30456</v>
          </cell>
          <cell r="H34">
            <v>33521</v>
          </cell>
        </row>
        <row r="35">
          <cell r="A35" t="str">
            <v>Interest Expense - unconsolidated</v>
          </cell>
          <cell r="B35">
            <v>-1784.55</v>
          </cell>
          <cell r="C35">
            <v>-3580.9999999999995</v>
          </cell>
          <cell r="D35">
            <v>-1796.4499999999996</v>
          </cell>
          <cell r="E35">
            <v>-1.8774625071850338E-2</v>
          </cell>
        </row>
        <row r="36">
          <cell r="A36" t="str">
            <v>Depreciation and Amort.</v>
          </cell>
          <cell r="B36">
            <v>42142.418578782017</v>
          </cell>
          <cell r="C36">
            <v>44520</v>
          </cell>
          <cell r="D36">
            <v>-2377.581421217983</v>
          </cell>
          <cell r="E36">
            <v>-2.4848005656246883E-2</v>
          </cell>
          <cell r="G36">
            <v>37433</v>
          </cell>
          <cell r="H36">
            <v>40720</v>
          </cell>
        </row>
        <row r="37">
          <cell r="A37" t="str">
            <v>JV Depreciation and Amort.</v>
          </cell>
          <cell r="B37">
            <v>-1134</v>
          </cell>
          <cell r="C37">
            <v>-3675</v>
          </cell>
          <cell r="D37">
            <v>2541</v>
          </cell>
          <cell r="E37">
            <v>2.6555886502586612E-2</v>
          </cell>
        </row>
        <row r="38">
          <cell r="A38" t="str">
            <v>Gain (Loss) on Sale - consolidated</v>
          </cell>
          <cell r="B38">
            <v>10000</v>
          </cell>
          <cell r="C38">
            <v>-115</v>
          </cell>
          <cell r="D38">
            <v>-10115</v>
          </cell>
          <cell r="E38">
            <v>-0.10571144902544809</v>
          </cell>
          <cell r="G38">
            <v>4517</v>
          </cell>
          <cell r="H38">
            <v>1157</v>
          </cell>
        </row>
        <row r="39">
          <cell r="A39" t="str">
            <v>Gain (Loss) on Sale - JVs</v>
          </cell>
          <cell r="B39">
            <v>0</v>
          </cell>
          <cell r="C39">
            <v>131</v>
          </cell>
          <cell r="D39">
            <v>-131</v>
          </cell>
          <cell r="E39">
            <v>-1.3690756126874641E-3</v>
          </cell>
        </row>
        <row r="40">
          <cell r="A40" t="str">
            <v>Interest &amp; Other Income</v>
          </cell>
          <cell r="B40">
            <v>3503.3911555001973</v>
          </cell>
          <cell r="C40">
            <v>3901</v>
          </cell>
          <cell r="D40">
            <v>397.60884449980267</v>
          </cell>
          <cell r="E40">
            <v>4.1553936823932975E-3</v>
          </cell>
          <cell r="G40">
            <v>2628</v>
          </cell>
          <cell r="H40">
            <v>2536</v>
          </cell>
        </row>
        <row r="41">
          <cell r="A41" t="str">
            <v>Int. &amp; Amort. of Exchangeable Sub. Deb.</v>
          </cell>
          <cell r="B41">
            <v>0</v>
          </cell>
          <cell r="C41">
            <v>0</v>
          </cell>
          <cell r="D41">
            <v>0</v>
          </cell>
          <cell r="E41">
            <v>0</v>
          </cell>
          <cell r="G41">
            <v>0</v>
          </cell>
          <cell r="H41">
            <v>0</v>
          </cell>
        </row>
        <row r="42">
          <cell r="A42" t="str">
            <v>Income Bef. Min. Interest</v>
          </cell>
          <cell r="B42">
            <v>48528.423002774303</v>
          </cell>
          <cell r="C42">
            <v>31666.799999999988</v>
          </cell>
          <cell r="D42">
            <v>-16861.623002774315</v>
          </cell>
          <cell r="E42">
            <v>-0.17622012857578842</v>
          </cell>
          <cell r="G42">
            <v>45724.7</v>
          </cell>
          <cell r="H42">
            <v>37663.800000000003</v>
          </cell>
        </row>
        <row r="43">
          <cell r="A43" t="str">
            <v>Minority Interest In Earnings</v>
          </cell>
          <cell r="B43">
            <v>-7371.8876033705128</v>
          </cell>
          <cell r="C43">
            <v>-6470</v>
          </cell>
          <cell r="D43">
            <v>901.88760337051281</v>
          </cell>
          <cell r="E43">
            <v>9.4255902531275824E-3</v>
          </cell>
          <cell r="G43">
            <v>-5146</v>
          </cell>
          <cell r="H43">
            <v>-5703</v>
          </cell>
        </row>
        <row r="44">
          <cell r="A44" t="str">
            <v>Income taxes</v>
          </cell>
          <cell r="B44">
            <v>-213</v>
          </cell>
          <cell r="C44">
            <v>201</v>
          </cell>
          <cell r="D44">
            <v>414</v>
          </cell>
          <cell r="E44">
            <v>4.3266969744474052E-3</v>
          </cell>
          <cell r="G44">
            <v>-303</v>
          </cell>
          <cell r="H44">
            <v>1022</v>
          </cell>
        </row>
        <row r="45">
          <cell r="A45" t="str">
            <v>Preferred Share Dividend</v>
          </cell>
          <cell r="B45">
            <v>0</v>
          </cell>
          <cell r="C45">
            <v>0</v>
          </cell>
          <cell r="D45">
            <v>0</v>
          </cell>
          <cell r="E45">
            <v>0</v>
          </cell>
          <cell r="G45">
            <v>0</v>
          </cell>
          <cell r="H45">
            <v>0</v>
          </cell>
        </row>
        <row r="46">
          <cell r="A46" t="str">
            <v>Other Gains/(Losses)</v>
          </cell>
          <cell r="B46">
            <v>-967</v>
          </cell>
          <cell r="C46">
            <v>-72</v>
          </cell>
          <cell r="D46">
            <v>895</v>
          </cell>
          <cell r="E46">
            <v>9.3536081935517591E-3</v>
          </cell>
          <cell r="G46">
            <v>-4146</v>
          </cell>
          <cell r="H46">
            <v>-967</v>
          </cell>
        </row>
        <row r="47">
          <cell r="A47" t="str">
            <v>Discontinued ops net of minority interest (excluding gains)</v>
          </cell>
          <cell r="B47">
            <v>1013</v>
          </cell>
          <cell r="C47">
            <v>962</v>
          </cell>
          <cell r="D47">
            <v>-51</v>
          </cell>
          <cell r="E47">
            <v>-5.3299890264931805E-4</v>
          </cell>
          <cell r="G47">
            <v>-348</v>
          </cell>
          <cell r="H47">
            <v>1013</v>
          </cell>
        </row>
        <row r="48">
          <cell r="A48" t="str">
            <v>Discontinued op. gains</v>
          </cell>
          <cell r="B48">
            <v>0</v>
          </cell>
          <cell r="C48">
            <v>9244</v>
          </cell>
          <cell r="D48">
            <v>9244</v>
          </cell>
          <cell r="E48">
            <v>9.6608663844907766E-2</v>
          </cell>
          <cell r="G48">
            <v>25032</v>
          </cell>
          <cell r="H48">
            <v>4145</v>
          </cell>
        </row>
        <row r="49">
          <cell r="A49" t="str">
            <v>Impairment charge</v>
          </cell>
          <cell r="B49">
            <v>-22500</v>
          </cell>
          <cell r="C49">
            <v>0</v>
          </cell>
          <cell r="D49">
            <v>22500</v>
          </cell>
          <cell r="E49">
            <v>0.23514657469822856</v>
          </cell>
        </row>
        <row r="50">
          <cell r="A50" t="str">
            <v>Extraordinary Item</v>
          </cell>
          <cell r="B50">
            <v>0</v>
          </cell>
          <cell r="C50">
            <v>0</v>
          </cell>
          <cell r="D50">
            <v>0</v>
          </cell>
          <cell r="E50">
            <v>0</v>
          </cell>
          <cell r="G50">
            <v>0</v>
          </cell>
          <cell r="H50">
            <v>0</v>
          </cell>
        </row>
        <row r="51">
          <cell r="A51" t="str">
            <v>Net Income Available to Common SH</v>
          </cell>
          <cell r="B51">
            <v>18489.535399403787</v>
          </cell>
          <cell r="C51">
            <v>35531.799999999988</v>
          </cell>
          <cell r="D51">
            <v>17042.264600596201</v>
          </cell>
          <cell r="E51">
            <v>0.17810800648582539</v>
          </cell>
          <cell r="G51">
            <v>60813.7</v>
          </cell>
          <cell r="H51">
            <v>37173.800000000003</v>
          </cell>
        </row>
        <row r="52">
          <cell r="A52" t="str">
            <v>Adjustment: OP Minority Interest</v>
          </cell>
          <cell r="B52">
            <v>2119.0126033705133</v>
          </cell>
          <cell r="C52">
            <v>1629</v>
          </cell>
          <cell r="D52">
            <v>-490.01260337051326</v>
          </cell>
          <cell r="E52">
            <v>-5.1211015662905712E-3</v>
          </cell>
          <cell r="G52">
            <v>2805</v>
          </cell>
          <cell r="H52">
            <v>1705</v>
          </cell>
        </row>
        <row r="53">
          <cell r="A53" t="str">
            <v>Adjustment: Gains and Extraordinary Items</v>
          </cell>
          <cell r="B53">
            <v>10000</v>
          </cell>
          <cell r="C53">
            <v>16</v>
          </cell>
          <cell r="D53">
            <v>-9984</v>
          </cell>
          <cell r="E53">
            <v>-0.10434237341276062</v>
          </cell>
          <cell r="G53">
            <v>4517</v>
          </cell>
          <cell r="H53">
            <v>1157</v>
          </cell>
        </row>
        <row r="54">
          <cell r="A54" t="str">
            <v>Normalized Earnings</v>
          </cell>
          <cell r="B54">
            <v>10608.5480027743</v>
          </cell>
          <cell r="C54">
            <v>37144.799999999988</v>
          </cell>
          <cell r="D54">
            <v>26536.251997225689</v>
          </cell>
          <cell r="E54">
            <v>0.27732927833229543</v>
          </cell>
          <cell r="G54">
            <v>59101.7</v>
          </cell>
          <cell r="H54">
            <v>37721.800000000003</v>
          </cell>
        </row>
        <row r="56">
          <cell r="A56" t="str">
            <v>Adjustments</v>
          </cell>
        </row>
        <row r="57">
          <cell r="A57" t="str">
            <v>Depreciation and Amortization</v>
          </cell>
          <cell r="B57">
            <v>41478.883824796496</v>
          </cell>
          <cell r="C57">
            <v>44129</v>
          </cell>
          <cell r="D57">
            <v>2650.1161752035041</v>
          </cell>
          <cell r="E57">
            <v>2.7696255162287759E-2</v>
          </cell>
          <cell r="G57">
            <v>37802</v>
          </cell>
          <cell r="H57">
            <v>41715</v>
          </cell>
        </row>
        <row r="58">
          <cell r="A58" t="str">
            <v>D&amp;A from unconsol. JVs</v>
          </cell>
          <cell r="B58">
            <v>1134</v>
          </cell>
          <cell r="C58">
            <v>3675</v>
          </cell>
          <cell r="D58">
            <v>2541</v>
          </cell>
          <cell r="E58">
            <v>2.6555886502586612E-2</v>
          </cell>
          <cell r="G58">
            <v>763</v>
          </cell>
          <cell r="H58">
            <v>1134</v>
          </cell>
        </row>
        <row r="59">
          <cell r="A59" t="str">
            <v>Gain (Loss) on Property Dispositions</v>
          </cell>
          <cell r="B59">
            <v>-10000</v>
          </cell>
          <cell r="C59">
            <v>-9260</v>
          </cell>
          <cell r="D59">
            <v>740</v>
          </cell>
          <cell r="E59">
            <v>7.7337095678528507E-3</v>
          </cell>
          <cell r="G59">
            <v>-29549</v>
          </cell>
          <cell r="H59">
            <v>-5302</v>
          </cell>
        </row>
        <row r="60">
          <cell r="A60" t="str">
            <v>Min. Int. in Income/(Loss), excl. pref unit dist.</v>
          </cell>
          <cell r="B60">
            <v>2119.0126033705133</v>
          </cell>
          <cell r="C60">
            <v>1629</v>
          </cell>
          <cell r="D60">
            <v>-490.01260337051326</v>
          </cell>
          <cell r="E60">
            <v>-5.1211015662905712E-3</v>
          </cell>
          <cell r="G60">
            <v>2805</v>
          </cell>
          <cell r="H60">
            <v>1705</v>
          </cell>
        </row>
        <row r="61">
          <cell r="A61" t="str">
            <v>Other Adjustments</v>
          </cell>
          <cell r="B61">
            <v>0</v>
          </cell>
          <cell r="C61">
            <v>0</v>
          </cell>
          <cell r="D61">
            <v>0</v>
          </cell>
          <cell r="E61">
            <v>0</v>
          </cell>
          <cell r="G61">
            <v>0</v>
          </cell>
          <cell r="H61">
            <v>0</v>
          </cell>
        </row>
        <row r="62">
          <cell r="A62" t="str">
            <v>Int. &amp; Amort. of Exchangeable Sub. Deb.</v>
          </cell>
          <cell r="B62">
            <v>0</v>
          </cell>
          <cell r="C62">
            <v>0</v>
          </cell>
          <cell r="D62">
            <v>0</v>
          </cell>
          <cell r="E62">
            <v>0</v>
          </cell>
          <cell r="G62">
            <v>0</v>
          </cell>
          <cell r="H62">
            <v>0</v>
          </cell>
        </row>
        <row r="63">
          <cell r="A63" t="str">
            <v>Funds From Operations</v>
          </cell>
          <cell r="B63">
            <v>53221.431827570799</v>
          </cell>
          <cell r="C63">
            <v>75704.799999999988</v>
          </cell>
          <cell r="D63">
            <v>22483.368172429189</v>
          </cell>
          <cell r="E63">
            <v>0.23497275615226199</v>
          </cell>
          <cell r="G63">
            <v>72634.7</v>
          </cell>
          <cell r="H63">
            <v>76425.8</v>
          </cell>
        </row>
        <row r="65">
          <cell r="A65" t="str">
            <v>Straight-lining Adjustment</v>
          </cell>
          <cell r="B65">
            <v>-3985.0810565073907</v>
          </cell>
          <cell r="C65">
            <v>-9005</v>
          </cell>
          <cell r="D65">
            <v>-5019.9189434926093</v>
          </cell>
          <cell r="E65">
            <v>-5.2462966436668333E-2</v>
          </cell>
          <cell r="G65">
            <v>-2537</v>
          </cell>
          <cell r="H65">
            <v>-3764</v>
          </cell>
        </row>
        <row r="66">
          <cell r="A66" t="str">
            <v>Tenant Improvements &amp; LC's</v>
          </cell>
          <cell r="B66">
            <v>-16808.48747425912</v>
          </cell>
          <cell r="C66">
            <v>-16334</v>
          </cell>
          <cell r="D66">
            <v>474.48747425912006</v>
          </cell>
          <cell r="E66">
            <v>4.9588490804109327E-3</v>
          </cell>
          <cell r="G66">
            <v>-15306</v>
          </cell>
          <cell r="H66">
            <v>-15876</v>
          </cell>
        </row>
        <row r="67">
          <cell r="A67" t="str">
            <v>Non-reimbursed Capital Expenditures</v>
          </cell>
          <cell r="B67">
            <v>-5971.2691707496497</v>
          </cell>
          <cell r="C67">
            <v>-5276</v>
          </cell>
          <cell r="D67">
            <v>695.26917074964967</v>
          </cell>
          <cell r="E67">
            <v>7.2662295108914636E-3</v>
          </cell>
          <cell r="G67">
            <v>-4996</v>
          </cell>
          <cell r="H67">
            <v>-5640</v>
          </cell>
        </row>
        <row r="68">
          <cell r="A68" t="str">
            <v>Adjusted Funds From Operations</v>
          </cell>
          <cell r="B68">
            <v>26456.594126054639</v>
          </cell>
          <cell r="C68">
            <v>45089.799999999988</v>
          </cell>
          <cell r="D68">
            <v>18633.20587394535</v>
          </cell>
          <cell r="E68">
            <v>0.19473486830689607</v>
          </cell>
          <cell r="G68">
            <v>49795.7</v>
          </cell>
          <cell r="H68">
            <v>51145.8</v>
          </cell>
        </row>
        <row r="71">
          <cell r="A71" t="str">
            <v>Net Income Per Share</v>
          </cell>
          <cell r="B71">
            <v>0.20148348970113208</v>
          </cell>
          <cell r="C71">
            <v>0.3883469042024153</v>
          </cell>
          <cell r="D71">
            <v>0.18686341450128321</v>
          </cell>
          <cell r="G71">
            <v>0.66545969842207775</v>
          </cell>
          <cell r="H71">
            <v>0.40686243392034327</v>
          </cell>
        </row>
        <row r="73">
          <cell r="A73" t="str">
            <v>Diluted EPS before Extraordinary</v>
          </cell>
          <cell r="B73">
            <v>0.31898191901345707</v>
          </cell>
          <cell r="C73">
            <v>0.38853320792182672</v>
          </cell>
          <cell r="D73">
            <v>6.9551288908369646E-2</v>
          </cell>
          <cell r="G73">
            <v>0.71285820403636702</v>
          </cell>
          <cell r="H73">
            <v>0.41897296901325914</v>
          </cell>
        </row>
        <row r="74">
          <cell r="A74" t="str">
            <v>Diluted EPS after Extraordinary</v>
          </cell>
          <cell r="B74">
            <v>0.21476857345242453</v>
          </cell>
          <cell r="C74">
            <v>0.38836599257981907</v>
          </cell>
          <cell r="D74">
            <v>0.17359741912739454</v>
          </cell>
          <cell r="G74">
            <v>0.66559985771230679</v>
          </cell>
          <cell r="H74">
            <v>0.40686501250562496</v>
          </cell>
        </row>
        <row r="75">
          <cell r="A75" t="str">
            <v>Normalized Earnings Per Share</v>
          </cell>
          <cell r="B75">
            <v>0.11055522789139198</v>
          </cell>
          <cell r="C75">
            <v>0.38819877723781143</v>
          </cell>
          <cell r="D75">
            <v>0.27764354934641944</v>
          </cell>
          <cell r="G75">
            <v>0.61834151138824656</v>
          </cell>
          <cell r="H75">
            <v>0.39475705599799077</v>
          </cell>
        </row>
        <row r="76">
          <cell r="A76" t="str">
            <v>FFO Per Share</v>
          </cell>
          <cell r="B76">
            <v>0.55463834662995715</v>
          </cell>
          <cell r="C76">
            <v>0.7911877514761978</v>
          </cell>
          <cell r="D76">
            <v>0.23654940484624065</v>
          </cell>
          <cell r="G76">
            <v>0.75992822841359686</v>
          </cell>
          <cell r="H76">
            <v>0.79979279382986079</v>
          </cell>
        </row>
        <row r="77">
          <cell r="D77">
            <v>0</v>
          </cell>
        </row>
        <row r="78">
          <cell r="A78" t="str">
            <v>AFFO Per Share</v>
          </cell>
          <cell r="B78">
            <v>0.27571301860265157</v>
          </cell>
          <cell r="C78">
            <v>0.47123164550347485</v>
          </cell>
          <cell r="D78">
            <v>0.19551862690082328</v>
          </cell>
          <cell r="G78">
            <v>0.5209790648769107</v>
          </cell>
          <cell r="H78">
            <v>0.5352386533691933</v>
          </cell>
        </row>
        <row r="79">
          <cell r="A79" t="str">
            <v>NOI Per Share</v>
          </cell>
          <cell r="B79">
            <v>1.3711734113579979</v>
          </cell>
          <cell r="C79">
            <v>1.4096650467680409</v>
          </cell>
          <cell r="D79">
            <v>3.8491635410043079E-2</v>
          </cell>
          <cell r="G79">
            <v>1.2662291668846319</v>
          </cell>
          <cell r="H79">
            <v>1.3005258641439141</v>
          </cell>
        </row>
        <row r="80">
          <cell r="A80" t="str">
            <v>EBITDA Per Share</v>
          </cell>
          <cell r="B80">
            <v>1.2173381268555645</v>
          </cell>
          <cell r="C80">
            <v>1.2503088258347703</v>
          </cell>
          <cell r="D80">
            <v>3.2970698979205793E-2</v>
          </cell>
          <cell r="G80">
            <v>1.1348432219792637</v>
          </cell>
          <cell r="H80">
            <v>1.1629744550373076</v>
          </cell>
        </row>
        <row r="82">
          <cell r="A82" t="str">
            <v>Dividends Per Share</v>
          </cell>
          <cell r="B82">
            <v>0.67803750000000007</v>
          </cell>
          <cell r="C82">
            <v>0.67803750000000007</v>
          </cell>
          <cell r="D82">
            <v>0</v>
          </cell>
          <cell r="G82">
            <v>0.64575000000000005</v>
          </cell>
          <cell r="H82">
            <v>0.67803750000000007</v>
          </cell>
        </row>
        <row r="84">
          <cell r="A84" t="str">
            <v>Payout Ratio (Net Income)</v>
          </cell>
          <cell r="B84">
            <v>3.3652261086293382</v>
          </cell>
          <cell r="C84">
            <v>1.7459582982708455</v>
          </cell>
          <cell r="D84">
            <v>-1.6192678103584928</v>
          </cell>
          <cell r="G84">
            <v>0.97038183008105094</v>
          </cell>
          <cell r="H84">
            <v>1.6665030818076172</v>
          </cell>
        </row>
        <row r="85">
          <cell r="A85" t="str">
            <v>Payout Ratio (FFO)</v>
          </cell>
          <cell r="B85">
            <v>1.222485794788315</v>
          </cell>
          <cell r="C85">
            <v>0.85698685139515618</v>
          </cell>
          <cell r="D85">
            <v>-0.3654989433931588</v>
          </cell>
          <cell r="G85">
            <v>0.84975129999848564</v>
          </cell>
          <cell r="H85">
            <v>0.84776645304988629</v>
          </cell>
        </row>
        <row r="86">
          <cell r="A86" t="str">
            <v>Payout Ratio (AFFO)</v>
          </cell>
          <cell r="B86">
            <v>2.4592146697910016</v>
          </cell>
          <cell r="C86">
            <v>1.4388624076287768</v>
          </cell>
          <cell r="D86">
            <v>-1.0203522621622247</v>
          </cell>
          <cell r="G86">
            <v>1.2394931841504386</v>
          </cell>
          <cell r="H86">
            <v>1.266794719947679</v>
          </cell>
        </row>
        <row r="88">
          <cell r="A88" t="str">
            <v>Diluted Weighted Avg. Common Shares</v>
          </cell>
          <cell r="B88">
            <v>91767</v>
          </cell>
          <cell r="C88">
            <v>91495</v>
          </cell>
          <cell r="D88">
            <v>-272</v>
          </cell>
          <cell r="G88">
            <v>91386</v>
          </cell>
          <cell r="H88">
            <v>91367</v>
          </cell>
        </row>
        <row r="89">
          <cell r="A89" t="str">
            <v>Diluted Wght. Avg. Shares &amp; OP Units</v>
          </cell>
          <cell r="B89">
            <v>95957</v>
          </cell>
          <cell r="C89">
            <v>95685</v>
          </cell>
          <cell r="D89">
            <v>-272</v>
          </cell>
          <cell r="G89">
            <v>95581</v>
          </cell>
          <cell r="H89">
            <v>95557</v>
          </cell>
        </row>
        <row r="92">
          <cell r="A92" t="str">
            <v>David Cohen</v>
          </cell>
          <cell r="H92" t="str">
            <v>(212) 761-8564</v>
          </cell>
        </row>
        <row r="93">
          <cell r="A93" t="str">
            <v>Morgan Stanley  REIT Research</v>
          </cell>
          <cell r="H93" t="str">
            <v>dave.cohen@morganstanley.com</v>
          </cell>
        </row>
      </sheetData>
      <sheetData sheetId="11" refreshError="1">
        <row r="1">
          <cell r="A1" t="str">
            <v>Liberty Property Trust (LRY)</v>
          </cell>
          <cell r="H1" t="str">
            <v>Matt Ostrower</v>
          </cell>
        </row>
        <row r="2">
          <cell r="A2" t="str">
            <v>3Q07 Earnings Variance Analysis Worksheet</v>
          </cell>
          <cell r="H2" t="str">
            <v>Morgan Stanley REIT Research Team</v>
          </cell>
        </row>
        <row r="3">
          <cell r="A3" t="str">
            <v>($ in Thousands, Except per Share Amounts)</v>
          </cell>
          <cell r="H3" t="str">
            <v>(212) 761-6284   Matthew.Ostrower@morganstanley.com</v>
          </cell>
        </row>
        <row r="5">
          <cell r="B5">
            <v>53</v>
          </cell>
          <cell r="C5">
            <v>53</v>
          </cell>
          <cell r="G5">
            <v>48</v>
          </cell>
          <cell r="H5">
            <v>52</v>
          </cell>
        </row>
        <row r="7">
          <cell r="B7" t="str">
            <v>MS</v>
          </cell>
          <cell r="C7" t="str">
            <v>Reported</v>
          </cell>
          <cell r="E7" t="str">
            <v>Per Share</v>
          </cell>
        </row>
        <row r="8">
          <cell r="A8" t="str">
            <v>Year Ends December 31</v>
          </cell>
          <cell r="B8" t="str">
            <v>3Q07E</v>
          </cell>
          <cell r="C8" t="str">
            <v>3Q07A</v>
          </cell>
          <cell r="D8" t="str">
            <v>Variance</v>
          </cell>
          <cell r="E8" t="str">
            <v>Impact</v>
          </cell>
          <cell r="F8" t="str">
            <v>Comments</v>
          </cell>
          <cell r="G8" t="str">
            <v>3Q06A</v>
          </cell>
          <cell r="H8" t="str">
            <v>2Q07A</v>
          </cell>
        </row>
        <row r="9">
          <cell r="A9" t="str">
            <v>Op Exp Reimbursements as % of Total Exps</v>
          </cell>
          <cell r="B9">
            <v>0.95178736754043503</v>
          </cell>
          <cell r="C9">
            <v>0.94130049610205524</v>
          </cell>
          <cell r="G9">
            <v>0.98045711733174512</v>
          </cell>
          <cell r="H9">
            <v>0.94978736754043502</v>
          </cell>
        </row>
        <row r="10">
          <cell r="A10" t="str">
            <v>Rental Property Expenses as % of Rental Revenue</v>
          </cell>
          <cell r="B10">
            <v>0.31094112915801481</v>
          </cell>
          <cell r="C10">
            <v>0.29521724486359041</v>
          </cell>
          <cell r="G10">
            <v>0.29917891279632824</v>
          </cell>
          <cell r="H10">
            <v>0.31094112915801481</v>
          </cell>
        </row>
        <row r="11">
          <cell r="A11" t="str">
            <v>Real Estate Taxes as % of Rental Revenue</v>
          </cell>
          <cell r="B11">
            <v>0.155</v>
          </cell>
          <cell r="C11">
            <v>0.15739626938683859</v>
          </cell>
          <cell r="G11">
            <v>0.15328645416649123</v>
          </cell>
          <cell r="H11">
            <v>0.15995994845826186</v>
          </cell>
        </row>
        <row r="12">
          <cell r="A12" t="str">
            <v>G&amp;A Expenses as % of NOI</v>
          </cell>
          <cell r="B12">
            <v>0.10315453359876334</v>
          </cell>
          <cell r="C12">
            <v>0.1057659927410604</v>
          </cell>
          <cell r="G12">
            <v>9.9961751880532551E-2</v>
          </cell>
          <cell r="H12">
            <v>0.10537838117103465</v>
          </cell>
        </row>
        <row r="13">
          <cell r="A13" t="str">
            <v>Interest &amp; Other Income as % of NOI</v>
          </cell>
          <cell r="B13">
            <v>2.3148935412004388E-2</v>
          </cell>
          <cell r="C13">
            <v>2.0406463602505264E-2</v>
          </cell>
          <cell r="G13">
            <v>2.7140332266996876E-2</v>
          </cell>
          <cell r="H13">
            <v>2.7153519892340987E-2</v>
          </cell>
        </row>
        <row r="15">
          <cell r="A15" t="str">
            <v>Revenue</v>
          </cell>
        </row>
        <row r="16">
          <cell r="A16" t="str">
            <v>Rental</v>
          </cell>
          <cell r="B16">
            <v>122221.98746886328</v>
          </cell>
          <cell r="C16">
            <v>124698</v>
          </cell>
          <cell r="D16">
            <v>2476.0125311367156</v>
          </cell>
          <cell r="E16">
            <v>2.5911367363319438E-2</v>
          </cell>
          <cell r="G16">
            <v>118745</v>
          </cell>
          <cell r="H16">
            <v>121843</v>
          </cell>
        </row>
        <row r="17">
          <cell r="A17" t="str">
            <v>Operating Expense Reimbursement</v>
          </cell>
          <cell r="B17">
            <v>54202.625761772317</v>
          </cell>
          <cell r="C17">
            <v>53127</v>
          </cell>
          <cell r="D17">
            <v>-1075.6257617723168</v>
          </cell>
          <cell r="E17">
            <v>-1.1256378515151341E-2</v>
          </cell>
          <cell r="G17">
            <v>52678</v>
          </cell>
          <cell r="H17">
            <v>54495</v>
          </cell>
        </row>
        <row r="18">
          <cell r="A18" t="str">
            <v>Total Revenue</v>
          </cell>
          <cell r="B18">
            <v>176424.61323063559</v>
          </cell>
          <cell r="C18">
            <v>177825</v>
          </cell>
          <cell r="D18">
            <v>1400.3867693644133</v>
          </cell>
          <cell r="E18">
            <v>1.4654988848168248E-2</v>
          </cell>
          <cell r="G18">
            <v>171423</v>
          </cell>
          <cell r="H18">
            <v>176338</v>
          </cell>
        </row>
        <row r="20">
          <cell r="A20" t="str">
            <v>Expenses</v>
          </cell>
        </row>
        <row r="21">
          <cell r="A21" t="str">
            <v>Rental Property Expenses</v>
          </cell>
          <cell r="B21">
            <v>38003.842791505085</v>
          </cell>
          <cell r="C21">
            <v>36813</v>
          </cell>
          <cell r="D21">
            <v>1190.8427915050852</v>
          </cell>
          <cell r="E21">
            <v>1.2462119902310508E-2</v>
          </cell>
          <cell r="G21">
            <v>35526</v>
          </cell>
          <cell r="H21">
            <v>37886</v>
          </cell>
        </row>
        <row r="22">
          <cell r="A22" t="str">
            <v>Real Estate Taxes</v>
          </cell>
          <cell r="B22">
            <v>18944.408057673809</v>
          </cell>
          <cell r="C22">
            <v>19627</v>
          </cell>
          <cell r="D22">
            <v>-682.5919423261912</v>
          </cell>
          <cell r="E22">
            <v>-7.1432960675428406E-3</v>
          </cell>
          <cell r="G22">
            <v>18202</v>
          </cell>
          <cell r="H22">
            <v>19490</v>
          </cell>
        </row>
        <row r="23">
          <cell r="A23" t="str">
            <v>Total Expenses</v>
          </cell>
          <cell r="B23">
            <v>56948.25084917889</v>
          </cell>
          <cell r="C23">
            <v>56440</v>
          </cell>
          <cell r="D23">
            <v>508.25084917889035</v>
          </cell>
          <cell r="E23">
            <v>5.3188238347676295E-3</v>
          </cell>
          <cell r="G23">
            <v>53728</v>
          </cell>
          <cell r="H23">
            <v>57376</v>
          </cell>
        </row>
        <row r="25">
          <cell r="A25" t="str">
            <v>NOI of JVs</v>
          </cell>
          <cell r="B25">
            <v>2520.5055000000002</v>
          </cell>
          <cell r="C25">
            <v>2889.35</v>
          </cell>
          <cell r="D25">
            <v>368.84450000000015</v>
          </cell>
          <cell r="E25">
            <v>3.8599422334313566E-3</v>
          </cell>
          <cell r="G25">
            <v>2310.9</v>
          </cell>
          <cell r="H25">
            <v>2495.5500000000002</v>
          </cell>
        </row>
        <row r="26">
          <cell r="A26" t="str">
            <v>Equity in earnings of uncon. JV</v>
          </cell>
          <cell r="B26">
            <v>0</v>
          </cell>
          <cell r="C26">
            <v>0</v>
          </cell>
          <cell r="D26">
            <v>0</v>
          </cell>
          <cell r="E26">
            <v>0</v>
          </cell>
          <cell r="G26">
            <v>0</v>
          </cell>
          <cell r="H26">
            <v>0</v>
          </cell>
        </row>
        <row r="27">
          <cell r="A27" t="str">
            <v>Acquisition &amp; Development NOI</v>
          </cell>
          <cell r="B27">
            <v>2860.0311189542931</v>
          </cell>
          <cell r="C27">
            <v>0</v>
          </cell>
          <cell r="D27">
            <v>-2860.0311189542931</v>
          </cell>
          <cell r="E27">
            <v>-2.9930105789782991E-2</v>
          </cell>
          <cell r="G27">
            <v>0</v>
          </cell>
          <cell r="H27">
            <v>0</v>
          </cell>
        </row>
        <row r="28">
          <cell r="A28" t="str">
            <v>Net Operating Income</v>
          </cell>
          <cell r="B28">
            <v>124856.89900041099</v>
          </cell>
          <cell r="C28">
            <v>124274.35</v>
          </cell>
          <cell r="D28">
            <v>-582.54900041098881</v>
          </cell>
          <cell r="E28">
            <v>-6.0963508734157498E-3</v>
          </cell>
          <cell r="G28">
            <v>120005.9</v>
          </cell>
          <cell r="H28">
            <v>121457.55</v>
          </cell>
        </row>
        <row r="30">
          <cell r="A30" t="str">
            <v>General and Administrative</v>
          </cell>
          <cell r="B30">
            <v>12879.555182975297</v>
          </cell>
          <cell r="C30">
            <v>13144</v>
          </cell>
          <cell r="D30">
            <v>-264.4448170247033</v>
          </cell>
          <cell r="E30">
            <v>-2.7674039267107935E-3</v>
          </cell>
          <cell r="G30">
            <v>11996</v>
          </cell>
          <cell r="H30">
            <v>12799</v>
          </cell>
        </row>
        <row r="32">
          <cell r="A32" t="str">
            <v>EBITDA</v>
          </cell>
          <cell r="B32">
            <v>111977.3438174357</v>
          </cell>
          <cell r="C32">
            <v>111130.35</v>
          </cell>
          <cell r="D32">
            <v>-846.99381743569393</v>
          </cell>
          <cell r="E32">
            <v>-8.863754800126562E-3</v>
          </cell>
          <cell r="G32">
            <v>108009.9</v>
          </cell>
          <cell r="H32">
            <v>108658.55</v>
          </cell>
        </row>
        <row r="34">
          <cell r="A34" t="str">
            <v>Interest Expense - consolidated</v>
          </cell>
          <cell r="B34">
            <v>32194.27377337066</v>
          </cell>
          <cell r="C34">
            <v>33521</v>
          </cell>
          <cell r="D34">
            <v>-1326.7262266293401</v>
          </cell>
          <cell r="E34">
            <v>-1.3884134355717949E-2</v>
          </cell>
          <cell r="G34">
            <v>30840</v>
          </cell>
          <cell r="H34">
            <v>30137</v>
          </cell>
        </row>
        <row r="35">
          <cell r="A35" t="str">
            <v>Interest Expense - unconsolidated</v>
          </cell>
          <cell r="B35">
            <v>-1325.45</v>
          </cell>
          <cell r="C35">
            <v>-1784.55</v>
          </cell>
          <cell r="D35">
            <v>-459.1</v>
          </cell>
          <cell r="E35">
            <v>-4.804462258128658E-3</v>
          </cell>
        </row>
        <row r="36">
          <cell r="A36" t="str">
            <v>Depreciation and Amort.</v>
          </cell>
          <cell r="B36">
            <v>39307.346506596106</v>
          </cell>
          <cell r="C36">
            <v>40720</v>
          </cell>
          <cell r="D36">
            <v>-1412.6534934038937</v>
          </cell>
          <cell r="E36">
            <v>-1.4783359601116545E-2</v>
          </cell>
          <cell r="G36">
            <v>37763</v>
          </cell>
          <cell r="H36">
            <v>39266</v>
          </cell>
        </row>
        <row r="37">
          <cell r="A37" t="str">
            <v>JV Depreciation and Amort.</v>
          </cell>
          <cell r="B37">
            <v>-844</v>
          </cell>
          <cell r="C37">
            <v>-1134</v>
          </cell>
          <cell r="D37">
            <v>290</v>
          </cell>
          <cell r="E37">
            <v>3.034837845474429E-3</v>
          </cell>
        </row>
        <row r="38">
          <cell r="A38" t="str">
            <v>Gain (Loss) on Sale - consolidated</v>
          </cell>
          <cell r="B38">
            <v>10000</v>
          </cell>
          <cell r="C38">
            <v>1157</v>
          </cell>
          <cell r="D38">
            <v>-8843</v>
          </cell>
          <cell r="E38">
            <v>-9.2541624370794398E-2</v>
          </cell>
          <cell r="G38">
            <v>806</v>
          </cell>
          <cell r="H38">
            <v>1119</v>
          </cell>
        </row>
        <row r="39">
          <cell r="A39" t="str">
            <v>Gain (Loss) on Sale - JVs</v>
          </cell>
          <cell r="B39">
            <v>0</v>
          </cell>
          <cell r="C39">
            <v>0</v>
          </cell>
          <cell r="D39">
            <v>0</v>
          </cell>
          <cell r="E39">
            <v>0</v>
          </cell>
        </row>
        <row r="40">
          <cell r="A40" t="str">
            <v>Interest &amp; Other Income</v>
          </cell>
          <cell r="B40">
            <v>2890.3042907036693</v>
          </cell>
          <cell r="C40">
            <v>2536</v>
          </cell>
          <cell r="D40">
            <v>-354.30429070366927</v>
          </cell>
          <cell r="E40">
            <v>-3.7077795525567907E-3</v>
          </cell>
          <cell r="G40">
            <v>3257</v>
          </cell>
          <cell r="H40">
            <v>3298</v>
          </cell>
        </row>
        <row r="41">
          <cell r="A41" t="str">
            <v>Int. &amp; Amort. of Exchangeable Sub. Deb.</v>
          </cell>
          <cell r="B41">
            <v>0</v>
          </cell>
          <cell r="C41">
            <v>0</v>
          </cell>
          <cell r="D41">
            <v>0</v>
          </cell>
          <cell r="E41">
            <v>0</v>
          </cell>
          <cell r="G41">
            <v>0</v>
          </cell>
          <cell r="H41">
            <v>0</v>
          </cell>
        </row>
        <row r="42">
          <cell r="A42" t="str">
            <v>Income Bef. Min. Interest</v>
          </cell>
          <cell r="B42">
            <v>51196.577828172609</v>
          </cell>
          <cell r="C42">
            <v>37663.800000000003</v>
          </cell>
          <cell r="D42">
            <v>-13532.777828172606</v>
          </cell>
          <cell r="E42">
            <v>-0.14161995278391543</v>
          </cell>
          <cell r="G42">
            <v>41493.050000000003</v>
          </cell>
          <cell r="H42">
            <v>41503.1</v>
          </cell>
        </row>
        <row r="43">
          <cell r="A43" t="str">
            <v>Minority Interest In Earnings</v>
          </cell>
          <cell r="B43">
            <v>-6072.8638091871017</v>
          </cell>
          <cell r="C43">
            <v>-5703</v>
          </cell>
          <cell r="D43">
            <v>369.86380918710165</v>
          </cell>
          <cell r="E43">
            <v>3.8706092613529273E-3</v>
          </cell>
          <cell r="G43">
            <v>-5087</v>
          </cell>
          <cell r="H43">
            <v>-6113</v>
          </cell>
        </row>
        <row r="44">
          <cell r="A44" t="str">
            <v>Income taxes</v>
          </cell>
          <cell r="B44">
            <v>-213</v>
          </cell>
          <cell r="C44">
            <v>1022</v>
          </cell>
          <cell r="D44">
            <v>1235</v>
          </cell>
          <cell r="E44">
            <v>1.2924223238485929E-2</v>
          </cell>
          <cell r="G44">
            <v>625</v>
          </cell>
          <cell r="H44">
            <v>-213</v>
          </cell>
        </row>
        <row r="45">
          <cell r="A45" t="str">
            <v>Preferred Share Dividend</v>
          </cell>
          <cell r="B45">
            <v>0</v>
          </cell>
          <cell r="C45">
            <v>0</v>
          </cell>
          <cell r="D45">
            <v>0</v>
          </cell>
          <cell r="E45">
            <v>0</v>
          </cell>
          <cell r="G45">
            <v>0</v>
          </cell>
          <cell r="H45">
            <v>0</v>
          </cell>
        </row>
        <row r="46">
          <cell r="A46" t="str">
            <v>Other Gains/(Losses)</v>
          </cell>
          <cell r="B46">
            <v>0</v>
          </cell>
          <cell r="C46">
            <v>-967</v>
          </cell>
          <cell r="D46">
            <v>-967</v>
          </cell>
          <cell r="E46">
            <v>-1.0119614470944043E-2</v>
          </cell>
          <cell r="G46">
            <v>-910</v>
          </cell>
          <cell r="H46">
            <v>180</v>
          </cell>
        </row>
        <row r="47">
          <cell r="A47" t="str">
            <v>Discontinued ops net of minority interest (excluding gains)</v>
          </cell>
          <cell r="B47">
            <v>-360</v>
          </cell>
          <cell r="C47">
            <v>1013</v>
          </cell>
          <cell r="D47">
            <v>1373</v>
          </cell>
          <cell r="E47">
            <v>1.4368387454608245E-2</v>
          </cell>
          <cell r="G47">
            <v>-622</v>
          </cell>
          <cell r="H47">
            <v>-360</v>
          </cell>
        </row>
        <row r="48">
          <cell r="A48" t="str">
            <v>Discontinued op. gains</v>
          </cell>
          <cell r="B48">
            <v>0</v>
          </cell>
          <cell r="C48">
            <v>4145</v>
          </cell>
          <cell r="D48">
            <v>4145</v>
          </cell>
          <cell r="E48">
            <v>4.3377251274108644E-2</v>
          </cell>
          <cell r="G48">
            <v>11386</v>
          </cell>
          <cell r="H48">
            <v>17430</v>
          </cell>
        </row>
        <row r="49">
          <cell r="A49" t="str">
            <v>Extraordinary Item</v>
          </cell>
          <cell r="B49">
            <v>0</v>
          </cell>
          <cell r="C49">
            <v>0</v>
          </cell>
          <cell r="D49">
            <v>0</v>
          </cell>
          <cell r="E49">
            <v>0</v>
          </cell>
          <cell r="G49">
            <v>0</v>
          </cell>
          <cell r="H49">
            <v>0</v>
          </cell>
        </row>
        <row r="50">
          <cell r="A50" t="str">
            <v>Net Income Available to Common SH</v>
          </cell>
          <cell r="B50">
            <v>44550.714018985505</v>
          </cell>
          <cell r="C50">
            <v>37173.800000000003</v>
          </cell>
          <cell r="D50">
            <v>-7376.9140189855025</v>
          </cell>
          <cell r="E50">
            <v>-7.7199096026303704E-2</v>
          </cell>
          <cell r="G50">
            <v>46885.05</v>
          </cell>
          <cell r="H50">
            <v>52427.1</v>
          </cell>
        </row>
        <row r="51">
          <cell r="A51" t="str">
            <v>Adjustment: OP Minority Interest</v>
          </cell>
          <cell r="B51">
            <v>2218.8650591871015</v>
          </cell>
          <cell r="C51">
            <v>1705</v>
          </cell>
          <cell r="D51">
            <v>-513.86505918710145</v>
          </cell>
          <cell r="E51">
            <v>-5.3775763071999064E-3</v>
          </cell>
          <cell r="G51">
            <v>2189</v>
          </cell>
          <cell r="H51">
            <v>2407</v>
          </cell>
        </row>
        <row r="52">
          <cell r="A52" t="str">
            <v>Adjustment: Gains and Extraordinary Items</v>
          </cell>
          <cell r="B52">
            <v>10000</v>
          </cell>
          <cell r="C52">
            <v>1157</v>
          </cell>
          <cell r="D52">
            <v>-8843</v>
          </cell>
          <cell r="E52">
            <v>-9.2541624370794398E-2</v>
          </cell>
          <cell r="G52">
            <v>806</v>
          </cell>
          <cell r="H52">
            <v>1119</v>
          </cell>
        </row>
        <row r="53">
          <cell r="A53" t="str">
            <v>Normalized Earnings</v>
          </cell>
          <cell r="B53">
            <v>36769.57907817261</v>
          </cell>
          <cell r="C53">
            <v>37721.800000000003</v>
          </cell>
          <cell r="D53">
            <v>952.22092182739289</v>
          </cell>
          <cell r="E53">
            <v>9.9649520372907564E-3</v>
          </cell>
          <cell r="G53">
            <v>48268.05</v>
          </cell>
          <cell r="H53">
            <v>53715.1</v>
          </cell>
        </row>
        <row r="55">
          <cell r="A55" t="str">
            <v>Adjustments</v>
          </cell>
        </row>
        <row r="56">
          <cell r="A56" t="str">
            <v>Depreciation and Amortization</v>
          </cell>
          <cell r="B56">
            <v>38688.450122058523</v>
          </cell>
          <cell r="C56">
            <v>41715</v>
          </cell>
          <cell r="D56">
            <v>3026.5498779414775</v>
          </cell>
          <cell r="E56">
            <v>3.1672717623423483E-2</v>
          </cell>
          <cell r="G56">
            <v>37404</v>
          </cell>
          <cell r="H56">
            <v>39062</v>
          </cell>
        </row>
        <row r="57">
          <cell r="A57" t="str">
            <v>D&amp;A from unconsol. JVs</v>
          </cell>
          <cell r="B57">
            <v>844</v>
          </cell>
          <cell r="C57">
            <v>1134</v>
          </cell>
          <cell r="D57">
            <v>290</v>
          </cell>
          <cell r="E57">
            <v>3.034837845474429E-3</v>
          </cell>
          <cell r="G57">
            <v>792</v>
          </cell>
          <cell r="H57">
            <v>844</v>
          </cell>
        </row>
        <row r="58">
          <cell r="A58" t="str">
            <v>Gain (Loss) on Property Dispositions</v>
          </cell>
          <cell r="B58">
            <v>-10000</v>
          </cell>
          <cell r="C58">
            <v>-5302</v>
          </cell>
          <cell r="D58">
            <v>4698</v>
          </cell>
          <cell r="E58">
            <v>4.9164373096685747E-2</v>
          </cell>
          <cell r="G58">
            <v>-12192</v>
          </cell>
          <cell r="H58">
            <v>-18549</v>
          </cell>
        </row>
        <row r="59">
          <cell r="A59" t="str">
            <v>Min. Int. in Income/(Loss), excl. pref unit dist.</v>
          </cell>
          <cell r="B59">
            <v>2218.8650591871015</v>
          </cell>
          <cell r="C59">
            <v>1705</v>
          </cell>
          <cell r="D59">
            <v>-513.86505918710145</v>
          </cell>
          <cell r="E59">
            <v>-5.3775763071999064E-3</v>
          </cell>
          <cell r="G59">
            <v>2189</v>
          </cell>
          <cell r="H59">
            <v>2407</v>
          </cell>
        </row>
        <row r="60">
          <cell r="A60" t="str">
            <v>Other Adjustments</v>
          </cell>
          <cell r="B60">
            <v>0</v>
          </cell>
          <cell r="C60">
            <v>0</v>
          </cell>
          <cell r="D60">
            <v>0</v>
          </cell>
          <cell r="E60">
            <v>0</v>
          </cell>
          <cell r="G60">
            <v>0</v>
          </cell>
          <cell r="H60">
            <v>0</v>
          </cell>
        </row>
        <row r="61">
          <cell r="A61" t="str">
            <v>Int. &amp; Amort. of Exchangeable Sub. Deb.</v>
          </cell>
          <cell r="B61">
            <v>0</v>
          </cell>
          <cell r="C61">
            <v>0</v>
          </cell>
          <cell r="D61">
            <v>0</v>
          </cell>
          <cell r="E61">
            <v>0</v>
          </cell>
          <cell r="G61">
            <v>0</v>
          </cell>
          <cell r="H61">
            <v>0</v>
          </cell>
        </row>
        <row r="62">
          <cell r="A62" t="str">
            <v>Funds From Operations</v>
          </cell>
          <cell r="B62">
            <v>76302.029200231133</v>
          </cell>
          <cell r="C62">
            <v>76425.8</v>
          </cell>
          <cell r="D62">
            <v>123.77079976887035</v>
          </cell>
          <cell r="E62">
            <v>1.2952562320800187E-3</v>
          </cell>
          <cell r="G62">
            <v>75078.05</v>
          </cell>
          <cell r="H62">
            <v>76191.100000000006</v>
          </cell>
        </row>
        <row r="64">
          <cell r="A64" t="str">
            <v>Straight-lining Adjustment</v>
          </cell>
          <cell r="B64">
            <v>-2741.6438882070001</v>
          </cell>
          <cell r="C64">
            <v>-3764</v>
          </cell>
          <cell r="D64">
            <v>-1022.3561117929999</v>
          </cell>
          <cell r="E64">
            <v>-1.069891386076373E-2</v>
          </cell>
          <cell r="G64">
            <v>-2321</v>
          </cell>
          <cell r="H64">
            <v>-2667</v>
          </cell>
        </row>
        <row r="65">
          <cell r="A65" t="str">
            <v>Tenant Improvements &amp; LC's</v>
          </cell>
          <cell r="B65">
            <v>-17869.514701425676</v>
          </cell>
          <cell r="C65">
            <v>-15876</v>
          </cell>
          <cell r="D65">
            <v>1993.5147014256763</v>
          </cell>
          <cell r="E65">
            <v>2.0862047797918271E-2</v>
          </cell>
          <cell r="G65">
            <v>-11170</v>
          </cell>
          <cell r="H65">
            <v>-17383</v>
          </cell>
        </row>
        <row r="66">
          <cell r="A66" t="str">
            <v>Non-reimbursed Capital Expenditures</v>
          </cell>
          <cell r="B66">
            <v>-2525.7664166946379</v>
          </cell>
          <cell r="C66">
            <v>-5640</v>
          </cell>
          <cell r="D66">
            <v>-3114.2335833053621</v>
          </cell>
          <cell r="E66">
            <v>-3.2590323925043296E-2</v>
          </cell>
          <cell r="G66">
            <v>-3697</v>
          </cell>
          <cell r="H66">
            <v>-2457</v>
          </cell>
        </row>
        <row r="67">
          <cell r="A67" t="str">
            <v>Adjusted Funds From Operations</v>
          </cell>
          <cell r="B67">
            <v>53165.104193903819</v>
          </cell>
          <cell r="C67">
            <v>51145.8</v>
          </cell>
          <cell r="D67">
            <v>-2019.3041939038158</v>
          </cell>
          <cell r="E67">
            <v>-2.1131933755808741E-2</v>
          </cell>
          <cell r="G67">
            <v>57890.05</v>
          </cell>
          <cell r="H67">
            <v>53684.1</v>
          </cell>
        </row>
        <row r="70">
          <cell r="A70" t="str">
            <v>Net Income Per Share</v>
          </cell>
          <cell r="B70">
            <v>0.48169599705673333</v>
          </cell>
          <cell r="C70">
            <v>0.40686243392034327</v>
          </cell>
          <cell r="D70">
            <v>-7.4833563136390058E-2</v>
          </cell>
          <cell r="G70">
            <v>0.51517503955696198</v>
          </cell>
          <cell r="H70">
            <v>0.56783532622822985</v>
          </cell>
        </row>
        <row r="72">
          <cell r="A72" t="str">
            <v>Diluted EPS before Extraordinary</v>
          </cell>
          <cell r="B72">
            <v>0.58720752233383477</v>
          </cell>
          <cell r="C72">
            <v>0.41897296901325914</v>
          </cell>
          <cell r="D72">
            <v>-0.16823455332057563</v>
          </cell>
          <cell r="G72">
            <v>0.52389507404684377</v>
          </cell>
          <cell r="H72">
            <v>0.57971673677448776</v>
          </cell>
        </row>
        <row r="73">
          <cell r="A73" t="str">
            <v>Diluted EPS after Extraordinary</v>
          </cell>
          <cell r="B73">
            <v>0.48377051753849526</v>
          </cell>
          <cell r="C73">
            <v>0.40686501250562496</v>
          </cell>
          <cell r="D73">
            <v>-7.6905505032870303E-2</v>
          </cell>
          <cell r="G73">
            <v>0.5154295767251339</v>
          </cell>
          <cell r="H73">
            <v>0.56812304440622485</v>
          </cell>
        </row>
        <row r="74">
          <cell r="A74" t="str">
            <v>Normalized Earnings Per Share</v>
          </cell>
          <cell r="B74">
            <v>0.38033351274315569</v>
          </cell>
          <cell r="C74">
            <v>0.39475705599799077</v>
          </cell>
          <cell r="D74">
            <v>1.4423543254835081E-2</v>
          </cell>
          <cell r="G74">
            <v>0.50696407940342392</v>
          </cell>
          <cell r="H74">
            <v>0.55652935203796194</v>
          </cell>
        </row>
        <row r="75">
          <cell r="A75" t="str">
            <v>FFO Per Share</v>
          </cell>
          <cell r="B75">
            <v>0.78924533602784452</v>
          </cell>
          <cell r="C75">
            <v>0.79979279382986079</v>
          </cell>
          <cell r="D75">
            <v>1.0547457802016269E-2</v>
          </cell>
          <cell r="G75">
            <v>0.7885521478836256</v>
          </cell>
          <cell r="H75">
            <v>0.78939783252864759</v>
          </cell>
        </row>
        <row r="76">
          <cell r="D76">
            <v>0</v>
          </cell>
        </row>
        <row r="77">
          <cell r="A77" t="str">
            <v>AFFO Per Share</v>
          </cell>
          <cell r="B77">
            <v>0.54992391374495564</v>
          </cell>
          <cell r="C77">
            <v>0.5352386533691933</v>
          </cell>
          <cell r="D77">
            <v>-1.4685260375762343E-2</v>
          </cell>
          <cell r="G77">
            <v>0.60802489234324109</v>
          </cell>
          <cell r="H77">
            <v>0.55620816842454268</v>
          </cell>
        </row>
        <row r="78">
          <cell r="A78" t="str">
            <v>NOI Per Share</v>
          </cell>
          <cell r="B78">
            <v>1.2914823660636738</v>
          </cell>
          <cell r="C78">
            <v>1.3005258641439141</v>
          </cell>
          <cell r="D78">
            <v>9.0434980802402976E-3</v>
          </cell>
          <cell r="G78">
            <v>1.2604337779644994</v>
          </cell>
          <cell r="H78">
            <v>1.2583927350338797</v>
          </cell>
        </row>
        <row r="79">
          <cell r="A79" t="str">
            <v>EBITDA Per Share</v>
          </cell>
          <cell r="B79">
            <v>1.1582601049413481</v>
          </cell>
          <cell r="C79">
            <v>1.1629744550373076</v>
          </cell>
          <cell r="D79">
            <v>4.7143500959594409E-3</v>
          </cell>
          <cell r="G79">
            <v>1.1344386093897698</v>
          </cell>
          <cell r="H79">
            <v>1.1257853457386187</v>
          </cell>
        </row>
        <row r="81">
          <cell r="A81" t="str">
            <v>Dividends Per Share</v>
          </cell>
          <cell r="B81">
            <v>0.67803750000000007</v>
          </cell>
          <cell r="C81">
            <v>0.67803750000000007</v>
          </cell>
          <cell r="D81">
            <v>0</v>
          </cell>
          <cell r="G81">
            <v>0.64575000000000005</v>
          </cell>
          <cell r="H81">
            <v>0.64575000000000005</v>
          </cell>
        </row>
        <row r="83">
          <cell r="A83" t="str">
            <v>Payout Ratio (Net Income)</v>
          </cell>
          <cell r="B83">
            <v>1.407604597387057</v>
          </cell>
          <cell r="C83">
            <v>1.6665030818076172</v>
          </cell>
          <cell r="D83">
            <v>0.25889848442056018</v>
          </cell>
          <cell r="G83">
            <v>1.2534574667191356</v>
          </cell>
          <cell r="H83">
            <v>1.1372135021773091</v>
          </cell>
        </row>
        <row r="84">
          <cell r="A84" t="str">
            <v>Payout Ratio (FFO)</v>
          </cell>
          <cell r="B84">
            <v>0.85909598580900448</v>
          </cell>
          <cell r="C84">
            <v>0.84776645304988629</v>
          </cell>
          <cell r="D84">
            <v>-1.1329532759118188E-2</v>
          </cell>
          <cell r="G84">
            <v>0.81890589193512631</v>
          </cell>
          <cell r="H84">
            <v>0.81802859520337678</v>
          </cell>
        </row>
        <row r="85">
          <cell r="A85" t="str">
            <v>Payout Ratio (AFFO)</v>
          </cell>
          <cell r="B85">
            <v>1.2329660213948455</v>
          </cell>
          <cell r="C85">
            <v>1.266794719947679</v>
          </cell>
          <cell r="D85">
            <v>3.3828698552833547E-2</v>
          </cell>
          <cell r="G85">
            <v>1.0620453342154657</v>
          </cell>
          <cell r="H85">
            <v>1.1609861858539119</v>
          </cell>
        </row>
        <row r="87">
          <cell r="A87" t="str">
            <v>Diluted Weighted Avg. Common Shares</v>
          </cell>
          <cell r="B87">
            <v>92487.2</v>
          </cell>
          <cell r="C87">
            <v>91367</v>
          </cell>
          <cell r="D87">
            <v>-1120.2</v>
          </cell>
          <cell r="G87">
            <v>91008</v>
          </cell>
          <cell r="H87">
            <v>92328</v>
          </cell>
        </row>
        <row r="88">
          <cell r="A88" t="str">
            <v>Diluted Wght. Avg. Shares &amp; OP Units</v>
          </cell>
          <cell r="B88">
            <v>96677.2</v>
          </cell>
          <cell r="C88">
            <v>95557</v>
          </cell>
          <cell r="D88">
            <v>-1120.2</v>
          </cell>
          <cell r="G88">
            <v>95210</v>
          </cell>
          <cell r="H88">
            <v>96518</v>
          </cell>
        </row>
        <row r="91">
          <cell r="A91" t="str">
            <v>Matt Ostrower</v>
          </cell>
          <cell r="H91" t="str">
            <v>(212) 761-6284</v>
          </cell>
        </row>
        <row r="92">
          <cell r="A92" t="str">
            <v>Morgan Stanley  REIT Research</v>
          </cell>
          <cell r="H92" t="str">
            <v>Matthew.Ostrower@morganstanley.com</v>
          </cell>
        </row>
      </sheetData>
      <sheetData sheetId="12" refreshError="1"/>
      <sheetData sheetId="13" refreshError="1">
        <row r="1">
          <cell r="BZ1" t="str">
            <v>ElementName</v>
          </cell>
          <cell r="CA1" t="str">
            <v>ScaleOverride</v>
          </cell>
          <cell r="CB1" t="str">
            <v>UnitOverride</v>
          </cell>
          <cell r="CC1" t="str">
            <v>ReverseSign</v>
          </cell>
          <cell r="CD1" t="str">
            <v>IsDrivingAssumption</v>
          </cell>
          <cell r="CE1" t="str">
            <v>SegmentID</v>
          </cell>
        </row>
        <row r="2">
          <cell r="B2" t="str">
            <v>Liberty Property Trust</v>
          </cell>
        </row>
        <row r="3">
          <cell r="B3" t="str">
            <v>Balance Sheet</v>
          </cell>
        </row>
        <row r="4">
          <cell r="B4" t="str">
            <v>(Dollars In Thousands, Except Per-Share)</v>
          </cell>
        </row>
        <row r="5">
          <cell r="E5" t="str">
            <v>1998A</v>
          </cell>
          <cell r="J5" t="str">
            <v>1999A</v>
          </cell>
          <cell r="O5" t="str">
            <v>2000A</v>
          </cell>
          <cell r="T5" t="str">
            <v>2001A</v>
          </cell>
          <cell r="Y5" t="str">
            <v>2002A</v>
          </cell>
          <cell r="AD5" t="str">
            <v>2003A</v>
          </cell>
          <cell r="AI5" t="str">
            <v>2004A</v>
          </cell>
          <cell r="AN5" t="str">
            <v>2005A</v>
          </cell>
          <cell r="AS5">
            <v>2006</v>
          </cell>
          <cell r="AX5" t="str">
            <v>2007E</v>
          </cell>
          <cell r="BC5" t="str">
            <v>2008E</v>
          </cell>
          <cell r="BH5" t="str">
            <v>2009E</v>
          </cell>
          <cell r="BM5" t="str">
            <v>2010E</v>
          </cell>
        </row>
        <row r="6">
          <cell r="E6" t="str">
            <v>1QA</v>
          </cell>
          <cell r="F6" t="str">
            <v>2QA</v>
          </cell>
          <cell r="G6" t="str">
            <v>3QA</v>
          </cell>
          <cell r="H6" t="str">
            <v>4QA</v>
          </cell>
          <cell r="I6" t="str">
            <v>1998A</v>
          </cell>
          <cell r="J6" t="str">
            <v>1QA</v>
          </cell>
          <cell r="K6" t="str">
            <v>2QA</v>
          </cell>
          <cell r="L6" t="str">
            <v>3QA</v>
          </cell>
          <cell r="M6" t="str">
            <v>4QA</v>
          </cell>
          <cell r="N6" t="str">
            <v>1999A</v>
          </cell>
          <cell r="O6" t="str">
            <v>1QA</v>
          </cell>
          <cell r="P6" t="str">
            <v>2QA</v>
          </cell>
          <cell r="Q6" t="str">
            <v>3QA</v>
          </cell>
          <cell r="R6" t="str">
            <v>4QA</v>
          </cell>
          <cell r="S6" t="str">
            <v>2000A</v>
          </cell>
          <cell r="T6" t="str">
            <v>1QA</v>
          </cell>
          <cell r="U6" t="str">
            <v>2QA</v>
          </cell>
          <cell r="V6" t="str">
            <v>3QA</v>
          </cell>
          <cell r="W6" t="str">
            <v>4QA</v>
          </cell>
          <cell r="X6" t="str">
            <v>2001A</v>
          </cell>
          <cell r="Y6" t="str">
            <v>1QA</v>
          </cell>
          <cell r="Z6" t="str">
            <v>2QA</v>
          </cell>
          <cell r="AA6" t="str">
            <v>3QA</v>
          </cell>
          <cell r="AB6" t="str">
            <v>4QA</v>
          </cell>
          <cell r="AC6" t="str">
            <v>2002A</v>
          </cell>
          <cell r="AD6" t="str">
            <v>1QA</v>
          </cell>
          <cell r="AE6" t="str">
            <v>2QA</v>
          </cell>
          <cell r="AF6" t="str">
            <v>3QA</v>
          </cell>
          <cell r="AG6" t="str">
            <v>4QA</v>
          </cell>
          <cell r="AH6" t="str">
            <v>2003A</v>
          </cell>
          <cell r="AI6" t="str">
            <v>1QA</v>
          </cell>
          <cell r="AJ6" t="str">
            <v>2QA</v>
          </cell>
          <cell r="AK6" t="str">
            <v>3QA</v>
          </cell>
          <cell r="AL6" t="str">
            <v>4QA</v>
          </cell>
          <cell r="AM6" t="str">
            <v>2004A</v>
          </cell>
          <cell r="AN6" t="str">
            <v>1QA</v>
          </cell>
          <cell r="AO6" t="str">
            <v>2QA</v>
          </cell>
          <cell r="AP6" t="str">
            <v>3QA</v>
          </cell>
          <cell r="AQ6" t="str">
            <v>4QA</v>
          </cell>
          <cell r="AR6" t="str">
            <v>2005A</v>
          </cell>
          <cell r="AS6" t="str">
            <v>1QA</v>
          </cell>
          <cell r="AT6" t="str">
            <v>2QA</v>
          </cell>
          <cell r="AU6" t="str">
            <v>3QA</v>
          </cell>
          <cell r="AV6" t="str">
            <v>4QA</v>
          </cell>
          <cell r="AW6" t="str">
            <v>2006A</v>
          </cell>
          <cell r="AX6" t="str">
            <v>1QA</v>
          </cell>
          <cell r="AY6" t="str">
            <v>2QA</v>
          </cell>
          <cell r="AZ6" t="str">
            <v>3QA</v>
          </cell>
          <cell r="BA6" t="str">
            <v>4QA</v>
          </cell>
          <cell r="BB6" t="str">
            <v>2007E</v>
          </cell>
          <cell r="BC6" t="str">
            <v>1QE</v>
          </cell>
          <cell r="BD6" t="str">
            <v>2QE</v>
          </cell>
          <cell r="BE6" t="str">
            <v>3QE</v>
          </cell>
          <cell r="BF6" t="str">
            <v>4QE</v>
          </cell>
          <cell r="BG6" t="str">
            <v>2008E</v>
          </cell>
          <cell r="BH6" t="str">
            <v>1QE</v>
          </cell>
          <cell r="BI6" t="str">
            <v>2QE</v>
          </cell>
          <cell r="BJ6" t="str">
            <v>3QE</v>
          </cell>
          <cell r="BK6" t="str">
            <v>4QE</v>
          </cell>
          <cell r="BL6" t="str">
            <v>2009E</v>
          </cell>
          <cell r="BM6" t="str">
            <v>1QE</v>
          </cell>
          <cell r="BN6" t="str">
            <v>2QE</v>
          </cell>
          <cell r="BO6" t="str">
            <v>3QE</v>
          </cell>
          <cell r="BP6" t="str">
            <v>4QE</v>
          </cell>
          <cell r="BQ6" t="str">
            <v>2010E</v>
          </cell>
        </row>
        <row r="7">
          <cell r="Y7" t="str">
            <v>2002-Q1</v>
          </cell>
          <cell r="Z7" t="str">
            <v>2002-Q2</v>
          </cell>
          <cell r="AA7" t="str">
            <v>2002-Q3</v>
          </cell>
          <cell r="AB7" t="str">
            <v>2002-Q4</v>
          </cell>
          <cell r="AC7" t="str">
            <v>2002-FY</v>
          </cell>
          <cell r="AD7" t="str">
            <v>2003-Q1</v>
          </cell>
          <cell r="AE7" t="str">
            <v>2003-Q2</v>
          </cell>
          <cell r="AF7" t="str">
            <v>2003-Q3</v>
          </cell>
          <cell r="AG7" t="str">
            <v>2003-Q4</v>
          </cell>
          <cell r="AH7" t="str">
            <v>2003-FY</v>
          </cell>
          <cell r="AI7" t="str">
            <v>2004-Q1</v>
          </cell>
          <cell r="AJ7" t="str">
            <v>2004-Q2</v>
          </cell>
          <cell r="AK7" t="str">
            <v>2004-Q3</v>
          </cell>
          <cell r="AL7" t="str">
            <v>2004-Q4</v>
          </cell>
          <cell r="AM7" t="str">
            <v>2004-FY</v>
          </cell>
          <cell r="AN7" t="str">
            <v>2005-Q1</v>
          </cell>
          <cell r="AO7" t="str">
            <v>2005-Q2</v>
          </cell>
          <cell r="AP7" t="str">
            <v>2005-Q3</v>
          </cell>
          <cell r="AQ7" t="str">
            <v>2005-Q4</v>
          </cell>
          <cell r="AR7" t="str">
            <v>2005-FY</v>
          </cell>
          <cell r="AS7" t="str">
            <v>2006-Q1</v>
          </cell>
          <cell r="AT7" t="str">
            <v>2006-Q2</v>
          </cell>
          <cell r="AU7" t="str">
            <v>2006-Q3</v>
          </cell>
          <cell r="AV7" t="str">
            <v>2006-Q4</v>
          </cell>
          <cell r="AW7" t="str">
            <v>2006-FY</v>
          </cell>
          <cell r="AX7" t="str">
            <v>2007-Q1</v>
          </cell>
          <cell r="AY7" t="str">
            <v>2007-Q2</v>
          </cell>
          <cell r="AZ7" t="str">
            <v>2007-Q3</v>
          </cell>
          <cell r="BA7" t="str">
            <v>2007-Q4</v>
          </cell>
          <cell r="BB7" t="str">
            <v>2007-FY</v>
          </cell>
          <cell r="BC7" t="str">
            <v>2008-Q1</v>
          </cell>
          <cell r="BD7" t="str">
            <v>2008-Q2</v>
          </cell>
          <cell r="BE7" t="str">
            <v>2008-Q3</v>
          </cell>
          <cell r="BF7" t="str">
            <v>2008-Q4</v>
          </cell>
          <cell r="BG7" t="str">
            <v>2008-FY</v>
          </cell>
          <cell r="BH7" t="str">
            <v>2009-Q1</v>
          </cell>
          <cell r="BI7" t="str">
            <v>2009-Q2</v>
          </cell>
          <cell r="BJ7" t="str">
            <v>2009-Q3</v>
          </cell>
          <cell r="BK7" t="str">
            <v>2009-Q4</v>
          </cell>
          <cell r="BL7" t="str">
            <v>2009-FY</v>
          </cell>
          <cell r="BM7" t="str">
            <v>2010-Q1</v>
          </cell>
          <cell r="BN7" t="str">
            <v>2010-Q2</v>
          </cell>
          <cell r="BO7" t="str">
            <v>2010-Q3</v>
          </cell>
          <cell r="BP7" t="str">
            <v>2010-Q4</v>
          </cell>
          <cell r="BQ7" t="str">
            <v>2010-FY</v>
          </cell>
        </row>
        <row r="8">
          <cell r="A8" t="str">
            <v>ASSETS</v>
          </cell>
        </row>
        <row r="9">
          <cell r="B9" t="str">
            <v>Land and land improvements</v>
          </cell>
          <cell r="E9">
            <v>278866</v>
          </cell>
          <cell r="F9">
            <v>316249</v>
          </cell>
          <cell r="G9">
            <v>345795</v>
          </cell>
          <cell r="H9">
            <v>366853</v>
          </cell>
          <cell r="I9">
            <v>366853</v>
          </cell>
          <cell r="J9">
            <v>375690</v>
          </cell>
          <cell r="K9">
            <v>394392</v>
          </cell>
          <cell r="L9">
            <v>398411</v>
          </cell>
          <cell r="M9">
            <v>411678</v>
          </cell>
          <cell r="N9">
            <v>411678</v>
          </cell>
          <cell r="O9">
            <v>427822</v>
          </cell>
          <cell r="P9">
            <v>434409</v>
          </cell>
          <cell r="Q9">
            <v>441279</v>
          </cell>
          <cell r="R9">
            <v>443057</v>
          </cell>
          <cell r="S9">
            <v>443057</v>
          </cell>
          <cell r="T9">
            <v>458316</v>
          </cell>
          <cell r="U9">
            <v>462399</v>
          </cell>
          <cell r="V9">
            <v>472627</v>
          </cell>
          <cell r="W9">
            <v>467311</v>
          </cell>
          <cell r="X9">
            <v>467311</v>
          </cell>
          <cell r="Y9">
            <v>478960</v>
          </cell>
          <cell r="Z9">
            <v>485393</v>
          </cell>
          <cell r="AA9">
            <v>485741</v>
          </cell>
          <cell r="AB9">
            <v>504808</v>
          </cell>
          <cell r="AC9">
            <v>504808</v>
          </cell>
          <cell r="AD9">
            <v>525896</v>
          </cell>
          <cell r="AE9">
            <v>525050</v>
          </cell>
          <cell r="AF9">
            <v>551989</v>
          </cell>
          <cell r="AG9">
            <v>564332</v>
          </cell>
          <cell r="AH9">
            <v>564332</v>
          </cell>
          <cell r="AI9">
            <v>571819</v>
          </cell>
          <cell r="AJ9">
            <v>579501</v>
          </cell>
          <cell r="AK9">
            <v>605394</v>
          </cell>
          <cell r="AL9">
            <v>625035</v>
          </cell>
          <cell r="AM9">
            <v>625035</v>
          </cell>
          <cell r="AN9">
            <v>631989</v>
          </cell>
          <cell r="AO9">
            <v>636513</v>
          </cell>
          <cell r="AP9">
            <v>637864</v>
          </cell>
          <cell r="AQ9">
            <v>629962</v>
          </cell>
          <cell r="AR9">
            <v>629962</v>
          </cell>
          <cell r="AS9">
            <v>638838</v>
          </cell>
          <cell r="AT9">
            <v>636896</v>
          </cell>
          <cell r="AU9">
            <v>661109</v>
          </cell>
          <cell r="AV9">
            <v>678075</v>
          </cell>
          <cell r="AW9">
            <v>678075</v>
          </cell>
          <cell r="AX9">
            <v>706318</v>
          </cell>
          <cell r="AY9">
            <v>740003</v>
          </cell>
          <cell r="AZ9">
            <v>751765</v>
          </cell>
          <cell r="BA9">
            <v>796501</v>
          </cell>
          <cell r="BB9">
            <v>796501</v>
          </cell>
          <cell r="BC9">
            <v>796501</v>
          </cell>
          <cell r="BD9">
            <v>796501</v>
          </cell>
          <cell r="BE9">
            <v>796501</v>
          </cell>
          <cell r="BF9">
            <v>796501</v>
          </cell>
          <cell r="BG9">
            <v>796501</v>
          </cell>
          <cell r="BH9">
            <v>796501</v>
          </cell>
          <cell r="BI9">
            <v>796501</v>
          </cell>
          <cell r="BJ9">
            <v>796501</v>
          </cell>
          <cell r="BK9">
            <v>796501</v>
          </cell>
          <cell r="BL9">
            <v>796501</v>
          </cell>
          <cell r="BM9">
            <v>796501</v>
          </cell>
          <cell r="BN9">
            <v>796501</v>
          </cell>
          <cell r="BO9">
            <v>796501</v>
          </cell>
          <cell r="BP9">
            <v>796501</v>
          </cell>
          <cell r="BQ9">
            <v>796501</v>
          </cell>
          <cell r="BZ9" t="str">
            <v>mstag:landInvestmentProperties</v>
          </cell>
          <cell r="CA9">
            <v>3</v>
          </cell>
          <cell r="CB9" t="str">
            <v>ISO4217:USD</v>
          </cell>
          <cell r="CC9" t="b">
            <v>0</v>
          </cell>
          <cell r="CD9" t="b">
            <v>0</v>
          </cell>
        </row>
        <row r="10">
          <cell r="B10" t="str">
            <v>Buildings and improvements</v>
          </cell>
          <cell r="E10">
            <v>1907192</v>
          </cell>
          <cell r="F10">
            <v>2084431</v>
          </cell>
          <cell r="G10">
            <v>2255566</v>
          </cell>
          <cell r="H10">
            <v>2378272</v>
          </cell>
          <cell r="I10">
            <v>2378272</v>
          </cell>
          <cell r="J10">
            <v>2434491</v>
          </cell>
          <cell r="K10">
            <v>2494110</v>
          </cell>
          <cell r="L10">
            <v>2497267</v>
          </cell>
          <cell r="M10">
            <v>2593002</v>
          </cell>
          <cell r="N10">
            <v>2593002</v>
          </cell>
          <cell r="O10">
            <v>2671773</v>
          </cell>
          <cell r="P10">
            <v>2708648</v>
          </cell>
          <cell r="Q10">
            <v>2750047</v>
          </cell>
          <cell r="R10">
            <v>2759420</v>
          </cell>
          <cell r="S10">
            <v>2759420</v>
          </cell>
          <cell r="T10">
            <v>2819251</v>
          </cell>
          <cell r="U10">
            <v>2843140</v>
          </cell>
          <cell r="V10">
            <v>2898836</v>
          </cell>
          <cell r="W10">
            <v>2874903</v>
          </cell>
          <cell r="X10">
            <v>2874903</v>
          </cell>
          <cell r="Y10">
            <v>2920688</v>
          </cell>
          <cell r="Z10">
            <v>2955825</v>
          </cell>
          <cell r="AA10">
            <v>2967365</v>
          </cell>
          <cell r="AB10">
            <v>3048676</v>
          </cell>
          <cell r="AC10">
            <v>3048676</v>
          </cell>
          <cell r="AD10">
            <v>3129640</v>
          </cell>
          <cell r="AE10">
            <v>3181224</v>
          </cell>
          <cell r="AF10">
            <v>3295038</v>
          </cell>
          <cell r="AG10">
            <v>3363608</v>
          </cell>
          <cell r="AH10">
            <v>3363608</v>
          </cell>
          <cell r="AI10">
            <v>3398613</v>
          </cell>
          <cell r="AJ10">
            <v>3437986</v>
          </cell>
          <cell r="AK10">
            <v>3548695</v>
          </cell>
          <cell r="AL10">
            <v>3629508</v>
          </cell>
          <cell r="AM10">
            <v>3629508</v>
          </cell>
          <cell r="AN10">
            <v>3660806</v>
          </cell>
          <cell r="AO10">
            <v>3740516</v>
          </cell>
          <cell r="AP10">
            <v>3742060</v>
          </cell>
          <cell r="AQ10">
            <v>3730481</v>
          </cell>
          <cell r="AR10">
            <v>3730481</v>
          </cell>
          <cell r="AS10">
            <v>3722988</v>
          </cell>
          <cell r="AT10">
            <v>3640731</v>
          </cell>
          <cell r="AU10">
            <v>3770921</v>
          </cell>
          <cell r="AV10">
            <v>3814437</v>
          </cell>
          <cell r="AW10">
            <v>3814437</v>
          </cell>
          <cell r="AX10">
            <v>3872496</v>
          </cell>
          <cell r="AY10">
            <v>4008403</v>
          </cell>
          <cell r="AZ10">
            <v>4114484</v>
          </cell>
          <cell r="BA10">
            <v>4434731</v>
          </cell>
          <cell r="BB10">
            <v>4434731</v>
          </cell>
          <cell r="BC10">
            <v>4405981</v>
          </cell>
          <cell r="BD10">
            <v>3966831</v>
          </cell>
          <cell r="BE10">
            <v>3961831</v>
          </cell>
          <cell r="BF10">
            <v>3956831</v>
          </cell>
          <cell r="BG10">
            <v>3956831</v>
          </cell>
          <cell r="BH10">
            <v>3974331</v>
          </cell>
          <cell r="BI10">
            <v>3991831</v>
          </cell>
          <cell r="BJ10">
            <v>4009331</v>
          </cell>
          <cell r="BK10">
            <v>4026831</v>
          </cell>
          <cell r="BL10">
            <v>4026831</v>
          </cell>
          <cell r="BM10">
            <v>4049331</v>
          </cell>
          <cell r="BN10">
            <v>4071831</v>
          </cell>
          <cell r="BO10">
            <v>4094331</v>
          </cell>
          <cell r="BP10">
            <v>4116831</v>
          </cell>
          <cell r="BQ10">
            <v>4116831</v>
          </cell>
          <cell r="BZ10" t="str">
            <v>mstag:propertiesNotForSaleOrDevelopmentGross</v>
          </cell>
          <cell r="CA10">
            <v>3</v>
          </cell>
          <cell r="CB10" t="str">
            <v>ISO4217:USD</v>
          </cell>
          <cell r="CC10" t="b">
            <v>0</v>
          </cell>
          <cell r="CD10" t="b">
            <v>0</v>
          </cell>
        </row>
        <row r="11">
          <cell r="B11" t="str">
            <v>Less accumulated depreciation</v>
          </cell>
          <cell r="E11">
            <v>-162242</v>
          </cell>
          <cell r="F11">
            <v>-174742</v>
          </cell>
          <cell r="G11">
            <v>-191375</v>
          </cell>
          <cell r="H11">
            <v>-209023</v>
          </cell>
          <cell r="I11">
            <v>-209023</v>
          </cell>
          <cell r="J11">
            <v>-226977</v>
          </cell>
          <cell r="K11">
            <v>-238883</v>
          </cell>
          <cell r="L11">
            <v>-252031</v>
          </cell>
          <cell r="M11">
            <v>-270174</v>
          </cell>
          <cell r="N11">
            <v>-270174</v>
          </cell>
          <cell r="O11">
            <v>-283695</v>
          </cell>
          <cell r="P11">
            <v>-302572</v>
          </cell>
          <cell r="Q11">
            <v>-321020</v>
          </cell>
          <cell r="R11">
            <v>-334415</v>
          </cell>
          <cell r="S11">
            <v>-334415</v>
          </cell>
          <cell r="T11">
            <v>-355006</v>
          </cell>
          <cell r="U11">
            <v>-366949</v>
          </cell>
          <cell r="V11">
            <v>-388979</v>
          </cell>
          <cell r="W11">
            <v>-404617</v>
          </cell>
          <cell r="X11">
            <v>-404617</v>
          </cell>
          <cell r="Y11">
            <v>-426904</v>
          </cell>
          <cell r="Z11">
            <v>-450032</v>
          </cell>
          <cell r="AA11">
            <v>-462168</v>
          </cell>
          <cell r="AB11">
            <v>-485206</v>
          </cell>
          <cell r="AC11">
            <v>-485206</v>
          </cell>
          <cell r="AD11">
            <v>-509438</v>
          </cell>
          <cell r="AE11">
            <v>-533806</v>
          </cell>
          <cell r="AF11">
            <v>-559918</v>
          </cell>
          <cell r="AG11">
            <v>-586736</v>
          </cell>
          <cell r="AH11">
            <v>-586736</v>
          </cell>
          <cell r="AI11">
            <v>-613856</v>
          </cell>
          <cell r="AJ11">
            <v>-642051</v>
          </cell>
          <cell r="AK11">
            <v>-668823</v>
          </cell>
          <cell r="AL11">
            <v>-695410</v>
          </cell>
          <cell r="AM11">
            <v>-695410</v>
          </cell>
          <cell r="AN11">
            <v>-713406</v>
          </cell>
          <cell r="AO11">
            <v>-738391</v>
          </cell>
          <cell r="AP11">
            <v>-759974</v>
          </cell>
          <cell r="AQ11">
            <v>-748818</v>
          </cell>
          <cell r="AR11">
            <v>-748818</v>
          </cell>
          <cell r="AS11">
            <v>-766465</v>
          </cell>
          <cell r="AT11">
            <v>-767632</v>
          </cell>
          <cell r="AU11">
            <v>-794612</v>
          </cell>
          <cell r="AV11">
            <v>-806309</v>
          </cell>
          <cell r="AW11">
            <v>-806309</v>
          </cell>
          <cell r="AX11">
            <v>-824213</v>
          </cell>
          <cell r="AY11">
            <v>-849996</v>
          </cell>
          <cell r="AZ11">
            <v>-834385</v>
          </cell>
          <cell r="BA11">
            <v>-863609</v>
          </cell>
          <cell r="BB11">
            <v>-863609</v>
          </cell>
          <cell r="BC11">
            <v>-904134.3253229832</v>
          </cell>
          <cell r="BD11">
            <v>-919322.29814468184</v>
          </cell>
          <cell r="BE11">
            <v>-957317.71884863835</v>
          </cell>
          <cell r="BF11">
            <v>-995270.58743485285</v>
          </cell>
          <cell r="BG11">
            <v>-995270.58743485285</v>
          </cell>
          <cell r="BH11">
            <v>-1033372.3884331646</v>
          </cell>
          <cell r="BI11">
            <v>-1071623.1218435734</v>
          </cell>
          <cell r="BJ11">
            <v>-1110022.7876660794</v>
          </cell>
          <cell r="BK11">
            <v>-1148571.3859006825</v>
          </cell>
          <cell r="BL11">
            <v>-1148571.3859006825</v>
          </cell>
          <cell r="BM11">
            <v>-1187311.4686651251</v>
          </cell>
          <cell r="BN11">
            <v>-1226243.0359594068</v>
          </cell>
          <cell r="BO11">
            <v>-1265366.0877835278</v>
          </cell>
          <cell r="BP11">
            <v>-1304680.624137488</v>
          </cell>
          <cell r="BQ11">
            <v>-1304680.624137488</v>
          </cell>
          <cell r="BZ11" t="str">
            <v>mstag:accumulatedDepreciationOnPropertiesNotForSaleOrDevelopment</v>
          </cell>
          <cell r="CA11">
            <v>3</v>
          </cell>
          <cell r="CB11" t="str">
            <v>ISO4217:USD</v>
          </cell>
          <cell r="CC11" t="b">
            <v>1</v>
          </cell>
          <cell r="CD11" t="b">
            <v>0</v>
          </cell>
        </row>
        <row r="13">
          <cell r="B13" t="str">
            <v>Operating Real Estate</v>
          </cell>
          <cell r="E13">
            <v>2023816</v>
          </cell>
          <cell r="F13">
            <v>2225938</v>
          </cell>
          <cell r="G13">
            <v>2409986</v>
          </cell>
          <cell r="H13">
            <v>2536102</v>
          </cell>
          <cell r="I13">
            <v>2536102</v>
          </cell>
          <cell r="J13">
            <v>2583204</v>
          </cell>
          <cell r="K13">
            <v>2649619</v>
          </cell>
          <cell r="L13">
            <v>2643647</v>
          </cell>
          <cell r="M13">
            <v>2734506</v>
          </cell>
          <cell r="N13">
            <v>2734506</v>
          </cell>
          <cell r="O13">
            <v>2815900</v>
          </cell>
          <cell r="P13">
            <v>2840485</v>
          </cell>
          <cell r="Q13">
            <v>2870306</v>
          </cell>
          <cell r="R13">
            <v>2868062</v>
          </cell>
          <cell r="S13">
            <v>2868062</v>
          </cell>
          <cell r="T13">
            <v>2922561</v>
          </cell>
          <cell r="U13">
            <v>2938590</v>
          </cell>
          <cell r="V13">
            <v>2982484</v>
          </cell>
          <cell r="W13">
            <v>2937597</v>
          </cell>
          <cell r="X13">
            <v>2937597</v>
          </cell>
          <cell r="Y13">
            <v>2972744</v>
          </cell>
          <cell r="Z13">
            <v>2991186</v>
          </cell>
          <cell r="AA13">
            <v>2990938</v>
          </cell>
          <cell r="AB13">
            <v>3068278</v>
          </cell>
          <cell r="AC13">
            <v>3068278</v>
          </cell>
          <cell r="AD13">
            <v>3146098</v>
          </cell>
          <cell r="AE13">
            <v>3172468</v>
          </cell>
          <cell r="AF13">
            <v>3287109</v>
          </cell>
          <cell r="AG13">
            <v>3341204</v>
          </cell>
          <cell r="AH13">
            <v>3341204</v>
          </cell>
          <cell r="AI13">
            <v>3356576</v>
          </cell>
          <cell r="AJ13">
            <v>3375436</v>
          </cell>
          <cell r="AK13">
            <v>3485266</v>
          </cell>
          <cell r="AL13">
            <v>3559133</v>
          </cell>
          <cell r="AM13">
            <v>3559133</v>
          </cell>
          <cell r="AN13">
            <v>3579389</v>
          </cell>
          <cell r="AO13">
            <v>3638638</v>
          </cell>
          <cell r="AP13">
            <v>3619950</v>
          </cell>
          <cell r="AQ13">
            <v>3611625</v>
          </cell>
          <cell r="AR13">
            <v>3611625</v>
          </cell>
          <cell r="AS13">
            <v>3595361</v>
          </cell>
          <cell r="AT13">
            <v>3509995</v>
          </cell>
          <cell r="AU13">
            <v>3637418</v>
          </cell>
          <cell r="AV13">
            <v>3686203</v>
          </cell>
          <cell r="AW13">
            <v>3686203</v>
          </cell>
          <cell r="AX13">
            <v>3754601</v>
          </cell>
          <cell r="AY13">
            <v>3898410</v>
          </cell>
          <cell r="AZ13">
            <v>4031864</v>
          </cell>
          <cell r="BA13">
            <v>4367623</v>
          </cell>
          <cell r="BB13">
            <v>4367623</v>
          </cell>
          <cell r="BC13">
            <v>4298347.6746770171</v>
          </cell>
          <cell r="BD13">
            <v>3844009.7018553182</v>
          </cell>
          <cell r="BE13">
            <v>3801014.2811513618</v>
          </cell>
          <cell r="BF13">
            <v>3758061.412565147</v>
          </cell>
          <cell r="BG13">
            <v>3758061.412565147</v>
          </cell>
          <cell r="BH13">
            <v>3737459.6115668355</v>
          </cell>
          <cell r="BI13">
            <v>3716708.8781564264</v>
          </cell>
          <cell r="BJ13">
            <v>3695809.2123339204</v>
          </cell>
          <cell r="BK13">
            <v>3674760.6140993172</v>
          </cell>
          <cell r="BL13">
            <v>3674760.6140993172</v>
          </cell>
          <cell r="BM13">
            <v>3658520.5313348752</v>
          </cell>
          <cell r="BN13">
            <v>3642088.9640405932</v>
          </cell>
          <cell r="BO13">
            <v>3625465.9122164724</v>
          </cell>
          <cell r="BP13">
            <v>3608651.3758625118</v>
          </cell>
          <cell r="BQ13">
            <v>3608651.3758625118</v>
          </cell>
        </row>
        <row r="15">
          <cell r="B15" t="str">
            <v>Development in progress</v>
          </cell>
          <cell r="E15">
            <v>199261</v>
          </cell>
          <cell r="F15">
            <v>241951</v>
          </cell>
          <cell r="G15">
            <v>226583</v>
          </cell>
          <cell r="H15">
            <v>207563</v>
          </cell>
          <cell r="I15">
            <v>207563</v>
          </cell>
          <cell r="J15">
            <v>218600</v>
          </cell>
          <cell r="K15">
            <v>183716</v>
          </cell>
          <cell r="L15">
            <v>188911</v>
          </cell>
          <cell r="M15">
            <v>138870</v>
          </cell>
          <cell r="N15">
            <v>138870</v>
          </cell>
          <cell r="O15">
            <v>113330</v>
          </cell>
          <cell r="P15">
            <v>124212</v>
          </cell>
          <cell r="Q15">
            <v>148223</v>
          </cell>
          <cell r="R15">
            <v>208486</v>
          </cell>
          <cell r="S15">
            <v>208486</v>
          </cell>
          <cell r="T15">
            <v>220657</v>
          </cell>
          <cell r="U15">
            <v>215804</v>
          </cell>
          <cell r="V15">
            <v>218280</v>
          </cell>
          <cell r="W15">
            <v>252789</v>
          </cell>
          <cell r="X15">
            <v>252789</v>
          </cell>
          <cell r="Y15">
            <v>246205</v>
          </cell>
          <cell r="Z15">
            <v>241406</v>
          </cell>
          <cell r="AA15">
            <v>191406</v>
          </cell>
          <cell r="AB15">
            <v>163379</v>
          </cell>
          <cell r="AC15">
            <v>163379</v>
          </cell>
          <cell r="AD15">
            <v>90100</v>
          </cell>
          <cell r="AE15">
            <v>46136</v>
          </cell>
          <cell r="AF15">
            <v>33241</v>
          </cell>
          <cell r="AG15">
            <v>56869</v>
          </cell>
          <cell r="AH15">
            <v>56869</v>
          </cell>
          <cell r="AI15">
            <v>68051</v>
          </cell>
          <cell r="AJ15">
            <v>87079</v>
          </cell>
          <cell r="AK15">
            <v>82263</v>
          </cell>
          <cell r="AL15">
            <v>81099</v>
          </cell>
          <cell r="AM15">
            <v>81099</v>
          </cell>
          <cell r="AN15">
            <v>184209</v>
          </cell>
          <cell r="AO15">
            <v>223976</v>
          </cell>
          <cell r="AP15">
            <v>326219</v>
          </cell>
          <cell r="AQ15">
            <v>324924</v>
          </cell>
          <cell r="AR15">
            <v>324924</v>
          </cell>
          <cell r="AS15">
            <v>353190</v>
          </cell>
          <cell r="AT15">
            <v>405921</v>
          </cell>
          <cell r="AU15">
            <v>472836</v>
          </cell>
          <cell r="AV15">
            <v>538303</v>
          </cell>
          <cell r="AW15">
            <v>538303</v>
          </cell>
          <cell r="AX15">
            <v>650879</v>
          </cell>
          <cell r="AY15">
            <v>651283</v>
          </cell>
          <cell r="AZ15">
            <v>572606</v>
          </cell>
          <cell r="BA15">
            <v>328138</v>
          </cell>
          <cell r="BB15">
            <v>328138</v>
          </cell>
          <cell r="BC15">
            <v>445055.53855467425</v>
          </cell>
          <cell r="BD15">
            <v>559592.57979572786</v>
          </cell>
          <cell r="BE15">
            <v>610880.25583486981</v>
          </cell>
          <cell r="BF15">
            <v>698679.15714786516</v>
          </cell>
          <cell r="BG15">
            <v>698679.15714786516</v>
          </cell>
          <cell r="BH15">
            <v>761119.78623301233</v>
          </cell>
          <cell r="BI15">
            <v>933992.12753122405</v>
          </cell>
          <cell r="BJ15">
            <v>1107494.9455001566</v>
          </cell>
          <cell r="BK15">
            <v>1181449.496433648</v>
          </cell>
          <cell r="BL15">
            <v>1181449.496433648</v>
          </cell>
          <cell r="BM15">
            <v>1305768.6366376602</v>
          </cell>
          <cell r="BN15">
            <v>1430545.5898384852</v>
          </cell>
          <cell r="BO15">
            <v>1555781.4218912257</v>
          </cell>
          <cell r="BP15">
            <v>1681477.201377128</v>
          </cell>
          <cell r="BQ15">
            <v>1681477.201377128</v>
          </cell>
          <cell r="BZ15" t="str">
            <v>mstag:developmentProperties</v>
          </cell>
          <cell r="CA15">
            <v>3</v>
          </cell>
          <cell r="CB15" t="str">
            <v>ISO4217:USD</v>
          </cell>
          <cell r="CC15" t="b">
            <v>0</v>
          </cell>
          <cell r="CD15" t="b">
            <v>0</v>
          </cell>
        </row>
        <row r="16">
          <cell r="B16" t="str">
            <v>Land held for development</v>
          </cell>
          <cell r="E16">
            <v>63826</v>
          </cell>
          <cell r="F16">
            <v>62112</v>
          </cell>
          <cell r="G16">
            <v>85938</v>
          </cell>
          <cell r="H16">
            <v>75454</v>
          </cell>
          <cell r="I16">
            <v>75454</v>
          </cell>
          <cell r="J16">
            <v>77381</v>
          </cell>
          <cell r="K16">
            <v>87479</v>
          </cell>
          <cell r="L16">
            <v>99206</v>
          </cell>
          <cell r="M16">
            <v>111201</v>
          </cell>
          <cell r="N16">
            <v>111201</v>
          </cell>
          <cell r="O16">
            <v>123381</v>
          </cell>
          <cell r="P16">
            <v>114813</v>
          </cell>
          <cell r="Q16">
            <v>127728</v>
          </cell>
          <cell r="R16">
            <v>137402</v>
          </cell>
          <cell r="S16">
            <v>137402</v>
          </cell>
          <cell r="T16">
            <v>157870</v>
          </cell>
          <cell r="U16">
            <v>154413</v>
          </cell>
          <cell r="V16">
            <v>163755</v>
          </cell>
          <cell r="W16">
            <v>163547</v>
          </cell>
          <cell r="X16">
            <v>163547</v>
          </cell>
          <cell r="Y16">
            <v>160621</v>
          </cell>
          <cell r="Z16">
            <v>160803</v>
          </cell>
          <cell r="AA16">
            <v>165939</v>
          </cell>
          <cell r="AB16">
            <v>163142</v>
          </cell>
          <cell r="AC16">
            <v>163142</v>
          </cell>
          <cell r="AD16">
            <v>164661</v>
          </cell>
          <cell r="AE16">
            <v>164303</v>
          </cell>
          <cell r="AF16">
            <v>165837</v>
          </cell>
          <cell r="AG16">
            <v>162483</v>
          </cell>
          <cell r="AH16">
            <v>162483</v>
          </cell>
          <cell r="AI16">
            <v>163166</v>
          </cell>
          <cell r="AJ16">
            <v>166888</v>
          </cell>
          <cell r="AK16">
            <v>170390</v>
          </cell>
          <cell r="AL16">
            <v>171122</v>
          </cell>
          <cell r="AM16">
            <v>171122</v>
          </cell>
          <cell r="AN16">
            <v>169397</v>
          </cell>
          <cell r="AO16">
            <v>163424</v>
          </cell>
          <cell r="AP16">
            <v>147462</v>
          </cell>
          <cell r="AQ16">
            <v>158653</v>
          </cell>
          <cell r="AR16">
            <v>158653</v>
          </cell>
          <cell r="AS16">
            <v>167876</v>
          </cell>
          <cell r="AT16">
            <v>166429</v>
          </cell>
          <cell r="AU16">
            <v>169734</v>
          </cell>
          <cell r="AV16">
            <v>195332</v>
          </cell>
          <cell r="AW16">
            <v>195332</v>
          </cell>
          <cell r="AX16">
            <v>241169</v>
          </cell>
          <cell r="AY16">
            <v>255361</v>
          </cell>
          <cell r="AZ16">
            <v>246870</v>
          </cell>
          <cell r="BA16">
            <v>247124</v>
          </cell>
          <cell r="BB16">
            <v>247124</v>
          </cell>
          <cell r="BC16">
            <v>247124</v>
          </cell>
          <cell r="BD16">
            <v>247124</v>
          </cell>
          <cell r="BE16">
            <v>247124</v>
          </cell>
          <cell r="BF16">
            <v>247124</v>
          </cell>
          <cell r="BG16">
            <v>247124</v>
          </cell>
          <cell r="BH16">
            <v>247124</v>
          </cell>
          <cell r="BI16">
            <v>247124</v>
          </cell>
          <cell r="BJ16">
            <v>247124</v>
          </cell>
          <cell r="BK16">
            <v>247124</v>
          </cell>
          <cell r="BL16">
            <v>247124</v>
          </cell>
          <cell r="BM16">
            <v>247124</v>
          </cell>
          <cell r="BN16">
            <v>247124</v>
          </cell>
          <cell r="BO16">
            <v>247124</v>
          </cell>
          <cell r="BP16">
            <v>247124</v>
          </cell>
          <cell r="BQ16">
            <v>247124</v>
          </cell>
          <cell r="BZ16" t="str">
            <v>mstag:landInvestmentProperties</v>
          </cell>
          <cell r="CA16">
            <v>3</v>
          </cell>
          <cell r="CB16" t="str">
            <v>ISO4217:USD</v>
          </cell>
          <cell r="CC16" t="b">
            <v>0</v>
          </cell>
          <cell r="CD16" t="b">
            <v>0</v>
          </cell>
        </row>
        <row r="18">
          <cell r="B18" t="str">
            <v>Cash and cash equivalents</v>
          </cell>
          <cell r="E18">
            <v>37119</v>
          </cell>
          <cell r="F18">
            <v>40342</v>
          </cell>
          <cell r="G18">
            <v>10610</v>
          </cell>
          <cell r="H18">
            <v>14391</v>
          </cell>
          <cell r="I18">
            <v>14391</v>
          </cell>
          <cell r="J18">
            <v>14726</v>
          </cell>
          <cell r="K18">
            <v>33555</v>
          </cell>
          <cell r="L18">
            <v>48376</v>
          </cell>
          <cell r="M18">
            <v>17521</v>
          </cell>
          <cell r="N18">
            <v>17521</v>
          </cell>
          <cell r="O18">
            <v>3184</v>
          </cell>
          <cell r="P18">
            <v>4655</v>
          </cell>
          <cell r="Q18">
            <v>5388</v>
          </cell>
          <cell r="R18">
            <v>4638</v>
          </cell>
          <cell r="S18">
            <v>4638</v>
          </cell>
          <cell r="T18">
            <v>3410</v>
          </cell>
          <cell r="U18">
            <v>36131</v>
          </cell>
          <cell r="V18">
            <v>6820</v>
          </cell>
          <cell r="W18">
            <v>19390</v>
          </cell>
          <cell r="X18">
            <v>19390</v>
          </cell>
          <cell r="Y18">
            <v>22200</v>
          </cell>
          <cell r="Z18">
            <v>30742</v>
          </cell>
          <cell r="AA18">
            <v>15606</v>
          </cell>
          <cell r="AB18">
            <v>11071</v>
          </cell>
          <cell r="AC18">
            <v>11071</v>
          </cell>
          <cell r="AD18">
            <v>29840</v>
          </cell>
          <cell r="AE18">
            <v>26268</v>
          </cell>
          <cell r="AF18">
            <v>43750</v>
          </cell>
          <cell r="AG18">
            <v>21809</v>
          </cell>
          <cell r="AH18">
            <v>21809</v>
          </cell>
          <cell r="AI18">
            <v>34505</v>
          </cell>
          <cell r="AJ18">
            <v>39284</v>
          </cell>
          <cell r="AK18">
            <v>21775</v>
          </cell>
          <cell r="AL18">
            <v>33667</v>
          </cell>
          <cell r="AM18">
            <v>33667</v>
          </cell>
          <cell r="AN18">
            <v>36783</v>
          </cell>
          <cell r="AO18">
            <v>50991</v>
          </cell>
          <cell r="AP18">
            <v>43209</v>
          </cell>
          <cell r="AQ18">
            <v>61629</v>
          </cell>
          <cell r="AR18">
            <v>61629</v>
          </cell>
          <cell r="AS18">
            <v>43133</v>
          </cell>
          <cell r="AT18">
            <v>37762</v>
          </cell>
          <cell r="AU18">
            <v>26573</v>
          </cell>
          <cell r="AV18">
            <v>53737</v>
          </cell>
          <cell r="AW18">
            <v>53737</v>
          </cell>
          <cell r="AX18">
            <v>37859</v>
          </cell>
          <cell r="AY18">
            <v>12741</v>
          </cell>
          <cell r="AZ18">
            <v>36031</v>
          </cell>
          <cell r="BA18">
            <v>37989</v>
          </cell>
          <cell r="BB18">
            <v>37989</v>
          </cell>
          <cell r="BC18">
            <v>37989.000000000007</v>
          </cell>
          <cell r="BD18">
            <v>37989.000000000007</v>
          </cell>
          <cell r="BE18">
            <v>37989.000000000022</v>
          </cell>
          <cell r="BF18">
            <v>37989.000000000022</v>
          </cell>
          <cell r="BG18">
            <v>37989.000000000022</v>
          </cell>
          <cell r="BH18">
            <v>37989.000000000022</v>
          </cell>
          <cell r="BI18">
            <v>37989.000000000036</v>
          </cell>
          <cell r="BJ18">
            <v>37989.000000000036</v>
          </cell>
          <cell r="BK18">
            <v>37989.000000000029</v>
          </cell>
          <cell r="BL18">
            <v>37989.000000000029</v>
          </cell>
          <cell r="BM18">
            <v>37989.000000000007</v>
          </cell>
          <cell r="BN18">
            <v>37988.999999999985</v>
          </cell>
          <cell r="BO18">
            <v>37988.999999999985</v>
          </cell>
          <cell r="BP18">
            <v>37988.999999999942</v>
          </cell>
          <cell r="BQ18">
            <v>37988.999999999942</v>
          </cell>
          <cell r="BZ18" t="str">
            <v>mstag:cashAndCashEquivalents</v>
          </cell>
          <cell r="CA18">
            <v>3</v>
          </cell>
          <cell r="CB18" t="str">
            <v>ISO4217:USD</v>
          </cell>
          <cell r="CC18" t="b">
            <v>0</v>
          </cell>
          <cell r="CD18" t="b">
            <v>0</v>
          </cell>
        </row>
        <row r="19">
          <cell r="B19" t="str">
            <v>Restricted Cash</v>
          </cell>
          <cell r="I19">
            <v>0</v>
          </cell>
          <cell r="N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15292</v>
          </cell>
          <cell r="AH19">
            <v>15292</v>
          </cell>
          <cell r="AI19">
            <v>22696</v>
          </cell>
          <cell r="AJ19">
            <v>23164</v>
          </cell>
          <cell r="AK19">
            <v>21803</v>
          </cell>
          <cell r="AL19">
            <v>34626</v>
          </cell>
          <cell r="AM19">
            <v>34626</v>
          </cell>
          <cell r="AN19">
            <v>17932</v>
          </cell>
          <cell r="AO19">
            <v>24875</v>
          </cell>
          <cell r="AP19">
            <v>21799</v>
          </cell>
          <cell r="AQ19">
            <v>29085</v>
          </cell>
          <cell r="AR19">
            <v>29085</v>
          </cell>
          <cell r="AS19">
            <v>19376</v>
          </cell>
          <cell r="AT19">
            <v>17728</v>
          </cell>
          <cell r="AU19">
            <v>13891</v>
          </cell>
          <cell r="AV19">
            <v>55671</v>
          </cell>
          <cell r="AW19">
            <v>55671</v>
          </cell>
          <cell r="AX19">
            <v>30233</v>
          </cell>
          <cell r="AY19">
            <v>34764</v>
          </cell>
          <cell r="AZ19">
            <v>31200</v>
          </cell>
          <cell r="BA19">
            <v>34567</v>
          </cell>
          <cell r="BB19">
            <v>34567</v>
          </cell>
          <cell r="BC19">
            <v>34567</v>
          </cell>
          <cell r="BD19">
            <v>34567</v>
          </cell>
          <cell r="BE19">
            <v>34567</v>
          </cell>
          <cell r="BF19">
            <v>34567</v>
          </cell>
          <cell r="BG19">
            <v>34567</v>
          </cell>
          <cell r="BH19">
            <v>34567</v>
          </cell>
          <cell r="BI19">
            <v>34567</v>
          </cell>
          <cell r="BJ19">
            <v>34567</v>
          </cell>
          <cell r="BK19">
            <v>34567</v>
          </cell>
          <cell r="BL19">
            <v>34567</v>
          </cell>
          <cell r="BM19">
            <v>34567</v>
          </cell>
          <cell r="BN19">
            <v>34567</v>
          </cell>
          <cell r="BO19">
            <v>34567</v>
          </cell>
          <cell r="BP19">
            <v>34567</v>
          </cell>
          <cell r="BQ19">
            <v>34567</v>
          </cell>
          <cell r="BZ19" t="str">
            <v>mstag:otherAssets</v>
          </cell>
          <cell r="CA19">
            <v>3</v>
          </cell>
          <cell r="CB19" t="str">
            <v>ISO4217:USD</v>
          </cell>
          <cell r="CC19" t="b">
            <v>0</v>
          </cell>
          <cell r="CD19" t="b">
            <v>0</v>
          </cell>
        </row>
        <row r="20">
          <cell r="B20" t="str">
            <v>Accounts receivable</v>
          </cell>
          <cell r="E20">
            <v>6402</v>
          </cell>
          <cell r="F20">
            <v>7533</v>
          </cell>
          <cell r="G20">
            <v>9569</v>
          </cell>
          <cell r="H20">
            <v>15391</v>
          </cell>
          <cell r="I20">
            <v>15391</v>
          </cell>
          <cell r="J20">
            <v>9879</v>
          </cell>
          <cell r="K20">
            <v>5780</v>
          </cell>
          <cell r="L20">
            <v>12763</v>
          </cell>
          <cell r="M20">
            <v>13388</v>
          </cell>
          <cell r="N20">
            <v>13388</v>
          </cell>
          <cell r="O20">
            <v>15783</v>
          </cell>
          <cell r="P20">
            <v>4862</v>
          </cell>
          <cell r="Q20">
            <v>6859</v>
          </cell>
          <cell r="R20">
            <v>12624</v>
          </cell>
          <cell r="S20">
            <v>12624</v>
          </cell>
          <cell r="T20">
            <v>16604</v>
          </cell>
          <cell r="U20">
            <v>16501</v>
          </cell>
          <cell r="V20">
            <v>20985</v>
          </cell>
          <cell r="W20">
            <v>15470</v>
          </cell>
          <cell r="X20">
            <v>15470</v>
          </cell>
          <cell r="Y20">
            <v>21743</v>
          </cell>
          <cell r="Z20">
            <v>8786</v>
          </cell>
          <cell r="AA20">
            <v>12300</v>
          </cell>
          <cell r="AB20">
            <v>14349</v>
          </cell>
          <cell r="AC20">
            <v>14349</v>
          </cell>
          <cell r="AD20">
            <v>14479</v>
          </cell>
          <cell r="AE20">
            <v>11327</v>
          </cell>
          <cell r="AF20">
            <v>6032</v>
          </cell>
          <cell r="AG20">
            <v>10896</v>
          </cell>
          <cell r="AH20">
            <v>10896</v>
          </cell>
          <cell r="AI20">
            <v>14947</v>
          </cell>
          <cell r="AJ20">
            <v>12029</v>
          </cell>
          <cell r="AK20">
            <v>19688</v>
          </cell>
          <cell r="AL20">
            <v>21502</v>
          </cell>
          <cell r="AM20">
            <v>21502</v>
          </cell>
          <cell r="AN20">
            <v>16042</v>
          </cell>
          <cell r="AO20">
            <v>15610</v>
          </cell>
          <cell r="AP20">
            <v>18978</v>
          </cell>
          <cell r="AQ20">
            <v>19529</v>
          </cell>
          <cell r="AR20">
            <v>19529</v>
          </cell>
          <cell r="AS20">
            <v>27692</v>
          </cell>
          <cell r="AT20">
            <v>29034</v>
          </cell>
          <cell r="AU20">
            <v>24067</v>
          </cell>
          <cell r="AV20">
            <v>23189</v>
          </cell>
          <cell r="AW20">
            <v>23189</v>
          </cell>
          <cell r="AX20">
            <v>26412</v>
          </cell>
          <cell r="AY20">
            <v>24216</v>
          </cell>
          <cell r="AZ20">
            <v>26708</v>
          </cell>
          <cell r="BA20">
            <v>27379</v>
          </cell>
          <cell r="BB20">
            <v>27379</v>
          </cell>
          <cell r="BC20">
            <v>27379</v>
          </cell>
          <cell r="BD20">
            <v>27379</v>
          </cell>
          <cell r="BE20">
            <v>27379</v>
          </cell>
          <cell r="BF20">
            <v>27379</v>
          </cell>
          <cell r="BG20">
            <v>27379</v>
          </cell>
          <cell r="BH20">
            <v>27379</v>
          </cell>
          <cell r="BI20">
            <v>27379</v>
          </cell>
          <cell r="BJ20">
            <v>27379</v>
          </cell>
          <cell r="BK20">
            <v>27379</v>
          </cell>
          <cell r="BL20">
            <v>27379</v>
          </cell>
          <cell r="BM20">
            <v>27379</v>
          </cell>
          <cell r="BN20">
            <v>27379</v>
          </cell>
          <cell r="BO20">
            <v>27379</v>
          </cell>
          <cell r="BP20">
            <v>27379</v>
          </cell>
          <cell r="BQ20">
            <v>27379</v>
          </cell>
          <cell r="BZ20" t="str">
            <v>mstag:tradeReceivables</v>
          </cell>
          <cell r="CA20">
            <v>3</v>
          </cell>
          <cell r="CB20" t="str">
            <v>ISO4217:USD</v>
          </cell>
          <cell r="CC20" t="b">
            <v>0</v>
          </cell>
          <cell r="CD20" t="b">
            <v>0</v>
          </cell>
        </row>
        <row r="21">
          <cell r="B21" t="str">
            <v>Deferred rent receivable</v>
          </cell>
          <cell r="I21">
            <v>0</v>
          </cell>
          <cell r="N21">
            <v>0</v>
          </cell>
          <cell r="S21">
            <v>0</v>
          </cell>
          <cell r="T21">
            <v>0</v>
          </cell>
          <cell r="U21">
            <v>0</v>
          </cell>
          <cell r="V21">
            <v>0</v>
          </cell>
          <cell r="W21">
            <v>0</v>
          </cell>
          <cell r="X21">
            <v>0</v>
          </cell>
          <cell r="Y21">
            <v>0</v>
          </cell>
          <cell r="Z21">
            <v>0</v>
          </cell>
          <cell r="AA21">
            <v>0</v>
          </cell>
          <cell r="AB21">
            <v>0</v>
          </cell>
          <cell r="AC21">
            <v>0</v>
          </cell>
          <cell r="AD21">
            <v>0</v>
          </cell>
          <cell r="AE21">
            <v>0</v>
          </cell>
          <cell r="AF21">
            <v>55629</v>
          </cell>
          <cell r="AG21">
            <v>58015</v>
          </cell>
          <cell r="AH21">
            <v>58015</v>
          </cell>
          <cell r="AI21">
            <v>60647</v>
          </cell>
          <cell r="AJ21">
            <v>63270</v>
          </cell>
          <cell r="AK21">
            <v>66278</v>
          </cell>
          <cell r="AL21">
            <v>66528</v>
          </cell>
          <cell r="AM21">
            <v>66528</v>
          </cell>
          <cell r="AN21">
            <v>68594</v>
          </cell>
          <cell r="AO21">
            <v>70083</v>
          </cell>
          <cell r="AP21">
            <v>71675</v>
          </cell>
          <cell r="AQ21">
            <v>72818</v>
          </cell>
          <cell r="AR21">
            <v>72818</v>
          </cell>
          <cell r="AS21">
            <v>70144</v>
          </cell>
          <cell r="AT21">
            <v>69787</v>
          </cell>
          <cell r="AU21">
            <v>71656</v>
          </cell>
          <cell r="AV21">
            <v>71894</v>
          </cell>
          <cell r="AW21">
            <v>71894</v>
          </cell>
          <cell r="AX21">
            <v>73027</v>
          </cell>
          <cell r="AY21">
            <v>72522</v>
          </cell>
          <cell r="AZ21">
            <v>73010</v>
          </cell>
          <cell r="BA21">
            <v>80087</v>
          </cell>
          <cell r="BB21">
            <v>80087</v>
          </cell>
          <cell r="BC21">
            <v>80087</v>
          </cell>
          <cell r="BD21">
            <v>80087</v>
          </cell>
          <cell r="BE21">
            <v>80087</v>
          </cell>
          <cell r="BF21">
            <v>80087</v>
          </cell>
          <cell r="BG21">
            <v>80087</v>
          </cell>
          <cell r="BH21">
            <v>80087</v>
          </cell>
          <cell r="BI21">
            <v>80087</v>
          </cell>
          <cell r="BJ21">
            <v>80087</v>
          </cell>
          <cell r="BK21">
            <v>80087</v>
          </cell>
          <cell r="BL21">
            <v>80087</v>
          </cell>
          <cell r="BM21">
            <v>80087</v>
          </cell>
          <cell r="BN21">
            <v>80087</v>
          </cell>
          <cell r="BO21">
            <v>80087</v>
          </cell>
          <cell r="BP21">
            <v>80087</v>
          </cell>
          <cell r="BQ21">
            <v>80087</v>
          </cell>
          <cell r="BZ21" t="str">
            <v>mstag:otherReceivables</v>
          </cell>
          <cell r="CA21">
            <v>3</v>
          </cell>
          <cell r="CB21" t="str">
            <v>ISO4217:USD</v>
          </cell>
          <cell r="CC21" t="b">
            <v>0</v>
          </cell>
          <cell r="CD21" t="b">
            <v>0</v>
          </cell>
        </row>
        <row r="22">
          <cell r="B22" t="str">
            <v>Deferred financing and leasing costs</v>
          </cell>
          <cell r="E22">
            <v>31865</v>
          </cell>
          <cell r="F22">
            <v>34418</v>
          </cell>
          <cell r="G22">
            <v>35513</v>
          </cell>
          <cell r="H22">
            <v>39475</v>
          </cell>
          <cell r="I22">
            <v>39475</v>
          </cell>
          <cell r="J22">
            <v>40434</v>
          </cell>
          <cell r="K22">
            <v>45298</v>
          </cell>
          <cell r="L22">
            <v>46393</v>
          </cell>
          <cell r="M22">
            <v>46941</v>
          </cell>
          <cell r="N22">
            <v>46941</v>
          </cell>
          <cell r="O22">
            <v>47059</v>
          </cell>
          <cell r="P22">
            <v>51578</v>
          </cell>
          <cell r="Q22">
            <v>56367</v>
          </cell>
          <cell r="R22">
            <v>57807</v>
          </cell>
          <cell r="S22">
            <v>57807</v>
          </cell>
          <cell r="T22">
            <v>61926</v>
          </cell>
          <cell r="U22">
            <v>63488</v>
          </cell>
          <cell r="V22">
            <v>63497</v>
          </cell>
          <cell r="W22">
            <v>68163</v>
          </cell>
          <cell r="X22">
            <v>68163</v>
          </cell>
          <cell r="Y22">
            <v>68500</v>
          </cell>
          <cell r="Z22">
            <v>67267</v>
          </cell>
          <cell r="AA22">
            <v>71317</v>
          </cell>
          <cell r="AB22">
            <v>71544</v>
          </cell>
          <cell r="AC22">
            <v>71544</v>
          </cell>
          <cell r="AD22">
            <v>80196</v>
          </cell>
          <cell r="AE22">
            <v>80813</v>
          </cell>
          <cell r="AF22">
            <v>82459</v>
          </cell>
          <cell r="AG22">
            <v>98506</v>
          </cell>
          <cell r="AH22">
            <v>98506</v>
          </cell>
          <cell r="AI22">
            <v>98580</v>
          </cell>
          <cell r="AJ22">
            <v>98187</v>
          </cell>
          <cell r="AK22">
            <v>106600</v>
          </cell>
          <cell r="AL22">
            <v>107148</v>
          </cell>
          <cell r="AM22">
            <v>107148</v>
          </cell>
          <cell r="AN22">
            <v>118197</v>
          </cell>
          <cell r="AO22">
            <v>118266</v>
          </cell>
          <cell r="AP22">
            <v>115780</v>
          </cell>
          <cell r="AQ22">
            <v>121085</v>
          </cell>
          <cell r="AR22">
            <v>121085</v>
          </cell>
          <cell r="AS22">
            <v>119098</v>
          </cell>
          <cell r="AT22">
            <v>119184</v>
          </cell>
          <cell r="AU22">
            <v>124509</v>
          </cell>
          <cell r="AV22">
            <v>129745</v>
          </cell>
          <cell r="AW22">
            <v>129745</v>
          </cell>
          <cell r="AX22">
            <v>134817</v>
          </cell>
          <cell r="AY22">
            <v>134681</v>
          </cell>
          <cell r="AZ22">
            <v>144549</v>
          </cell>
          <cell r="BA22">
            <v>144689</v>
          </cell>
          <cell r="BB22">
            <v>144689</v>
          </cell>
          <cell r="BC22">
            <v>144689</v>
          </cell>
          <cell r="BD22">
            <v>144689</v>
          </cell>
          <cell r="BE22">
            <v>144689</v>
          </cell>
          <cell r="BF22">
            <v>144689</v>
          </cell>
          <cell r="BG22">
            <v>144689</v>
          </cell>
          <cell r="BH22">
            <v>144689</v>
          </cell>
          <cell r="BI22">
            <v>144689</v>
          </cell>
          <cell r="BJ22">
            <v>144689</v>
          </cell>
          <cell r="BK22">
            <v>144689</v>
          </cell>
          <cell r="BL22">
            <v>144689</v>
          </cell>
          <cell r="BM22">
            <v>144689</v>
          </cell>
          <cell r="BN22">
            <v>144689</v>
          </cell>
          <cell r="BO22">
            <v>144689</v>
          </cell>
          <cell r="BP22">
            <v>144689</v>
          </cell>
          <cell r="BQ22">
            <v>144689</v>
          </cell>
          <cell r="BZ22" t="str">
            <v>mstag:otherAssetsNonOperating</v>
          </cell>
          <cell r="CA22">
            <v>3</v>
          </cell>
          <cell r="CB22" t="str">
            <v>ISO4217:USD</v>
          </cell>
          <cell r="CC22" t="b">
            <v>0</v>
          </cell>
          <cell r="CD22" t="b">
            <v>0</v>
          </cell>
        </row>
        <row r="23">
          <cell r="B23" t="str">
            <v>Investment in unconsolidated JVs</v>
          </cell>
          <cell r="I23">
            <v>0</v>
          </cell>
          <cell r="N23">
            <v>0</v>
          </cell>
          <cell r="S23">
            <v>0</v>
          </cell>
          <cell r="T23">
            <v>0</v>
          </cell>
          <cell r="U23">
            <v>0</v>
          </cell>
          <cell r="V23">
            <v>0</v>
          </cell>
          <cell r="W23">
            <v>0</v>
          </cell>
          <cell r="X23">
            <v>0</v>
          </cell>
          <cell r="Y23">
            <v>0</v>
          </cell>
          <cell r="Z23">
            <v>0</v>
          </cell>
          <cell r="AA23">
            <v>0</v>
          </cell>
          <cell r="AB23">
            <v>14963</v>
          </cell>
          <cell r="AC23">
            <v>14963</v>
          </cell>
          <cell r="AD23">
            <v>16163</v>
          </cell>
          <cell r="AE23">
            <v>16793</v>
          </cell>
          <cell r="AF23">
            <v>17861</v>
          </cell>
          <cell r="AG23">
            <v>19631</v>
          </cell>
          <cell r="AH23">
            <v>19631</v>
          </cell>
          <cell r="AI23">
            <v>20575</v>
          </cell>
          <cell r="AJ23">
            <v>20092</v>
          </cell>
          <cell r="AK23">
            <v>23348</v>
          </cell>
          <cell r="AL23">
            <v>24372</v>
          </cell>
          <cell r="AM23">
            <v>24372</v>
          </cell>
          <cell r="AN23">
            <v>33284</v>
          </cell>
          <cell r="AO23">
            <v>33336</v>
          </cell>
          <cell r="AP23">
            <v>33319</v>
          </cell>
          <cell r="AQ23">
            <v>33522</v>
          </cell>
          <cell r="AR23">
            <v>33522</v>
          </cell>
          <cell r="AS23">
            <v>34416</v>
          </cell>
          <cell r="AT23">
            <v>44663</v>
          </cell>
          <cell r="AU23">
            <v>48602</v>
          </cell>
          <cell r="AV23">
            <v>47196</v>
          </cell>
          <cell r="AW23">
            <v>47196</v>
          </cell>
          <cell r="AX23">
            <v>48146</v>
          </cell>
          <cell r="AY23">
            <v>55955</v>
          </cell>
          <cell r="AZ23">
            <v>77666</v>
          </cell>
          <cell r="BA23">
            <v>278383</v>
          </cell>
          <cell r="BB23">
            <v>278383</v>
          </cell>
          <cell r="BC23">
            <v>274708</v>
          </cell>
          <cell r="BD23">
            <v>271033</v>
          </cell>
          <cell r="BE23">
            <v>267358</v>
          </cell>
          <cell r="BF23">
            <v>263683</v>
          </cell>
          <cell r="BG23">
            <v>263683</v>
          </cell>
          <cell r="BH23">
            <v>260008</v>
          </cell>
          <cell r="BI23">
            <v>256333</v>
          </cell>
          <cell r="BJ23">
            <v>252658</v>
          </cell>
          <cell r="BK23">
            <v>248983</v>
          </cell>
          <cell r="BL23">
            <v>248983</v>
          </cell>
          <cell r="BM23">
            <v>245308</v>
          </cell>
          <cell r="BN23">
            <v>241633</v>
          </cell>
          <cell r="BO23">
            <v>237958</v>
          </cell>
          <cell r="BP23">
            <v>234283</v>
          </cell>
          <cell r="BQ23">
            <v>234283</v>
          </cell>
          <cell r="BZ23" t="str">
            <v>mstag:investmentsInJointVentures</v>
          </cell>
          <cell r="CA23">
            <v>3</v>
          </cell>
          <cell r="CB23" t="str">
            <v>ISO4217:USD</v>
          </cell>
          <cell r="CC23" t="b">
            <v>0</v>
          </cell>
          <cell r="CD23" t="b">
            <v>0</v>
          </cell>
        </row>
        <row r="24">
          <cell r="B24" t="str">
            <v>Assets held for sale</v>
          </cell>
          <cell r="I24">
            <v>0</v>
          </cell>
          <cell r="N24">
            <v>0</v>
          </cell>
          <cell r="S24">
            <v>0</v>
          </cell>
          <cell r="T24">
            <v>0</v>
          </cell>
          <cell r="U24">
            <v>0</v>
          </cell>
          <cell r="V24">
            <v>0</v>
          </cell>
          <cell r="W24">
            <v>0</v>
          </cell>
          <cell r="X24">
            <v>0</v>
          </cell>
          <cell r="Y24">
            <v>0</v>
          </cell>
          <cell r="Z24">
            <v>0</v>
          </cell>
          <cell r="AA24">
            <v>121474</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12654</v>
          </cell>
          <cell r="AR24">
            <v>12654</v>
          </cell>
          <cell r="AS24">
            <v>0</v>
          </cell>
          <cell r="AT24">
            <v>10080</v>
          </cell>
          <cell r="AU24">
            <v>6375</v>
          </cell>
          <cell r="AV24">
            <v>40715</v>
          </cell>
          <cell r="AW24">
            <v>40715</v>
          </cell>
          <cell r="AX24">
            <v>10291</v>
          </cell>
          <cell r="AY24">
            <v>180</v>
          </cell>
          <cell r="AZ24">
            <v>60033</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Z24" t="str">
            <v>mstag:propertiesForSale</v>
          </cell>
          <cell r="CA24">
            <v>3</v>
          </cell>
          <cell r="CB24" t="str">
            <v>ISO4217:USD</v>
          </cell>
          <cell r="CC24" t="b">
            <v>0</v>
          </cell>
          <cell r="CD24" t="b">
            <v>0</v>
          </cell>
        </row>
        <row r="25">
          <cell r="B25" t="str">
            <v>Prepaid expenses and other assets</v>
          </cell>
          <cell r="E25">
            <v>44475</v>
          </cell>
          <cell r="F25">
            <v>44710</v>
          </cell>
          <cell r="G25">
            <v>47567</v>
          </cell>
          <cell r="H25">
            <v>44995</v>
          </cell>
          <cell r="I25">
            <v>44995</v>
          </cell>
          <cell r="J25">
            <v>40988</v>
          </cell>
          <cell r="K25">
            <v>36958</v>
          </cell>
          <cell r="L25">
            <v>47856</v>
          </cell>
          <cell r="M25">
            <v>55706</v>
          </cell>
          <cell r="N25">
            <v>55706</v>
          </cell>
          <cell r="O25">
            <v>64195</v>
          </cell>
          <cell r="P25">
            <v>69239</v>
          </cell>
          <cell r="Q25">
            <v>86288</v>
          </cell>
          <cell r="R25">
            <v>107336</v>
          </cell>
          <cell r="S25">
            <v>107336</v>
          </cell>
          <cell r="T25">
            <v>80380</v>
          </cell>
          <cell r="U25">
            <v>84443</v>
          </cell>
          <cell r="V25">
            <v>117860</v>
          </cell>
          <cell r="W25">
            <v>95869</v>
          </cell>
          <cell r="X25">
            <v>95869</v>
          </cell>
          <cell r="Y25">
            <v>99639</v>
          </cell>
          <cell r="Z25">
            <v>110127</v>
          </cell>
          <cell r="AA25">
            <v>127441</v>
          </cell>
          <cell r="AB25">
            <v>120335</v>
          </cell>
          <cell r="AC25">
            <v>120335</v>
          </cell>
          <cell r="AD25">
            <v>124303</v>
          </cell>
          <cell r="AE25">
            <v>119022</v>
          </cell>
          <cell r="AF25">
            <v>63908</v>
          </cell>
          <cell r="AG25">
            <v>49303</v>
          </cell>
          <cell r="AH25">
            <v>49303</v>
          </cell>
          <cell r="AI25">
            <v>53872</v>
          </cell>
          <cell r="AJ25">
            <v>51221</v>
          </cell>
          <cell r="AK25">
            <v>66474</v>
          </cell>
          <cell r="AL25">
            <v>63630</v>
          </cell>
          <cell r="AM25">
            <v>63630</v>
          </cell>
          <cell r="AN25">
            <v>52652</v>
          </cell>
          <cell r="AO25">
            <v>32887</v>
          </cell>
          <cell r="AP25">
            <v>59272</v>
          </cell>
          <cell r="AQ25">
            <v>52005</v>
          </cell>
          <cell r="AR25">
            <v>52005</v>
          </cell>
          <cell r="AS25">
            <v>71849</v>
          </cell>
          <cell r="AT25">
            <v>146977</v>
          </cell>
          <cell r="AU25">
            <v>83164</v>
          </cell>
          <cell r="AV25">
            <v>68306</v>
          </cell>
          <cell r="AW25">
            <v>68306</v>
          </cell>
          <cell r="AX25">
            <v>64792</v>
          </cell>
          <cell r="AY25">
            <v>62128</v>
          </cell>
          <cell r="AZ25">
            <v>83518</v>
          </cell>
          <cell r="BA25">
            <v>92770</v>
          </cell>
          <cell r="BB25">
            <v>92770</v>
          </cell>
          <cell r="BC25">
            <v>96316.089258909036</v>
          </cell>
          <cell r="BD25">
            <v>99814.507718939145</v>
          </cell>
          <cell r="BE25">
            <v>103254.93032663051</v>
          </cell>
          <cell r="BF25">
            <v>106721.57214699354</v>
          </cell>
          <cell r="BG25">
            <v>106721.57214699354</v>
          </cell>
          <cell r="BH25">
            <v>110503.41794919944</v>
          </cell>
          <cell r="BI25">
            <v>114358.01879826898</v>
          </cell>
          <cell r="BJ25">
            <v>118318.87181796652</v>
          </cell>
          <cell r="BK25">
            <v>122355.85391627644</v>
          </cell>
          <cell r="BL25">
            <v>122355.85391627644</v>
          </cell>
          <cell r="BM25">
            <v>126454.27905154476</v>
          </cell>
          <cell r="BN25">
            <v>130629.8579133696</v>
          </cell>
          <cell r="BO25">
            <v>134882.77012682435</v>
          </cell>
          <cell r="BP25">
            <v>139213.1957764104</v>
          </cell>
          <cell r="BQ25">
            <v>139213.1957764104</v>
          </cell>
          <cell r="BZ25" t="str">
            <v>mstag:prepaidExpenses</v>
          </cell>
          <cell r="CA25">
            <v>3</v>
          </cell>
          <cell r="CB25" t="str">
            <v>ISO4217:USD</v>
          </cell>
          <cell r="CC25" t="b">
            <v>0</v>
          </cell>
          <cell r="CD25" t="b">
            <v>0</v>
          </cell>
        </row>
        <row r="26">
          <cell r="B26" t="str">
            <v/>
          </cell>
        </row>
        <row r="27">
          <cell r="B27" t="str">
            <v>Total assets</v>
          </cell>
          <cell r="E27">
            <v>2406764</v>
          </cell>
          <cell r="F27">
            <v>2657004</v>
          </cell>
          <cell r="G27">
            <v>2825766</v>
          </cell>
          <cell r="H27">
            <v>2933371</v>
          </cell>
          <cell r="I27">
            <v>2933371</v>
          </cell>
          <cell r="J27">
            <v>2985212</v>
          </cell>
          <cell r="K27">
            <v>3042405</v>
          </cell>
          <cell r="L27">
            <v>3087152</v>
          </cell>
          <cell r="M27">
            <v>3118133</v>
          </cell>
          <cell r="N27">
            <v>3118133</v>
          </cell>
          <cell r="O27">
            <v>3182832</v>
          </cell>
          <cell r="P27">
            <v>3209844</v>
          </cell>
          <cell r="Q27">
            <v>3301159</v>
          </cell>
          <cell r="R27">
            <v>3396355</v>
          </cell>
          <cell r="S27">
            <v>3396355</v>
          </cell>
          <cell r="T27">
            <v>3463408</v>
          </cell>
          <cell r="U27">
            <v>3509370</v>
          </cell>
          <cell r="V27">
            <v>3573681</v>
          </cell>
          <cell r="W27">
            <v>3552825</v>
          </cell>
          <cell r="X27">
            <v>3552825</v>
          </cell>
          <cell r="Y27">
            <v>3591652</v>
          </cell>
          <cell r="Z27">
            <v>3610317</v>
          </cell>
          <cell r="AA27">
            <v>3696421</v>
          </cell>
          <cell r="AB27">
            <v>3627061</v>
          </cell>
          <cell r="AC27">
            <v>3627061</v>
          </cell>
          <cell r="AD27">
            <v>3665840</v>
          </cell>
          <cell r="AE27">
            <v>3637130</v>
          </cell>
          <cell r="AF27">
            <v>3755826</v>
          </cell>
          <cell r="AG27">
            <v>3834008</v>
          </cell>
          <cell r="AH27">
            <v>3834008</v>
          </cell>
          <cell r="AI27">
            <v>3893615</v>
          </cell>
          <cell r="AJ27">
            <v>3936650</v>
          </cell>
          <cell r="AK27">
            <v>4063885</v>
          </cell>
          <cell r="AL27">
            <v>4162827</v>
          </cell>
          <cell r="AM27">
            <v>4162827</v>
          </cell>
          <cell r="AN27">
            <v>4276479</v>
          </cell>
          <cell r="AO27">
            <v>4372086</v>
          </cell>
          <cell r="AP27">
            <v>4457663</v>
          </cell>
          <cell r="AQ27">
            <v>4497529</v>
          </cell>
          <cell r="AR27">
            <v>4497529</v>
          </cell>
          <cell r="AS27">
            <v>4502135</v>
          </cell>
          <cell r="AT27">
            <v>4557560</v>
          </cell>
          <cell r="AU27">
            <v>4678825</v>
          </cell>
          <cell r="AV27">
            <v>4910291</v>
          </cell>
          <cell r="AW27">
            <v>4910291</v>
          </cell>
          <cell r="AX27">
            <v>5072226</v>
          </cell>
          <cell r="AY27">
            <v>5202241</v>
          </cell>
          <cell r="AZ27">
            <v>5384055</v>
          </cell>
          <cell r="BA27">
            <v>5638749</v>
          </cell>
          <cell r="BB27">
            <v>5638749</v>
          </cell>
          <cell r="BC27">
            <v>5686262.3024906004</v>
          </cell>
          <cell r="BD27">
            <v>5346284.7893699855</v>
          </cell>
          <cell r="BE27">
            <v>5354342.4673128622</v>
          </cell>
          <cell r="BF27">
            <v>5398980.1418600054</v>
          </cell>
          <cell r="BG27">
            <v>5398980.1418600054</v>
          </cell>
          <cell r="BH27">
            <v>5440925.8157490473</v>
          </cell>
          <cell r="BI27">
            <v>5593227.0244859196</v>
          </cell>
          <cell r="BJ27">
            <v>5746116.0296520442</v>
          </cell>
          <cell r="BK27">
            <v>5799383.9644492418</v>
          </cell>
          <cell r="BL27">
            <v>5799383.9644492418</v>
          </cell>
          <cell r="BM27">
            <v>5907886.44702408</v>
          </cell>
          <cell r="BN27">
            <v>6016732.4117924478</v>
          </cell>
          <cell r="BO27">
            <v>6125923.1042345222</v>
          </cell>
          <cell r="BP27">
            <v>6235459.7730160505</v>
          </cell>
          <cell r="BQ27">
            <v>6235459.7730160505</v>
          </cell>
        </row>
        <row r="29">
          <cell r="A29" t="str">
            <v>LIABILITIES AND SHAREHOLDER'S EQUITY</v>
          </cell>
        </row>
        <row r="30">
          <cell r="B30" t="str">
            <v>Mortgage loans</v>
          </cell>
          <cell r="E30">
            <v>376701</v>
          </cell>
          <cell r="F30">
            <v>416004</v>
          </cell>
          <cell r="G30">
            <v>414917</v>
          </cell>
          <cell r="H30">
            <v>413224</v>
          </cell>
          <cell r="I30">
            <v>413224</v>
          </cell>
          <cell r="J30">
            <v>407686</v>
          </cell>
          <cell r="K30">
            <v>386150</v>
          </cell>
          <cell r="L30">
            <v>377224</v>
          </cell>
          <cell r="M30">
            <v>374825</v>
          </cell>
          <cell r="N30">
            <v>374825</v>
          </cell>
          <cell r="O30">
            <v>372642</v>
          </cell>
          <cell r="P30">
            <v>370250</v>
          </cell>
          <cell r="Q30">
            <v>367305</v>
          </cell>
          <cell r="R30">
            <v>362025</v>
          </cell>
          <cell r="S30">
            <v>362025</v>
          </cell>
          <cell r="T30">
            <v>357224</v>
          </cell>
          <cell r="U30">
            <v>354964</v>
          </cell>
          <cell r="V30">
            <v>348450</v>
          </cell>
          <cell r="W30">
            <v>340131</v>
          </cell>
          <cell r="X30">
            <v>340131</v>
          </cell>
          <cell r="Y30">
            <v>347930</v>
          </cell>
          <cell r="Z30">
            <v>342034</v>
          </cell>
          <cell r="AA30">
            <v>341418</v>
          </cell>
          <cell r="AB30">
            <v>315263</v>
          </cell>
          <cell r="AC30">
            <v>315263</v>
          </cell>
          <cell r="AD30">
            <v>314341</v>
          </cell>
          <cell r="AE30">
            <v>310670</v>
          </cell>
          <cell r="AF30">
            <v>360741</v>
          </cell>
          <cell r="AG30">
            <v>363866</v>
          </cell>
          <cell r="AH30">
            <v>363866</v>
          </cell>
          <cell r="AI30">
            <v>375037</v>
          </cell>
          <cell r="AJ30">
            <v>373995</v>
          </cell>
          <cell r="AK30">
            <v>371433</v>
          </cell>
          <cell r="AL30">
            <v>366171</v>
          </cell>
          <cell r="AM30">
            <v>366171</v>
          </cell>
          <cell r="AN30">
            <v>372660</v>
          </cell>
          <cell r="AO30">
            <v>281815</v>
          </cell>
          <cell r="AP30">
            <v>257765</v>
          </cell>
          <cell r="AQ30">
            <v>238728</v>
          </cell>
          <cell r="AR30">
            <v>238728</v>
          </cell>
          <cell r="AS30">
            <v>217837</v>
          </cell>
          <cell r="AT30">
            <v>210057</v>
          </cell>
          <cell r="AU30">
            <v>201731</v>
          </cell>
          <cell r="AV30">
            <v>185978</v>
          </cell>
          <cell r="AW30">
            <v>185978</v>
          </cell>
          <cell r="AX30">
            <v>183867</v>
          </cell>
          <cell r="AY30">
            <v>185814</v>
          </cell>
          <cell r="AZ30">
            <v>231986</v>
          </cell>
          <cell r="BA30">
            <v>243169</v>
          </cell>
          <cell r="BB30">
            <v>243169</v>
          </cell>
          <cell r="BC30">
            <v>258418.04899473861</v>
          </cell>
          <cell r="BD30">
            <v>186642.29175767663</v>
          </cell>
          <cell r="BE30">
            <v>194377.70636952817</v>
          </cell>
          <cell r="BF30">
            <v>209591.13696106352</v>
          </cell>
          <cell r="BG30">
            <v>209591.13696106352</v>
          </cell>
          <cell r="BH30">
            <v>224200.56582142063</v>
          </cell>
          <cell r="BI30">
            <v>260758.36569900057</v>
          </cell>
          <cell r="BJ30">
            <v>297915.66108261643</v>
          </cell>
          <cell r="BK30">
            <v>315045.34718048386</v>
          </cell>
          <cell r="BL30">
            <v>315045.34718048386</v>
          </cell>
          <cell r="BM30">
            <v>343129.56065956259</v>
          </cell>
          <cell r="BN30">
            <v>371223.25959663815</v>
          </cell>
          <cell r="BO30">
            <v>400084.55382509419</v>
          </cell>
          <cell r="BP30">
            <v>428996.66362187336</v>
          </cell>
          <cell r="BQ30">
            <v>428996.66362187336</v>
          </cell>
          <cell r="BZ30" t="str">
            <v>mstag:longTermDebtSecured</v>
          </cell>
          <cell r="CA30">
            <v>3</v>
          </cell>
          <cell r="CB30" t="str">
            <v>ISO4217:USD</v>
          </cell>
          <cell r="CC30" t="b">
            <v>0</v>
          </cell>
          <cell r="CD30" t="b">
            <v>0</v>
          </cell>
        </row>
        <row r="31">
          <cell r="B31" t="str">
            <v>Unsecured notes</v>
          </cell>
          <cell r="E31">
            <v>634253</v>
          </cell>
          <cell r="F31">
            <v>732580</v>
          </cell>
          <cell r="G31">
            <v>729034</v>
          </cell>
          <cell r="H31">
            <v>746619</v>
          </cell>
          <cell r="I31">
            <v>746619</v>
          </cell>
          <cell r="J31">
            <v>876836</v>
          </cell>
          <cell r="K31">
            <v>1126729</v>
          </cell>
          <cell r="L31">
            <v>1076240</v>
          </cell>
          <cell r="M31">
            <v>1069413</v>
          </cell>
          <cell r="N31">
            <v>1069413</v>
          </cell>
          <cell r="O31">
            <v>1059466</v>
          </cell>
          <cell r="P31">
            <v>968302</v>
          </cell>
          <cell r="Q31">
            <v>1165916</v>
          </cell>
          <cell r="R31">
            <v>1165871</v>
          </cell>
          <cell r="S31">
            <v>1165871</v>
          </cell>
          <cell r="T31">
            <v>1388311</v>
          </cell>
          <cell r="U31">
            <v>1386743</v>
          </cell>
          <cell r="V31">
            <v>1345000</v>
          </cell>
          <cell r="W31">
            <v>1345000</v>
          </cell>
          <cell r="X31">
            <v>1345000</v>
          </cell>
          <cell r="Y31">
            <v>1345000</v>
          </cell>
          <cell r="Z31">
            <v>1245000</v>
          </cell>
          <cell r="AA31">
            <v>1395000</v>
          </cell>
          <cell r="AB31">
            <v>1418924</v>
          </cell>
          <cell r="AC31">
            <v>1418924</v>
          </cell>
          <cell r="AD31">
            <v>1428739</v>
          </cell>
          <cell r="AE31">
            <v>1405000</v>
          </cell>
          <cell r="AF31">
            <v>1405000</v>
          </cell>
          <cell r="AG31">
            <v>1355000</v>
          </cell>
          <cell r="AH31">
            <v>1355000</v>
          </cell>
          <cell r="AI31">
            <v>1355000</v>
          </cell>
          <cell r="AJ31">
            <v>1355000</v>
          </cell>
          <cell r="AK31">
            <v>1455000</v>
          </cell>
          <cell r="AL31">
            <v>1455000</v>
          </cell>
          <cell r="AM31">
            <v>1455000</v>
          </cell>
          <cell r="AN31">
            <v>1755000</v>
          </cell>
          <cell r="AO31">
            <v>1755000</v>
          </cell>
          <cell r="AP31">
            <v>1755000</v>
          </cell>
          <cell r="AQ31">
            <v>1755000</v>
          </cell>
          <cell r="AR31">
            <v>1755000</v>
          </cell>
          <cell r="AS31">
            <v>1755000</v>
          </cell>
          <cell r="AT31">
            <v>1755000</v>
          </cell>
          <cell r="AU31">
            <v>1755000</v>
          </cell>
          <cell r="AV31">
            <v>1955000</v>
          </cell>
          <cell r="AW31">
            <v>1955000</v>
          </cell>
          <cell r="AX31">
            <v>1955000</v>
          </cell>
          <cell r="AY31">
            <v>1955000</v>
          </cell>
          <cell r="AZ31">
            <v>2155000</v>
          </cell>
          <cell r="BA31">
            <v>2155000</v>
          </cell>
          <cell r="BB31">
            <v>2155000</v>
          </cell>
          <cell r="BC31">
            <v>2155000</v>
          </cell>
          <cell r="BD31">
            <v>2155000</v>
          </cell>
          <cell r="BE31">
            <v>2155000</v>
          </cell>
          <cell r="BF31">
            <v>2155000</v>
          </cell>
          <cell r="BG31">
            <v>2155000</v>
          </cell>
          <cell r="BH31">
            <v>2155000</v>
          </cell>
          <cell r="BI31">
            <v>2155000</v>
          </cell>
          <cell r="BJ31">
            <v>2155000</v>
          </cell>
          <cell r="BK31">
            <v>2155000</v>
          </cell>
          <cell r="BL31">
            <v>2155000</v>
          </cell>
          <cell r="BM31">
            <v>2155000</v>
          </cell>
          <cell r="BN31">
            <v>2155000</v>
          </cell>
          <cell r="BO31">
            <v>2155000</v>
          </cell>
          <cell r="BP31">
            <v>2155000</v>
          </cell>
          <cell r="BQ31">
            <v>2155000</v>
          </cell>
          <cell r="BZ31" t="str">
            <v>mstag:longTermDebtUnsecured</v>
          </cell>
          <cell r="CA31">
            <v>3</v>
          </cell>
          <cell r="CB31" t="str">
            <v>ISO4217:USD</v>
          </cell>
          <cell r="CC31" t="b">
            <v>0</v>
          </cell>
          <cell r="CD31" t="b">
            <v>0</v>
          </cell>
        </row>
        <row r="32">
          <cell r="B32" t="str">
            <v>Credit facility</v>
          </cell>
          <cell r="E32">
            <v>148000</v>
          </cell>
          <cell r="F32">
            <v>133000</v>
          </cell>
          <cell r="G32">
            <v>198000</v>
          </cell>
          <cell r="H32">
            <v>264000</v>
          </cell>
          <cell r="I32">
            <v>264000</v>
          </cell>
          <cell r="J32">
            <v>197000</v>
          </cell>
          <cell r="K32">
            <v>0</v>
          </cell>
          <cell r="L32">
            <v>10000</v>
          </cell>
          <cell r="M32">
            <v>47000</v>
          </cell>
          <cell r="N32">
            <v>47000</v>
          </cell>
          <cell r="O32">
            <v>133000</v>
          </cell>
          <cell r="P32">
            <v>225000</v>
          </cell>
          <cell r="Q32">
            <v>92000</v>
          </cell>
          <cell r="R32">
            <v>176000</v>
          </cell>
          <cell r="S32">
            <v>176000</v>
          </cell>
          <cell r="T32">
            <v>0</v>
          </cell>
          <cell r="U32">
            <v>12000</v>
          </cell>
          <cell r="V32">
            <v>90000</v>
          </cell>
          <cell r="W32">
            <v>68000</v>
          </cell>
          <cell r="X32">
            <v>68000</v>
          </cell>
          <cell r="Y32">
            <v>98000</v>
          </cell>
          <cell r="Z32">
            <v>166000</v>
          </cell>
          <cell r="AA32">
            <v>203000</v>
          </cell>
          <cell r="AB32">
            <v>132000</v>
          </cell>
          <cell r="AC32">
            <v>132000</v>
          </cell>
          <cell r="AD32">
            <v>158000</v>
          </cell>
          <cell r="AE32">
            <v>121000</v>
          </cell>
          <cell r="AF32">
            <v>152000</v>
          </cell>
          <cell r="AG32">
            <v>167000</v>
          </cell>
          <cell r="AH32">
            <v>167000</v>
          </cell>
          <cell r="AI32">
            <v>183000</v>
          </cell>
          <cell r="AJ32">
            <v>219000</v>
          </cell>
          <cell r="AK32">
            <v>245100</v>
          </cell>
          <cell r="AL32">
            <v>312000</v>
          </cell>
          <cell r="AM32">
            <v>312000</v>
          </cell>
          <cell r="AN32">
            <v>125000</v>
          </cell>
          <cell r="AO32">
            <v>232000</v>
          </cell>
          <cell r="AP32">
            <v>289000</v>
          </cell>
          <cell r="AQ32">
            <v>255450</v>
          </cell>
          <cell r="AR32">
            <v>255450</v>
          </cell>
          <cell r="AS32">
            <v>245000</v>
          </cell>
          <cell r="AT32">
            <v>214480</v>
          </cell>
          <cell r="AU32">
            <v>328480</v>
          </cell>
          <cell r="AV32">
            <v>246960</v>
          </cell>
          <cell r="AW32">
            <v>246960</v>
          </cell>
          <cell r="AX32">
            <v>397960</v>
          </cell>
          <cell r="AY32">
            <v>542960</v>
          </cell>
          <cell r="AZ32">
            <v>372960</v>
          </cell>
          <cell r="BA32">
            <v>622960</v>
          </cell>
          <cell r="BB32">
            <v>622960</v>
          </cell>
          <cell r="BC32">
            <v>683956.19597895443</v>
          </cell>
          <cell r="BD32">
            <v>396853.16703070659</v>
          </cell>
          <cell r="BE32">
            <v>427794.82547811279</v>
          </cell>
          <cell r="BF32">
            <v>488648.54784425418</v>
          </cell>
          <cell r="BG32">
            <v>488648.54784425418</v>
          </cell>
          <cell r="BH32">
            <v>547086.26328568265</v>
          </cell>
          <cell r="BI32">
            <v>693317.46279600239</v>
          </cell>
          <cell r="BJ32">
            <v>841946.64433046582</v>
          </cell>
          <cell r="BK32">
            <v>910465.38872193557</v>
          </cell>
          <cell r="BL32">
            <v>910465.38872193557</v>
          </cell>
          <cell r="BM32">
            <v>1022802.2426382506</v>
          </cell>
          <cell r="BN32">
            <v>1135177.0383865528</v>
          </cell>
          <cell r="BO32">
            <v>1250622.215300377</v>
          </cell>
          <cell r="BP32">
            <v>1366270.6544874937</v>
          </cell>
          <cell r="BQ32">
            <v>1366270.6544874937</v>
          </cell>
          <cell r="BZ32" t="str">
            <v>mstag:otherLongTermDebtCi</v>
          </cell>
          <cell r="CA32">
            <v>3</v>
          </cell>
          <cell r="CB32" t="str">
            <v>ISO4217:USD</v>
          </cell>
          <cell r="CC32" t="b">
            <v>0</v>
          </cell>
          <cell r="CD32" t="b">
            <v>0</v>
          </cell>
        </row>
        <row r="33">
          <cell r="B33" t="str">
            <v>Accounts payable</v>
          </cell>
          <cell r="E33">
            <v>17643</v>
          </cell>
          <cell r="F33">
            <v>21200</v>
          </cell>
          <cell r="G33">
            <v>21737</v>
          </cell>
          <cell r="H33">
            <v>20216</v>
          </cell>
          <cell r="I33">
            <v>20216</v>
          </cell>
          <cell r="J33">
            <v>25651</v>
          </cell>
          <cell r="K33">
            <v>24125</v>
          </cell>
          <cell r="L33">
            <v>23189</v>
          </cell>
          <cell r="M33">
            <v>15599</v>
          </cell>
          <cell r="N33">
            <v>15599</v>
          </cell>
          <cell r="O33">
            <v>17709</v>
          </cell>
          <cell r="P33">
            <v>12768</v>
          </cell>
          <cell r="Q33">
            <v>27916</v>
          </cell>
          <cell r="R33">
            <v>15672</v>
          </cell>
          <cell r="S33">
            <v>15672</v>
          </cell>
          <cell r="T33">
            <v>27733</v>
          </cell>
          <cell r="U33">
            <v>41460</v>
          </cell>
          <cell r="V33">
            <v>40819</v>
          </cell>
          <cell r="W33">
            <v>19057</v>
          </cell>
          <cell r="X33">
            <v>19057</v>
          </cell>
          <cell r="Y33">
            <v>18315</v>
          </cell>
          <cell r="Z33">
            <v>20485</v>
          </cell>
          <cell r="AA33">
            <v>35846</v>
          </cell>
          <cell r="AB33">
            <v>24116</v>
          </cell>
          <cell r="AC33">
            <v>24116</v>
          </cell>
          <cell r="AD33">
            <v>27520</v>
          </cell>
          <cell r="AE33">
            <v>22776</v>
          </cell>
          <cell r="AF33">
            <v>40800</v>
          </cell>
          <cell r="AG33">
            <v>14685</v>
          </cell>
          <cell r="AH33">
            <v>14685</v>
          </cell>
          <cell r="AI33">
            <v>35487</v>
          </cell>
          <cell r="AJ33">
            <v>29576</v>
          </cell>
          <cell r="AK33">
            <v>39165</v>
          </cell>
          <cell r="AL33">
            <v>24288</v>
          </cell>
          <cell r="AM33">
            <v>24288</v>
          </cell>
          <cell r="AN33">
            <v>21822</v>
          </cell>
          <cell r="AO33">
            <v>27325</v>
          </cell>
          <cell r="AP33">
            <v>35643</v>
          </cell>
          <cell r="AQ33">
            <v>32919</v>
          </cell>
          <cell r="AR33">
            <v>32919</v>
          </cell>
          <cell r="AS33">
            <v>35905</v>
          </cell>
          <cell r="AT33">
            <v>37695</v>
          </cell>
          <cell r="AU33">
            <v>41486</v>
          </cell>
          <cell r="AV33">
            <v>40633</v>
          </cell>
          <cell r="AW33">
            <v>40633</v>
          </cell>
          <cell r="AX33">
            <v>44470</v>
          </cell>
          <cell r="AY33">
            <v>57346</v>
          </cell>
          <cell r="AZ33">
            <v>68604</v>
          </cell>
          <cell r="BA33">
            <v>44666</v>
          </cell>
          <cell r="BB33">
            <v>44666</v>
          </cell>
          <cell r="BC33">
            <v>44666</v>
          </cell>
          <cell r="BD33">
            <v>44666</v>
          </cell>
          <cell r="BE33">
            <v>44666</v>
          </cell>
          <cell r="BF33">
            <v>44666</v>
          </cell>
          <cell r="BG33">
            <v>44666</v>
          </cell>
          <cell r="BH33">
            <v>44666</v>
          </cell>
          <cell r="BI33">
            <v>44666</v>
          </cell>
          <cell r="BJ33">
            <v>44666</v>
          </cell>
          <cell r="BK33">
            <v>44666</v>
          </cell>
          <cell r="BL33">
            <v>44666</v>
          </cell>
          <cell r="BM33">
            <v>44666</v>
          </cell>
          <cell r="BN33">
            <v>44666</v>
          </cell>
          <cell r="BO33">
            <v>44666</v>
          </cell>
          <cell r="BP33">
            <v>44666</v>
          </cell>
          <cell r="BQ33">
            <v>44666</v>
          </cell>
          <cell r="BZ33" t="str">
            <v>mstag:tradeAndOtherPayables</v>
          </cell>
          <cell r="CA33">
            <v>3</v>
          </cell>
          <cell r="CB33" t="str">
            <v>ISO4217:USD</v>
          </cell>
          <cell r="CC33" t="b">
            <v>0</v>
          </cell>
          <cell r="CD33" t="b">
            <v>0</v>
          </cell>
        </row>
        <row r="34">
          <cell r="B34" t="str">
            <v>Accrued interest</v>
          </cell>
          <cell r="E34">
            <v>8176</v>
          </cell>
          <cell r="F34">
            <v>16660</v>
          </cell>
          <cell r="G34">
            <v>8421</v>
          </cell>
          <cell r="H34">
            <v>18263</v>
          </cell>
          <cell r="I34">
            <v>18263</v>
          </cell>
          <cell r="J34">
            <v>8691</v>
          </cell>
          <cell r="K34">
            <v>22728</v>
          </cell>
          <cell r="L34">
            <v>17510</v>
          </cell>
          <cell r="M34">
            <v>22422</v>
          </cell>
          <cell r="N34">
            <v>22422</v>
          </cell>
          <cell r="O34">
            <v>17013</v>
          </cell>
          <cell r="P34">
            <v>22030</v>
          </cell>
          <cell r="Q34">
            <v>20332</v>
          </cell>
          <cell r="R34">
            <v>29478</v>
          </cell>
          <cell r="S34">
            <v>29478</v>
          </cell>
          <cell r="T34">
            <v>20178</v>
          </cell>
          <cell r="U34">
            <v>33096</v>
          </cell>
          <cell r="V34">
            <v>18869</v>
          </cell>
          <cell r="W34">
            <v>31392</v>
          </cell>
          <cell r="X34">
            <v>31392</v>
          </cell>
          <cell r="Y34">
            <v>19275</v>
          </cell>
          <cell r="Z34">
            <v>29257</v>
          </cell>
          <cell r="AA34">
            <v>20198</v>
          </cell>
          <cell r="AB34">
            <v>32571</v>
          </cell>
          <cell r="AC34">
            <v>32571</v>
          </cell>
          <cell r="AD34">
            <v>19958</v>
          </cell>
          <cell r="AE34">
            <v>32548</v>
          </cell>
          <cell r="AF34">
            <v>19889</v>
          </cell>
          <cell r="AG34">
            <v>31622</v>
          </cell>
          <cell r="AH34">
            <v>31622</v>
          </cell>
          <cell r="AI34">
            <v>19777</v>
          </cell>
          <cell r="AJ34">
            <v>31660</v>
          </cell>
          <cell r="AK34">
            <v>20573</v>
          </cell>
          <cell r="AL34">
            <v>34994</v>
          </cell>
          <cell r="AM34">
            <v>34994</v>
          </cell>
          <cell r="AN34">
            <v>22661</v>
          </cell>
          <cell r="AO34">
            <v>35576</v>
          </cell>
          <cell r="AP34">
            <v>26739</v>
          </cell>
          <cell r="AQ34">
            <v>34892</v>
          </cell>
          <cell r="AR34">
            <v>34892</v>
          </cell>
          <cell r="AS34">
            <v>26766</v>
          </cell>
          <cell r="AT34">
            <v>35312</v>
          </cell>
          <cell r="AU34">
            <v>26804</v>
          </cell>
          <cell r="AV34">
            <v>36297</v>
          </cell>
          <cell r="AW34">
            <v>36297</v>
          </cell>
          <cell r="AX34">
            <v>28945</v>
          </cell>
          <cell r="AY34">
            <v>36339</v>
          </cell>
          <cell r="AZ34">
            <v>29823</v>
          </cell>
          <cell r="BA34">
            <v>39725</v>
          </cell>
          <cell r="BB34">
            <v>39725</v>
          </cell>
          <cell r="BC34">
            <v>39725</v>
          </cell>
          <cell r="BD34">
            <v>39725</v>
          </cell>
          <cell r="BE34">
            <v>39725</v>
          </cell>
          <cell r="BF34">
            <v>39725</v>
          </cell>
          <cell r="BG34">
            <v>39725</v>
          </cell>
          <cell r="BH34">
            <v>39725</v>
          </cell>
          <cell r="BI34">
            <v>39725</v>
          </cell>
          <cell r="BJ34">
            <v>39725</v>
          </cell>
          <cell r="BK34">
            <v>39725</v>
          </cell>
          <cell r="BL34">
            <v>39725</v>
          </cell>
          <cell r="BM34">
            <v>39725</v>
          </cell>
          <cell r="BN34">
            <v>39725</v>
          </cell>
          <cell r="BO34">
            <v>39725</v>
          </cell>
          <cell r="BP34">
            <v>39725</v>
          </cell>
          <cell r="BQ34">
            <v>39725</v>
          </cell>
          <cell r="BZ34" t="str">
            <v>mstag:otherLiabilitiesOperating</v>
          </cell>
          <cell r="CA34">
            <v>3</v>
          </cell>
          <cell r="CB34" t="str">
            <v>ISO4217:USD</v>
          </cell>
          <cell r="CC34" t="b">
            <v>0</v>
          </cell>
          <cell r="CD34" t="b">
            <v>0</v>
          </cell>
        </row>
        <row r="35">
          <cell r="B35" t="str">
            <v>Dividend payable</v>
          </cell>
          <cell r="E35">
            <v>27672</v>
          </cell>
          <cell r="F35">
            <v>29520</v>
          </cell>
          <cell r="G35">
            <v>33573</v>
          </cell>
          <cell r="H35">
            <v>33734</v>
          </cell>
          <cell r="I35">
            <v>33734</v>
          </cell>
          <cell r="J35">
            <v>33887</v>
          </cell>
          <cell r="K35">
            <v>33907</v>
          </cell>
          <cell r="L35">
            <v>39087</v>
          </cell>
          <cell r="M35">
            <v>39198</v>
          </cell>
          <cell r="N35">
            <v>39198</v>
          </cell>
          <cell r="O35">
            <v>39235</v>
          </cell>
          <cell r="P35">
            <v>39381</v>
          </cell>
          <cell r="Q35">
            <v>43177</v>
          </cell>
          <cell r="R35">
            <v>43220</v>
          </cell>
          <cell r="S35">
            <v>43220</v>
          </cell>
          <cell r="T35">
            <v>44091</v>
          </cell>
          <cell r="U35">
            <v>44294</v>
          </cell>
          <cell r="V35">
            <v>47242</v>
          </cell>
          <cell r="W35">
            <v>47577</v>
          </cell>
          <cell r="X35">
            <v>47577</v>
          </cell>
          <cell r="Y35">
            <v>47964</v>
          </cell>
          <cell r="Z35">
            <v>48321</v>
          </cell>
          <cell r="AA35">
            <v>47690</v>
          </cell>
          <cell r="AB35">
            <v>48040</v>
          </cell>
          <cell r="AC35">
            <v>48040</v>
          </cell>
          <cell r="AD35">
            <v>48488</v>
          </cell>
          <cell r="AE35">
            <v>49308</v>
          </cell>
          <cell r="AF35">
            <v>50326</v>
          </cell>
          <cell r="AG35">
            <v>52384</v>
          </cell>
          <cell r="AH35">
            <v>52384</v>
          </cell>
          <cell r="AI35">
            <v>53191</v>
          </cell>
          <cell r="AJ35">
            <v>53481</v>
          </cell>
          <cell r="AK35">
            <v>54230</v>
          </cell>
          <cell r="AL35">
            <v>54485</v>
          </cell>
          <cell r="AM35">
            <v>54485</v>
          </cell>
          <cell r="AN35">
            <v>54933</v>
          </cell>
          <cell r="AO35">
            <v>55435</v>
          </cell>
          <cell r="AP35">
            <v>56160</v>
          </cell>
          <cell r="AQ35">
            <v>56490</v>
          </cell>
          <cell r="AR35">
            <v>56490</v>
          </cell>
          <cell r="AS35">
            <v>56772</v>
          </cell>
          <cell r="AT35">
            <v>57313</v>
          </cell>
          <cell r="AU35">
            <v>58472</v>
          </cell>
          <cell r="AV35">
            <v>58961</v>
          </cell>
          <cell r="AW35">
            <v>58961</v>
          </cell>
          <cell r="AX35">
            <v>59414</v>
          </cell>
          <cell r="AY35">
            <v>59163</v>
          </cell>
          <cell r="AZ35">
            <v>59592</v>
          </cell>
          <cell r="BA35">
            <v>59849</v>
          </cell>
          <cell r="BB35">
            <v>59849</v>
          </cell>
          <cell r="BC35">
            <v>59849</v>
          </cell>
          <cell r="BD35">
            <v>59849</v>
          </cell>
          <cell r="BE35">
            <v>59849</v>
          </cell>
          <cell r="BF35">
            <v>59849</v>
          </cell>
          <cell r="BG35">
            <v>59849</v>
          </cell>
          <cell r="BH35">
            <v>59849</v>
          </cell>
          <cell r="BI35">
            <v>59849</v>
          </cell>
          <cell r="BJ35">
            <v>59849</v>
          </cell>
          <cell r="BK35">
            <v>59849</v>
          </cell>
          <cell r="BL35">
            <v>59849</v>
          </cell>
          <cell r="BM35">
            <v>59849</v>
          </cell>
          <cell r="BN35">
            <v>59849</v>
          </cell>
          <cell r="BO35">
            <v>59849</v>
          </cell>
          <cell r="BP35">
            <v>59849</v>
          </cell>
          <cell r="BQ35">
            <v>59849</v>
          </cell>
          <cell r="BZ35" t="str">
            <v>mstag:dividendsPayable</v>
          </cell>
          <cell r="CA35">
            <v>3</v>
          </cell>
          <cell r="CB35" t="str">
            <v>ISO4217:USD</v>
          </cell>
          <cell r="CC35" t="b">
            <v>0</v>
          </cell>
          <cell r="CD35" t="b">
            <v>0</v>
          </cell>
        </row>
        <row r="36">
          <cell r="B36" t="str">
            <v>Other liabilities</v>
          </cell>
          <cell r="E36">
            <v>49622</v>
          </cell>
          <cell r="F36">
            <v>51777</v>
          </cell>
          <cell r="G36">
            <v>54170</v>
          </cell>
          <cell r="H36">
            <v>69025</v>
          </cell>
          <cell r="I36">
            <v>69025</v>
          </cell>
          <cell r="J36">
            <v>61095</v>
          </cell>
          <cell r="K36">
            <v>61964</v>
          </cell>
          <cell r="L36">
            <v>62040</v>
          </cell>
          <cell r="M36">
            <v>67558</v>
          </cell>
          <cell r="N36">
            <v>67558</v>
          </cell>
          <cell r="O36">
            <v>60889</v>
          </cell>
          <cell r="P36">
            <v>60884</v>
          </cell>
          <cell r="Q36">
            <v>67368</v>
          </cell>
          <cell r="R36">
            <v>84515</v>
          </cell>
          <cell r="S36">
            <v>84515</v>
          </cell>
          <cell r="T36">
            <v>77183</v>
          </cell>
          <cell r="U36">
            <v>80871</v>
          </cell>
          <cell r="V36">
            <v>79617</v>
          </cell>
          <cell r="W36">
            <v>83852</v>
          </cell>
          <cell r="X36">
            <v>83852</v>
          </cell>
          <cell r="Y36">
            <v>85498</v>
          </cell>
          <cell r="Z36">
            <v>90683</v>
          </cell>
          <cell r="AA36">
            <v>96235</v>
          </cell>
          <cell r="AB36">
            <v>96119</v>
          </cell>
          <cell r="AC36">
            <v>96119</v>
          </cell>
          <cell r="AD36">
            <v>93746</v>
          </cell>
          <cell r="AE36">
            <v>88852</v>
          </cell>
          <cell r="AF36">
            <v>94419</v>
          </cell>
          <cell r="AG36">
            <v>96887</v>
          </cell>
          <cell r="AH36">
            <v>96887</v>
          </cell>
          <cell r="AI36">
            <v>91553</v>
          </cell>
          <cell r="AJ36">
            <v>92637</v>
          </cell>
          <cell r="AK36">
            <v>92755</v>
          </cell>
          <cell r="AL36">
            <v>111764</v>
          </cell>
          <cell r="AM36">
            <v>111764</v>
          </cell>
          <cell r="AN36">
            <v>106138</v>
          </cell>
          <cell r="AO36">
            <v>116391</v>
          </cell>
          <cell r="AP36">
            <v>148126</v>
          </cell>
          <cell r="AQ36">
            <v>161735</v>
          </cell>
          <cell r="AR36">
            <v>161735</v>
          </cell>
          <cell r="AS36">
            <v>147923</v>
          </cell>
          <cell r="AT36">
            <v>154566</v>
          </cell>
          <cell r="AU36">
            <v>159485</v>
          </cell>
          <cell r="AV36">
            <v>217131</v>
          </cell>
          <cell r="AW36">
            <v>217131</v>
          </cell>
          <cell r="AX36">
            <v>223995</v>
          </cell>
          <cell r="AY36">
            <v>245133</v>
          </cell>
          <cell r="AZ36">
            <v>249019</v>
          </cell>
          <cell r="BA36">
            <v>263738</v>
          </cell>
          <cell r="BB36">
            <v>263738</v>
          </cell>
          <cell r="BC36">
            <v>263738</v>
          </cell>
          <cell r="BD36">
            <v>263738</v>
          </cell>
          <cell r="BE36">
            <v>263738</v>
          </cell>
          <cell r="BF36">
            <v>263738</v>
          </cell>
          <cell r="BG36">
            <v>263738</v>
          </cell>
          <cell r="BH36">
            <v>263738</v>
          </cell>
          <cell r="BI36">
            <v>263738</v>
          </cell>
          <cell r="BJ36">
            <v>263738</v>
          </cell>
          <cell r="BK36">
            <v>263738</v>
          </cell>
          <cell r="BL36">
            <v>263738</v>
          </cell>
          <cell r="BM36">
            <v>263738</v>
          </cell>
          <cell r="BN36">
            <v>263738</v>
          </cell>
          <cell r="BO36">
            <v>263738</v>
          </cell>
          <cell r="BP36">
            <v>263738</v>
          </cell>
          <cell r="BQ36">
            <v>263738</v>
          </cell>
          <cell r="BZ36" t="str">
            <v>mstag:otherLiabilitiesOperating</v>
          </cell>
          <cell r="CA36">
            <v>3</v>
          </cell>
          <cell r="CB36" t="str">
            <v>ISO4217:USD</v>
          </cell>
          <cell r="CC36" t="b">
            <v>0</v>
          </cell>
          <cell r="CD36" t="b">
            <v>0</v>
          </cell>
        </row>
        <row r="38">
          <cell r="B38" t="str">
            <v>Minority interest</v>
          </cell>
          <cell r="E38">
            <v>86997</v>
          </cell>
          <cell r="F38">
            <v>102134</v>
          </cell>
          <cell r="G38">
            <v>101487</v>
          </cell>
          <cell r="H38">
            <v>101254</v>
          </cell>
          <cell r="I38">
            <v>101254</v>
          </cell>
          <cell r="J38">
            <v>95244</v>
          </cell>
          <cell r="K38">
            <v>95967</v>
          </cell>
          <cell r="L38">
            <v>188188</v>
          </cell>
          <cell r="M38">
            <v>187511</v>
          </cell>
          <cell r="N38">
            <v>187511</v>
          </cell>
          <cell r="O38">
            <v>187285</v>
          </cell>
          <cell r="P38">
            <v>204853</v>
          </cell>
          <cell r="Q38">
            <v>198628</v>
          </cell>
          <cell r="R38">
            <v>198769</v>
          </cell>
          <cell r="S38">
            <v>198769</v>
          </cell>
          <cell r="T38">
            <v>189635</v>
          </cell>
          <cell r="U38">
            <v>189738</v>
          </cell>
          <cell r="V38">
            <v>188415</v>
          </cell>
          <cell r="W38">
            <v>194394</v>
          </cell>
          <cell r="X38">
            <v>194394</v>
          </cell>
          <cell r="Y38">
            <v>194402</v>
          </cell>
          <cell r="Z38">
            <v>217654</v>
          </cell>
          <cell r="AA38">
            <v>208558</v>
          </cell>
          <cell r="AB38">
            <v>208439</v>
          </cell>
          <cell r="AC38">
            <v>208439</v>
          </cell>
          <cell r="AD38">
            <v>206992</v>
          </cell>
          <cell r="AE38">
            <v>204247</v>
          </cell>
          <cell r="AF38">
            <v>204694</v>
          </cell>
          <cell r="AG38">
            <v>207667</v>
          </cell>
          <cell r="AH38">
            <v>207667</v>
          </cell>
          <cell r="AI38">
            <v>208040</v>
          </cell>
          <cell r="AJ38">
            <v>207023</v>
          </cell>
          <cell r="AK38">
            <v>206693</v>
          </cell>
          <cell r="AL38">
            <v>207866</v>
          </cell>
          <cell r="AM38">
            <v>207866</v>
          </cell>
          <cell r="AN38">
            <v>205165</v>
          </cell>
          <cell r="AO38">
            <v>244851</v>
          </cell>
          <cell r="AP38">
            <v>250686</v>
          </cell>
          <cell r="AQ38">
            <v>253133</v>
          </cell>
          <cell r="AR38">
            <v>253133</v>
          </cell>
          <cell r="AS38">
            <v>254829</v>
          </cell>
          <cell r="AT38">
            <v>270601</v>
          </cell>
          <cell r="AU38">
            <v>270719</v>
          </cell>
          <cell r="AV38">
            <v>297727</v>
          </cell>
          <cell r="AW38">
            <v>297727</v>
          </cell>
          <cell r="AX38">
            <v>297321</v>
          </cell>
          <cell r="AY38">
            <v>273365</v>
          </cell>
          <cell r="AZ38">
            <v>373145</v>
          </cell>
          <cell r="BA38">
            <v>372621</v>
          </cell>
          <cell r="BB38">
            <v>372621</v>
          </cell>
          <cell r="BC38">
            <v>371542.9757511192</v>
          </cell>
          <cell r="BD38">
            <v>372546.59153808985</v>
          </cell>
          <cell r="BE38">
            <v>371395.54031989392</v>
          </cell>
          <cell r="BF38">
            <v>370214.20754608855</v>
          </cell>
          <cell r="BG38">
            <v>370214.20754608855</v>
          </cell>
          <cell r="BH38">
            <v>369047.06018293224</v>
          </cell>
          <cell r="BI38">
            <v>367911.14247642248</v>
          </cell>
          <cell r="BJ38">
            <v>366676.51773474575</v>
          </cell>
          <cell r="BK38">
            <v>365469.0121202271</v>
          </cell>
          <cell r="BL38">
            <v>365469.0121202271</v>
          </cell>
          <cell r="BM38">
            <v>364281.23843772587</v>
          </cell>
          <cell r="BN38">
            <v>363110.88445892429</v>
          </cell>
          <cell r="BO38">
            <v>361797.24716303649</v>
          </cell>
          <cell r="BP38">
            <v>360492.78053365723</v>
          </cell>
          <cell r="BQ38">
            <v>360492.78053365723</v>
          </cell>
          <cell r="BZ38" t="str">
            <v>mstag:minorityInterestsInShareholdersEquity</v>
          </cell>
          <cell r="CA38">
            <v>3</v>
          </cell>
          <cell r="CB38" t="str">
            <v>ISO4217:USD</v>
          </cell>
          <cell r="CC38" t="b">
            <v>0</v>
          </cell>
          <cell r="CD38" t="b">
            <v>0</v>
          </cell>
        </row>
        <row r="40">
          <cell r="B40" t="str">
            <v>Series A Preferred Stock</v>
          </cell>
          <cell r="E40">
            <v>120814</v>
          </cell>
          <cell r="F40">
            <v>120814</v>
          </cell>
          <cell r="G40">
            <v>120814</v>
          </cell>
          <cell r="H40">
            <v>120814</v>
          </cell>
          <cell r="I40">
            <v>120814</v>
          </cell>
          <cell r="J40">
            <v>120814</v>
          </cell>
          <cell r="K40">
            <v>120814</v>
          </cell>
          <cell r="L40">
            <v>120814</v>
          </cell>
          <cell r="M40">
            <v>120814</v>
          </cell>
          <cell r="N40">
            <v>120814</v>
          </cell>
          <cell r="O40">
            <v>120814</v>
          </cell>
          <cell r="P40">
            <v>120814</v>
          </cell>
          <cell r="Q40">
            <v>120814</v>
          </cell>
          <cell r="R40">
            <v>120814</v>
          </cell>
          <cell r="S40">
            <v>120814</v>
          </cell>
          <cell r="T40">
            <v>120814</v>
          </cell>
          <cell r="U40">
            <v>120814</v>
          </cell>
          <cell r="V40">
            <v>120814</v>
          </cell>
          <cell r="W40">
            <v>120814</v>
          </cell>
          <cell r="X40">
            <v>120814</v>
          </cell>
          <cell r="Y40">
            <v>120814</v>
          </cell>
          <cell r="Z40">
            <v>120814</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Z40" t="str">
            <v>mstag:preferredEquity</v>
          </cell>
          <cell r="CA40">
            <v>3</v>
          </cell>
          <cell r="CB40" t="str">
            <v>ISO4217:USD</v>
          </cell>
          <cell r="CC40" t="b">
            <v>0</v>
          </cell>
          <cell r="CD40" t="b">
            <v>0</v>
          </cell>
        </row>
        <row r="41">
          <cell r="B41" t="str">
            <v>Common Stock</v>
          </cell>
          <cell r="E41">
            <v>57</v>
          </cell>
          <cell r="F41">
            <v>61</v>
          </cell>
          <cell r="G41">
            <v>65</v>
          </cell>
          <cell r="H41">
            <v>66</v>
          </cell>
          <cell r="I41">
            <v>66</v>
          </cell>
          <cell r="J41">
            <v>66</v>
          </cell>
          <cell r="K41">
            <v>66</v>
          </cell>
          <cell r="L41">
            <v>67</v>
          </cell>
          <cell r="M41">
            <v>67</v>
          </cell>
          <cell r="N41">
            <v>67</v>
          </cell>
          <cell r="O41">
            <v>67</v>
          </cell>
          <cell r="P41">
            <v>67</v>
          </cell>
          <cell r="Q41">
            <v>68</v>
          </cell>
          <cell r="R41">
            <v>68</v>
          </cell>
          <cell r="S41">
            <v>68</v>
          </cell>
          <cell r="T41">
            <v>70</v>
          </cell>
          <cell r="U41">
            <v>71</v>
          </cell>
          <cell r="V41">
            <v>73</v>
          </cell>
          <cell r="W41">
            <v>74</v>
          </cell>
          <cell r="X41">
            <v>74</v>
          </cell>
          <cell r="Y41">
            <v>74</v>
          </cell>
          <cell r="Z41">
            <v>75</v>
          </cell>
          <cell r="AA41">
            <v>76</v>
          </cell>
          <cell r="AB41">
            <v>76</v>
          </cell>
          <cell r="AC41">
            <v>76</v>
          </cell>
          <cell r="AD41">
            <v>77</v>
          </cell>
          <cell r="AE41">
            <v>79</v>
          </cell>
          <cell r="AF41">
            <v>80</v>
          </cell>
          <cell r="AG41">
            <v>83</v>
          </cell>
          <cell r="AH41">
            <v>83</v>
          </cell>
          <cell r="AI41">
            <v>84</v>
          </cell>
          <cell r="AJ41">
            <v>85</v>
          </cell>
          <cell r="AK41">
            <v>86</v>
          </cell>
          <cell r="AL41">
            <v>86</v>
          </cell>
          <cell r="AM41">
            <v>86</v>
          </cell>
          <cell r="AN41">
            <v>86</v>
          </cell>
          <cell r="AO41">
            <v>87</v>
          </cell>
          <cell r="AP41">
            <v>87</v>
          </cell>
          <cell r="AQ41">
            <v>88</v>
          </cell>
          <cell r="AR41">
            <v>88</v>
          </cell>
          <cell r="AS41">
            <v>88</v>
          </cell>
          <cell r="AT41">
            <v>89</v>
          </cell>
          <cell r="AU41">
            <v>90</v>
          </cell>
          <cell r="AV41">
            <v>91</v>
          </cell>
          <cell r="AW41">
            <v>91</v>
          </cell>
          <cell r="AX41">
            <v>92</v>
          </cell>
          <cell r="AY41">
            <v>92</v>
          </cell>
          <cell r="AZ41">
            <v>92</v>
          </cell>
          <cell r="BA41">
            <v>93</v>
          </cell>
          <cell r="BB41">
            <v>93</v>
          </cell>
          <cell r="BC41">
            <v>93</v>
          </cell>
          <cell r="BD41">
            <v>93</v>
          </cell>
          <cell r="BE41">
            <v>93</v>
          </cell>
          <cell r="BF41">
            <v>93</v>
          </cell>
          <cell r="BG41">
            <v>93</v>
          </cell>
          <cell r="BH41">
            <v>93</v>
          </cell>
          <cell r="BI41">
            <v>93</v>
          </cell>
          <cell r="BJ41">
            <v>93</v>
          </cell>
          <cell r="BK41">
            <v>93</v>
          </cell>
          <cell r="BL41">
            <v>93</v>
          </cell>
          <cell r="BM41">
            <v>93</v>
          </cell>
          <cell r="BN41">
            <v>93</v>
          </cell>
          <cell r="BO41">
            <v>93</v>
          </cell>
          <cell r="BP41">
            <v>93</v>
          </cell>
          <cell r="BQ41">
            <v>93</v>
          </cell>
          <cell r="BZ41" t="str">
            <v>mstag:commonStock</v>
          </cell>
          <cell r="CA41">
            <v>3</v>
          </cell>
          <cell r="CB41" t="str">
            <v>ISO4217:USD</v>
          </cell>
          <cell r="CC41" t="b">
            <v>0</v>
          </cell>
          <cell r="CD41" t="b">
            <v>0</v>
          </cell>
        </row>
        <row r="42">
          <cell r="B42" t="str">
            <v>Additional paid-in capital</v>
          </cell>
          <cell r="E42">
            <v>950829</v>
          </cell>
          <cell r="F42">
            <v>1049351</v>
          </cell>
          <cell r="G42">
            <v>1162897</v>
          </cell>
          <cell r="H42">
            <v>1168663</v>
          </cell>
          <cell r="I42">
            <v>1168663</v>
          </cell>
          <cell r="J42">
            <v>1181511</v>
          </cell>
          <cell r="K42">
            <v>1182433</v>
          </cell>
          <cell r="L42">
            <v>1190594</v>
          </cell>
          <cell r="M42">
            <v>1196736</v>
          </cell>
          <cell r="N42">
            <v>1196736</v>
          </cell>
          <cell r="O42">
            <v>1199831</v>
          </cell>
          <cell r="P42">
            <v>1207945</v>
          </cell>
          <cell r="Q42">
            <v>1221417</v>
          </cell>
          <cell r="R42">
            <v>1223191</v>
          </cell>
          <cell r="S42">
            <v>1223191</v>
          </cell>
          <cell r="T42">
            <v>1262943</v>
          </cell>
          <cell r="U42">
            <v>1270470</v>
          </cell>
          <cell r="V42">
            <v>1322892</v>
          </cell>
          <cell r="W42">
            <v>1336350</v>
          </cell>
          <cell r="X42">
            <v>1336350</v>
          </cell>
          <cell r="Y42">
            <v>1353728</v>
          </cell>
          <cell r="Z42">
            <v>1371653</v>
          </cell>
          <cell r="AA42">
            <v>1395428</v>
          </cell>
          <cell r="AB42">
            <v>1410900</v>
          </cell>
          <cell r="AC42">
            <v>1410900</v>
          </cell>
          <cell r="AD42">
            <v>1436023</v>
          </cell>
          <cell r="AE42">
            <v>1471073</v>
          </cell>
          <cell r="AF42">
            <v>1499155</v>
          </cell>
          <cell r="AG42">
            <v>1623446</v>
          </cell>
          <cell r="AH42">
            <v>1623446</v>
          </cell>
          <cell r="AI42">
            <v>1659380</v>
          </cell>
          <cell r="AJ42">
            <v>1675954</v>
          </cell>
          <cell r="AK42">
            <v>1693743</v>
          </cell>
          <cell r="AL42">
            <v>1708573</v>
          </cell>
          <cell r="AM42">
            <v>1708573</v>
          </cell>
          <cell r="AN42">
            <v>1742972</v>
          </cell>
          <cell r="AO42">
            <v>1769953</v>
          </cell>
          <cell r="AP42">
            <v>1788730</v>
          </cell>
          <cell r="AQ42">
            <v>1799068</v>
          </cell>
          <cell r="AR42">
            <v>1799068</v>
          </cell>
          <cell r="AS42">
            <v>1815713</v>
          </cell>
          <cell r="AT42">
            <v>1857672</v>
          </cell>
          <cell r="AU42">
            <v>1879429</v>
          </cell>
          <cell r="AV42">
            <v>1906403</v>
          </cell>
          <cell r="AW42">
            <v>1906403</v>
          </cell>
          <cell r="AX42">
            <v>1932737</v>
          </cell>
          <cell r="AY42">
            <v>1951554</v>
          </cell>
          <cell r="AZ42">
            <v>1966419</v>
          </cell>
          <cell r="BA42">
            <v>1984141</v>
          </cell>
          <cell r="BB42">
            <v>1984141</v>
          </cell>
          <cell r="BC42">
            <v>1984141</v>
          </cell>
          <cell r="BD42">
            <v>1984141</v>
          </cell>
          <cell r="BE42">
            <v>1984141</v>
          </cell>
          <cell r="BF42">
            <v>1984141</v>
          </cell>
          <cell r="BG42">
            <v>1984141</v>
          </cell>
          <cell r="BH42">
            <v>1984141</v>
          </cell>
          <cell r="BI42">
            <v>1984141</v>
          </cell>
          <cell r="BJ42">
            <v>1984141</v>
          </cell>
          <cell r="BK42">
            <v>1984141</v>
          </cell>
          <cell r="BL42">
            <v>1984141</v>
          </cell>
          <cell r="BM42">
            <v>1984141</v>
          </cell>
          <cell r="BN42">
            <v>1984141</v>
          </cell>
          <cell r="BO42">
            <v>1984141</v>
          </cell>
          <cell r="BP42">
            <v>1984141</v>
          </cell>
          <cell r="BQ42">
            <v>1984141</v>
          </cell>
          <cell r="BZ42" t="str">
            <v>mstag:additionalPaidInCapital</v>
          </cell>
          <cell r="CA42">
            <v>3</v>
          </cell>
          <cell r="CB42" t="str">
            <v>ISO4217:USD</v>
          </cell>
          <cell r="CC42" t="b">
            <v>0</v>
          </cell>
          <cell r="CD42" t="b">
            <v>0</v>
          </cell>
        </row>
        <row r="43">
          <cell r="B43" t="str">
            <v>Accumulated other comprehensive income</v>
          </cell>
          <cell r="I43">
            <v>0</v>
          </cell>
          <cell r="N43">
            <v>0</v>
          </cell>
          <cell r="S43">
            <v>0</v>
          </cell>
          <cell r="T43">
            <v>0</v>
          </cell>
          <cell r="U43">
            <v>0</v>
          </cell>
          <cell r="V43">
            <v>0</v>
          </cell>
          <cell r="W43">
            <v>0</v>
          </cell>
          <cell r="X43">
            <v>0</v>
          </cell>
          <cell r="Y43">
            <v>0</v>
          </cell>
          <cell r="Z43">
            <v>0</v>
          </cell>
          <cell r="AA43">
            <v>0</v>
          </cell>
          <cell r="AB43">
            <v>0</v>
          </cell>
          <cell r="AC43">
            <v>0</v>
          </cell>
          <cell r="AD43">
            <v>0</v>
          </cell>
          <cell r="AE43">
            <v>0</v>
          </cell>
          <cell r="AF43">
            <v>6239</v>
          </cell>
          <cell r="AG43">
            <v>14710</v>
          </cell>
          <cell r="AH43">
            <v>14710</v>
          </cell>
          <cell r="AI43">
            <v>19182</v>
          </cell>
          <cell r="AJ43">
            <v>17896</v>
          </cell>
          <cell r="AK43">
            <v>16759</v>
          </cell>
          <cell r="AL43">
            <v>25105</v>
          </cell>
          <cell r="AM43">
            <v>25105</v>
          </cell>
          <cell r="AN43">
            <v>22869</v>
          </cell>
          <cell r="AO43">
            <v>14687</v>
          </cell>
          <cell r="AP43">
            <v>12124</v>
          </cell>
          <cell r="AQ43">
            <v>9906</v>
          </cell>
          <cell r="AR43">
            <v>9906</v>
          </cell>
          <cell r="AS43">
            <v>10361</v>
          </cell>
          <cell r="AT43">
            <v>15458</v>
          </cell>
          <cell r="AU43">
            <v>16793</v>
          </cell>
          <cell r="AV43">
            <v>20323</v>
          </cell>
          <cell r="AW43">
            <v>20323</v>
          </cell>
          <cell r="AX43">
            <v>20757</v>
          </cell>
          <cell r="AY43">
            <v>22525</v>
          </cell>
          <cell r="AZ43">
            <v>24311</v>
          </cell>
          <cell r="BA43">
            <v>21378</v>
          </cell>
          <cell r="BB43">
            <v>21378</v>
          </cell>
          <cell r="BC43">
            <v>21378</v>
          </cell>
          <cell r="BD43">
            <v>21378</v>
          </cell>
          <cell r="BE43">
            <v>21378</v>
          </cell>
          <cell r="BF43">
            <v>21378</v>
          </cell>
          <cell r="BG43">
            <v>21378</v>
          </cell>
          <cell r="BH43">
            <v>21378</v>
          </cell>
          <cell r="BI43">
            <v>21378</v>
          </cell>
          <cell r="BJ43">
            <v>21378</v>
          </cell>
          <cell r="BK43">
            <v>21378</v>
          </cell>
          <cell r="BL43">
            <v>21378</v>
          </cell>
          <cell r="BM43">
            <v>21378</v>
          </cell>
          <cell r="BN43">
            <v>21378</v>
          </cell>
          <cell r="BO43">
            <v>21378</v>
          </cell>
          <cell r="BP43">
            <v>21378</v>
          </cell>
          <cell r="BQ43">
            <v>21378</v>
          </cell>
          <cell r="BZ43" t="str">
            <v>mstag:accumulatedOtherComprehensiveIncomeLossAndReserves</v>
          </cell>
          <cell r="CA43">
            <v>3</v>
          </cell>
          <cell r="CB43" t="str">
            <v>ISO4217:USD</v>
          </cell>
          <cell r="CC43" t="b">
            <v>0</v>
          </cell>
          <cell r="CD43" t="b">
            <v>0</v>
          </cell>
        </row>
        <row r="44">
          <cell r="B44" t="str">
            <v>Unearned compensation</v>
          </cell>
          <cell r="E44">
            <v>-879</v>
          </cell>
          <cell r="F44">
            <v>-773</v>
          </cell>
          <cell r="G44">
            <v>-667</v>
          </cell>
          <cell r="H44">
            <v>-562</v>
          </cell>
          <cell r="I44">
            <v>-562</v>
          </cell>
          <cell r="J44">
            <v>-1168</v>
          </cell>
          <cell r="K44">
            <v>-1026</v>
          </cell>
          <cell r="L44">
            <v>-885</v>
          </cell>
          <cell r="M44">
            <v>-743</v>
          </cell>
          <cell r="N44">
            <v>-743</v>
          </cell>
          <cell r="O44">
            <v>-2110</v>
          </cell>
          <cell r="P44">
            <v>-1954</v>
          </cell>
          <cell r="Q44">
            <v>-1822</v>
          </cell>
          <cell r="R44">
            <v>-1690</v>
          </cell>
          <cell r="S44">
            <v>-1690</v>
          </cell>
          <cell r="T44">
            <v>-1576</v>
          </cell>
          <cell r="U44">
            <v>-1403</v>
          </cell>
          <cell r="V44">
            <v>-1229</v>
          </cell>
          <cell r="W44">
            <v>-1056</v>
          </cell>
          <cell r="X44">
            <v>-1056</v>
          </cell>
          <cell r="Y44">
            <v>-2221</v>
          </cell>
          <cell r="Z44">
            <v>-2064</v>
          </cell>
          <cell r="AA44">
            <v>-1907</v>
          </cell>
          <cell r="AB44">
            <v>-1750</v>
          </cell>
          <cell r="AC44">
            <v>-1750</v>
          </cell>
          <cell r="AD44">
            <v>-5708</v>
          </cell>
          <cell r="AE44">
            <v>-4007</v>
          </cell>
          <cell r="AF44">
            <v>-3752</v>
          </cell>
          <cell r="AG44">
            <v>-3497</v>
          </cell>
          <cell r="AH44">
            <v>-3497</v>
          </cell>
          <cell r="AI44">
            <v>-8174</v>
          </cell>
          <cell r="AJ44">
            <v>-7821</v>
          </cell>
          <cell r="AK44">
            <v>-7302</v>
          </cell>
          <cell r="AL44">
            <v>-6846</v>
          </cell>
          <cell r="AM44">
            <v>-6846</v>
          </cell>
          <cell r="AN44">
            <v>-10796</v>
          </cell>
          <cell r="AO44">
            <v>-10269</v>
          </cell>
          <cell r="AP44">
            <v>-9530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Z44" t="str">
            <v>mstag:accumulatedOtherComprehensiveIncomeLossAndReserves</v>
          </cell>
          <cell r="CA44">
            <v>3</v>
          </cell>
          <cell r="CB44" t="str">
            <v>ISO4217:USD</v>
          </cell>
          <cell r="CC44" t="b">
            <v>0</v>
          </cell>
          <cell r="CD44" t="b">
            <v>0</v>
          </cell>
        </row>
        <row r="45">
          <cell r="B45" t="str">
            <v>Distributions in excess of net income</v>
          </cell>
          <cell r="E45">
            <v>-13121</v>
          </cell>
          <cell r="F45">
            <v>-15324</v>
          </cell>
          <cell r="G45">
            <v>-18682</v>
          </cell>
          <cell r="H45">
            <v>-21945</v>
          </cell>
          <cell r="I45">
            <v>-21945</v>
          </cell>
          <cell r="J45">
            <v>-22101</v>
          </cell>
          <cell r="K45">
            <v>-11452</v>
          </cell>
          <cell r="L45">
            <v>-16916</v>
          </cell>
          <cell r="M45">
            <v>-20940</v>
          </cell>
          <cell r="N45">
            <v>-20940</v>
          </cell>
          <cell r="O45">
            <v>-21682</v>
          </cell>
          <cell r="P45">
            <v>-19169</v>
          </cell>
          <cell r="Q45">
            <v>-20633</v>
          </cell>
          <cell r="R45">
            <v>-20251</v>
          </cell>
          <cell r="S45">
            <v>-20251</v>
          </cell>
          <cell r="T45">
            <v>-21871</v>
          </cell>
          <cell r="U45">
            <v>-22421</v>
          </cell>
          <cell r="V45">
            <v>-25954</v>
          </cell>
          <cell r="W45">
            <v>-31433</v>
          </cell>
          <cell r="X45">
            <v>-31433</v>
          </cell>
          <cell r="Y45">
            <v>-35800</v>
          </cell>
          <cell r="Z45">
            <v>-38268</v>
          </cell>
          <cell r="AA45">
            <v>-43794</v>
          </cell>
          <cell r="AB45">
            <v>-56310</v>
          </cell>
          <cell r="AC45">
            <v>-56310</v>
          </cell>
          <cell r="AD45">
            <v>-61009</v>
          </cell>
          <cell r="AE45">
            <v>-63089</v>
          </cell>
          <cell r="AF45">
            <v>-72438</v>
          </cell>
          <cell r="AG45">
            <v>-88518</v>
          </cell>
          <cell r="AH45">
            <v>-88518</v>
          </cell>
          <cell r="AI45">
            <v>-96615</v>
          </cell>
          <cell r="AJ45">
            <v>-110509</v>
          </cell>
          <cell r="AK45">
            <v>-123023</v>
          </cell>
          <cell r="AL45">
            <v>-129332</v>
          </cell>
          <cell r="AM45">
            <v>-129332</v>
          </cell>
          <cell r="AN45">
            <v>-140704</v>
          </cell>
          <cell r="AO45">
            <v>-149438</v>
          </cell>
          <cell r="AP45">
            <v>-151540</v>
          </cell>
          <cell r="AQ45">
            <v>-98553</v>
          </cell>
          <cell r="AR45">
            <v>-98553</v>
          </cell>
          <cell r="AS45">
            <v>-62732</v>
          </cell>
          <cell r="AT45">
            <v>-49356</v>
          </cell>
          <cell r="AU45">
            <v>-58337</v>
          </cell>
          <cell r="AV45">
            <v>-53886</v>
          </cell>
          <cell r="AW45">
            <v>-53886</v>
          </cell>
          <cell r="AX45">
            <v>-71005</v>
          </cell>
          <cell r="AY45">
            <v>-75145</v>
          </cell>
          <cell r="AZ45">
            <v>-94945</v>
          </cell>
          <cell r="BA45">
            <v>-116640</v>
          </cell>
          <cell r="BB45">
            <v>-116640</v>
          </cell>
          <cell r="BC45">
            <v>-144293.91823421212</v>
          </cell>
          <cell r="BD45">
            <v>-126396.26095648785</v>
          </cell>
          <cell r="BE45">
            <v>-155864.60485467283</v>
          </cell>
          <cell r="BF45">
            <v>-186112.75049140037</v>
          </cell>
          <cell r="BG45">
            <v>-186112.75049140037</v>
          </cell>
          <cell r="BH45">
            <v>-216047.07354098829</v>
          </cell>
          <cell r="BI45">
            <v>-245398.94648550573</v>
          </cell>
          <cell r="BJ45">
            <v>-277061.79349578416</v>
          </cell>
          <cell r="BK45">
            <v>-308234.78357340465</v>
          </cell>
          <cell r="BL45">
            <v>-308234.78357340465</v>
          </cell>
          <cell r="BM45">
            <v>-338965.59471145913</v>
          </cell>
          <cell r="BN45">
            <v>-369417.77064966731</v>
          </cell>
          <cell r="BO45">
            <v>-403219.91205398546</v>
          </cell>
          <cell r="BP45">
            <v>-436939.32562697399</v>
          </cell>
          <cell r="BQ45">
            <v>-436939.32562697399</v>
          </cell>
          <cell r="BZ45" t="str">
            <v>mstag:retainedEarnings</v>
          </cell>
          <cell r="CA45">
            <v>3</v>
          </cell>
          <cell r="CB45" t="str">
            <v>ISO4217:USD</v>
          </cell>
          <cell r="CC45" t="b">
            <v>0</v>
          </cell>
          <cell r="CD45" t="b">
            <v>0</v>
          </cell>
        </row>
        <row r="46">
          <cell r="B46" t="str">
            <v>Common shares in treasury, at cost</v>
          </cell>
          <cell r="I46">
            <v>0</v>
          </cell>
          <cell r="M46">
            <v>-1327</v>
          </cell>
          <cell r="N46">
            <v>-1327</v>
          </cell>
          <cell r="O46">
            <v>-1327</v>
          </cell>
          <cell r="P46">
            <v>-1327</v>
          </cell>
          <cell r="Q46">
            <v>-1327</v>
          </cell>
          <cell r="R46">
            <v>-1327</v>
          </cell>
          <cell r="S46">
            <v>-1327</v>
          </cell>
          <cell r="T46">
            <v>-1327</v>
          </cell>
          <cell r="U46">
            <v>-1327</v>
          </cell>
          <cell r="V46">
            <v>-1327</v>
          </cell>
          <cell r="W46">
            <v>-1327</v>
          </cell>
          <cell r="X46">
            <v>-1327</v>
          </cell>
          <cell r="Y46">
            <v>-1327</v>
          </cell>
          <cell r="Z46">
            <v>-1327</v>
          </cell>
          <cell r="AA46">
            <v>-1327</v>
          </cell>
          <cell r="AB46">
            <v>-1327</v>
          </cell>
          <cell r="AC46">
            <v>-1327</v>
          </cell>
          <cell r="AD46">
            <v>-1327</v>
          </cell>
          <cell r="AE46">
            <v>-1327</v>
          </cell>
          <cell r="AF46">
            <v>-1327</v>
          </cell>
          <cell r="AG46">
            <v>-1327</v>
          </cell>
          <cell r="AH46">
            <v>-1327</v>
          </cell>
          <cell r="AI46">
            <v>-1327</v>
          </cell>
          <cell r="AJ46">
            <v>-1327</v>
          </cell>
          <cell r="AK46">
            <v>-1327</v>
          </cell>
          <cell r="AL46">
            <v>-1327</v>
          </cell>
          <cell r="AM46">
            <v>-1327</v>
          </cell>
          <cell r="AN46">
            <v>-1327</v>
          </cell>
          <cell r="AO46">
            <v>-1327</v>
          </cell>
          <cell r="AP46">
            <v>-1327</v>
          </cell>
          <cell r="AQ46">
            <v>-1327</v>
          </cell>
          <cell r="AR46">
            <v>-1327</v>
          </cell>
          <cell r="AS46">
            <v>-1327</v>
          </cell>
          <cell r="AT46">
            <v>-1327</v>
          </cell>
          <cell r="AU46">
            <v>-1327</v>
          </cell>
          <cell r="AV46">
            <v>-1327</v>
          </cell>
          <cell r="AW46">
            <v>-1327</v>
          </cell>
          <cell r="AX46">
            <v>-1327</v>
          </cell>
          <cell r="AY46">
            <v>-51905</v>
          </cell>
          <cell r="AZ46">
            <v>-51951</v>
          </cell>
          <cell r="BA46">
            <v>-51951</v>
          </cell>
          <cell r="BB46">
            <v>-51951</v>
          </cell>
          <cell r="BC46">
            <v>-51951</v>
          </cell>
          <cell r="BD46">
            <v>-51951</v>
          </cell>
          <cell r="BE46">
            <v>-51951</v>
          </cell>
          <cell r="BF46">
            <v>-51951</v>
          </cell>
          <cell r="BG46">
            <v>-51951</v>
          </cell>
          <cell r="BH46">
            <v>-51951</v>
          </cell>
          <cell r="BI46">
            <v>-51951</v>
          </cell>
          <cell r="BJ46">
            <v>-51951</v>
          </cell>
          <cell r="BK46">
            <v>-51951</v>
          </cell>
          <cell r="BL46">
            <v>-51951</v>
          </cell>
          <cell r="BM46">
            <v>-51951</v>
          </cell>
          <cell r="BN46">
            <v>-51951</v>
          </cell>
          <cell r="BO46">
            <v>-51951</v>
          </cell>
          <cell r="BP46">
            <v>-51951</v>
          </cell>
          <cell r="BQ46">
            <v>-51951</v>
          </cell>
          <cell r="BZ46" t="str">
            <v>mstag:treasuryStockAndInvestmentInOwnShares</v>
          </cell>
          <cell r="CA46">
            <v>3</v>
          </cell>
          <cell r="CB46" t="str">
            <v>ISO4217:USD</v>
          </cell>
          <cell r="CC46" t="b">
            <v>1</v>
          </cell>
          <cell r="CD46" t="b">
            <v>0</v>
          </cell>
        </row>
        <row r="48">
          <cell r="B48" t="str">
            <v>Total Liabilities &amp; SE</v>
          </cell>
          <cell r="E48">
            <v>2406764</v>
          </cell>
          <cell r="F48">
            <v>2657004</v>
          </cell>
          <cell r="G48">
            <v>2825766</v>
          </cell>
          <cell r="H48">
            <v>2933371</v>
          </cell>
          <cell r="I48">
            <v>2933371</v>
          </cell>
          <cell r="J48">
            <v>2985212</v>
          </cell>
          <cell r="K48">
            <v>3042405</v>
          </cell>
          <cell r="L48">
            <v>3087152</v>
          </cell>
          <cell r="M48">
            <v>3118133</v>
          </cell>
          <cell r="N48">
            <v>3118133</v>
          </cell>
          <cell r="O48">
            <v>3182832</v>
          </cell>
          <cell r="P48">
            <v>3209844</v>
          </cell>
          <cell r="Q48">
            <v>3301159</v>
          </cell>
          <cell r="R48">
            <v>3396355</v>
          </cell>
          <cell r="S48">
            <v>3396355</v>
          </cell>
          <cell r="T48">
            <v>3463408</v>
          </cell>
          <cell r="U48">
            <v>3509370</v>
          </cell>
          <cell r="V48">
            <v>3573681</v>
          </cell>
          <cell r="W48">
            <v>3552825</v>
          </cell>
          <cell r="X48">
            <v>3552825</v>
          </cell>
          <cell r="Y48">
            <v>3591652</v>
          </cell>
          <cell r="Z48">
            <v>3610317</v>
          </cell>
          <cell r="AA48">
            <v>3696421</v>
          </cell>
          <cell r="AB48">
            <v>3627061</v>
          </cell>
          <cell r="AC48">
            <v>3627061</v>
          </cell>
          <cell r="AD48">
            <v>3665840</v>
          </cell>
          <cell r="AE48">
            <v>3637130</v>
          </cell>
          <cell r="AF48">
            <v>3755826</v>
          </cell>
          <cell r="AG48">
            <v>3834008</v>
          </cell>
          <cell r="AH48">
            <v>3834008</v>
          </cell>
          <cell r="AI48">
            <v>3893615</v>
          </cell>
          <cell r="AJ48">
            <v>3936650</v>
          </cell>
          <cell r="AK48">
            <v>4063885</v>
          </cell>
          <cell r="AL48">
            <v>4162827</v>
          </cell>
          <cell r="AM48">
            <v>4162827</v>
          </cell>
          <cell r="AN48">
            <v>4276479</v>
          </cell>
          <cell r="AO48">
            <v>4372086</v>
          </cell>
          <cell r="AP48">
            <v>4457663</v>
          </cell>
          <cell r="AQ48">
            <v>4497529</v>
          </cell>
          <cell r="AR48">
            <v>4497529</v>
          </cell>
          <cell r="AS48">
            <v>4502135</v>
          </cell>
          <cell r="AT48">
            <v>4557560</v>
          </cell>
          <cell r="AU48">
            <v>4678825</v>
          </cell>
          <cell r="AV48">
            <v>4910291</v>
          </cell>
          <cell r="AW48">
            <v>4910291</v>
          </cell>
          <cell r="AX48">
            <v>5072226</v>
          </cell>
          <cell r="AY48">
            <v>5202241</v>
          </cell>
          <cell r="AZ48">
            <v>5384055</v>
          </cell>
          <cell r="BA48">
            <v>5638749</v>
          </cell>
          <cell r="BB48">
            <v>5638749</v>
          </cell>
          <cell r="BC48">
            <v>5686262.3024905995</v>
          </cell>
          <cell r="BD48">
            <v>5346284.7893699855</v>
          </cell>
          <cell r="BE48">
            <v>5354342.4673128612</v>
          </cell>
          <cell r="BF48">
            <v>5398980.1418600054</v>
          </cell>
          <cell r="BG48">
            <v>5398980.1418600054</v>
          </cell>
          <cell r="BH48">
            <v>5440925.8157490464</v>
          </cell>
          <cell r="BI48">
            <v>5593227.0244859206</v>
          </cell>
          <cell r="BJ48">
            <v>5746116.0296520432</v>
          </cell>
          <cell r="BK48">
            <v>5799383.9644492418</v>
          </cell>
          <cell r="BL48">
            <v>5799383.9644492418</v>
          </cell>
          <cell r="BM48">
            <v>5907886.44702408</v>
          </cell>
          <cell r="BN48">
            <v>6016732.4117924487</v>
          </cell>
          <cell r="BO48">
            <v>6125923.1042345222</v>
          </cell>
          <cell r="BP48">
            <v>6235459.7730160505</v>
          </cell>
          <cell r="BQ48">
            <v>6235459.7730160505</v>
          </cell>
        </row>
        <row r="50">
          <cell r="B50" t="str">
            <v>Out of Balance</v>
          </cell>
          <cell r="E50">
            <v>0</v>
          </cell>
          <cell r="F50">
            <v>0</v>
          </cell>
          <cell r="G50">
            <v>0</v>
          </cell>
          <cell r="H50">
            <v>0</v>
          </cell>
          <cell r="J50">
            <v>0</v>
          </cell>
          <cell r="K50">
            <v>0</v>
          </cell>
          <cell r="L50">
            <v>0</v>
          </cell>
          <cell r="M50">
            <v>0</v>
          </cell>
          <cell r="O50">
            <v>0</v>
          </cell>
          <cell r="P50">
            <v>0</v>
          </cell>
          <cell r="Q50">
            <v>0</v>
          </cell>
          <cell r="R50">
            <v>0</v>
          </cell>
          <cell r="T50">
            <v>0</v>
          </cell>
          <cell r="U50">
            <v>0</v>
          </cell>
          <cell r="V50">
            <v>0</v>
          </cell>
          <cell r="W50">
            <v>0</v>
          </cell>
          <cell r="Y50">
            <v>0</v>
          </cell>
          <cell r="Z50">
            <v>0</v>
          </cell>
          <cell r="AA50">
            <v>0</v>
          </cell>
          <cell r="AB50">
            <v>0</v>
          </cell>
          <cell r="AD50">
            <v>0</v>
          </cell>
          <cell r="AE50">
            <v>0</v>
          </cell>
          <cell r="AF50">
            <v>0</v>
          </cell>
          <cell r="AG50">
            <v>0</v>
          </cell>
          <cell r="AI50">
            <v>0</v>
          </cell>
          <cell r="AJ50">
            <v>0</v>
          </cell>
          <cell r="AK50">
            <v>0</v>
          </cell>
          <cell r="AL50">
            <v>0</v>
          </cell>
          <cell r="AN50">
            <v>0</v>
          </cell>
          <cell r="AO50">
            <v>0</v>
          </cell>
          <cell r="AP50">
            <v>0</v>
          </cell>
          <cell r="AQ50">
            <v>0</v>
          </cell>
          <cell r="AR50">
            <v>0</v>
          </cell>
          <cell r="AS50">
            <v>0</v>
          </cell>
          <cell r="AT50">
            <v>0</v>
          </cell>
          <cell r="AU50">
            <v>0</v>
          </cell>
          <cell r="AV50">
            <v>0</v>
          </cell>
          <cell r="AX50">
            <v>0</v>
          </cell>
          <cell r="AY50">
            <v>0</v>
          </cell>
          <cell r="AZ50">
            <v>0</v>
          </cell>
          <cell r="BA50">
            <v>0</v>
          </cell>
          <cell r="BC50">
            <v>0</v>
          </cell>
          <cell r="BD50">
            <v>0</v>
          </cell>
          <cell r="BE50">
            <v>0</v>
          </cell>
          <cell r="BF50">
            <v>0</v>
          </cell>
          <cell r="BH50">
            <v>0</v>
          </cell>
          <cell r="BI50">
            <v>0</v>
          </cell>
          <cell r="BJ50">
            <v>0</v>
          </cell>
          <cell r="BK50">
            <v>0</v>
          </cell>
          <cell r="BM50">
            <v>0</v>
          </cell>
          <cell r="BN50">
            <v>0</v>
          </cell>
          <cell r="BO50">
            <v>0</v>
          </cell>
          <cell r="BP50">
            <v>0</v>
          </cell>
        </row>
        <row r="53">
          <cell r="B53" t="str">
            <v>Funding Analysis</v>
          </cell>
        </row>
        <row r="55">
          <cell r="B55" t="str">
            <v>Common Stock Offerings:</v>
          </cell>
        </row>
        <row r="56">
          <cell r="B56" t="str">
            <v>Additional Shares Issued</v>
          </cell>
          <cell r="T56">
            <v>0</v>
          </cell>
          <cell r="U56">
            <v>0</v>
          </cell>
          <cell r="V56">
            <v>0</v>
          </cell>
          <cell r="W56">
            <v>0</v>
          </cell>
          <cell r="X56">
            <v>0</v>
          </cell>
          <cell r="Y56">
            <v>0</v>
          </cell>
          <cell r="Z56">
            <v>1932</v>
          </cell>
          <cell r="AA56">
            <v>0</v>
          </cell>
          <cell r="AB56">
            <v>0</v>
          </cell>
          <cell r="AC56">
            <v>1932</v>
          </cell>
          <cell r="AD56">
            <v>0</v>
          </cell>
          <cell r="AE56">
            <v>0</v>
          </cell>
          <cell r="AF56">
            <v>0</v>
          </cell>
          <cell r="AG56">
            <v>2700</v>
          </cell>
          <cell r="AH56">
            <v>2700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row>
        <row r="57">
          <cell r="B57" t="str">
            <v>Stock Price - Quarterly  Compounded @</v>
          </cell>
          <cell r="C57">
            <v>2.5000000000000001E-2</v>
          </cell>
          <cell r="T57">
            <v>29</v>
          </cell>
          <cell r="U57">
            <v>25.9375</v>
          </cell>
          <cell r="V57">
            <v>26.5</v>
          </cell>
          <cell r="W57">
            <v>29.64</v>
          </cell>
          <cell r="Y57">
            <v>32.25</v>
          </cell>
          <cell r="Z57">
            <v>28.61</v>
          </cell>
          <cell r="AA57">
            <v>31</v>
          </cell>
          <cell r="AB57">
            <v>31.94</v>
          </cell>
          <cell r="AD57">
            <v>31.3</v>
          </cell>
          <cell r="AE57">
            <v>34.6</v>
          </cell>
          <cell r="AF57">
            <v>36.979999999999997</v>
          </cell>
          <cell r="AG57">
            <v>38.9</v>
          </cell>
          <cell r="AI57">
            <v>45</v>
          </cell>
          <cell r="AJ57">
            <v>40.21</v>
          </cell>
          <cell r="AK57">
            <v>39.840000000000003</v>
          </cell>
          <cell r="AL57">
            <v>43.2</v>
          </cell>
          <cell r="AN57">
            <v>39.049999999999997</v>
          </cell>
          <cell r="AO57">
            <v>44.31</v>
          </cell>
          <cell r="AP57">
            <v>42.54</v>
          </cell>
          <cell r="AQ57">
            <v>42.85</v>
          </cell>
          <cell r="AS57">
            <v>47.16</v>
          </cell>
          <cell r="AT57">
            <v>44.2</v>
          </cell>
          <cell r="AU57">
            <v>47.79</v>
          </cell>
          <cell r="AV57">
            <v>49.14</v>
          </cell>
          <cell r="AX57">
            <v>48.72</v>
          </cell>
          <cell r="AY57">
            <v>43.93</v>
          </cell>
          <cell r="AZ57">
            <v>40.21</v>
          </cell>
          <cell r="BA57">
            <v>28.81</v>
          </cell>
          <cell r="BC57">
            <v>29.530249999999995</v>
          </cell>
          <cell r="BD57">
            <v>30.268506249999991</v>
          </cell>
          <cell r="BE57">
            <v>31.025218906249989</v>
          </cell>
          <cell r="BF57">
            <v>31.800849378906236</v>
          </cell>
          <cell r="BH57">
            <v>32.595870613378892</v>
          </cell>
          <cell r="BI57">
            <v>33.410767378713359</v>
          </cell>
          <cell r="BJ57">
            <v>34.246036563181192</v>
          </cell>
          <cell r="BK57">
            <v>35.102187477260721</v>
          </cell>
          <cell r="BM57">
            <v>35.979742164192238</v>
          </cell>
          <cell r="BN57">
            <v>36.879235718297039</v>
          </cell>
          <cell r="BO57">
            <v>37.801216611254461</v>
          </cell>
          <cell r="BP57">
            <v>38.746247026535819</v>
          </cell>
        </row>
        <row r="58">
          <cell r="B58" t="str">
            <v>Gross Proceeds</v>
          </cell>
          <cell r="T58">
            <v>0</v>
          </cell>
          <cell r="U58">
            <v>0</v>
          </cell>
          <cell r="V58">
            <v>0</v>
          </cell>
          <cell r="W58">
            <v>0</v>
          </cell>
          <cell r="X58">
            <v>0</v>
          </cell>
          <cell r="Y58">
            <v>0</v>
          </cell>
          <cell r="Z58">
            <v>55274.52</v>
          </cell>
          <cell r="AA58">
            <v>0</v>
          </cell>
          <cell r="AB58">
            <v>0</v>
          </cell>
          <cell r="AC58">
            <v>55274.52</v>
          </cell>
          <cell r="AD58">
            <v>0</v>
          </cell>
          <cell r="AE58">
            <v>0</v>
          </cell>
          <cell r="AF58">
            <v>0</v>
          </cell>
          <cell r="AG58">
            <v>105030</v>
          </cell>
          <cell r="AH58">
            <v>105030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row>
        <row r="59">
          <cell r="B59" t="str">
            <v>Issuance Costs</v>
          </cell>
          <cell r="T59">
            <v>5.5E-2</v>
          </cell>
          <cell r="U59">
            <v>5.5E-2</v>
          </cell>
          <cell r="V59">
            <v>5.5E-2</v>
          </cell>
          <cell r="W59">
            <v>5.5E-2</v>
          </cell>
          <cell r="Y59">
            <v>5.5E-2</v>
          </cell>
          <cell r="Z59">
            <v>5.5E-2</v>
          </cell>
          <cell r="AA59">
            <v>5.5E-2</v>
          </cell>
          <cell r="AB59">
            <v>5.5E-2</v>
          </cell>
          <cell r="AD59">
            <v>5.5E-2</v>
          </cell>
          <cell r="AE59">
            <v>5.5E-2</v>
          </cell>
          <cell r="AF59">
            <v>5.5E-2</v>
          </cell>
          <cell r="AG59">
            <v>5.5E-2</v>
          </cell>
          <cell r="AI59">
            <v>5.5E-2</v>
          </cell>
          <cell r="AJ59">
            <v>5.5E-2</v>
          </cell>
          <cell r="AK59">
            <v>5.5E-2</v>
          </cell>
          <cell r="AL59">
            <v>5.5E-2</v>
          </cell>
          <cell r="AN59">
            <v>5.5E-2</v>
          </cell>
          <cell r="AO59">
            <v>5.5E-2</v>
          </cell>
          <cell r="AP59">
            <v>5.5E-2</v>
          </cell>
          <cell r="AQ59">
            <v>5.5E-2</v>
          </cell>
          <cell r="AS59">
            <v>5.5E-2</v>
          </cell>
          <cell r="AT59">
            <v>5.5E-2</v>
          </cell>
          <cell r="AU59">
            <v>5.5E-2</v>
          </cell>
          <cell r="AV59">
            <v>5.5E-2</v>
          </cell>
          <cell r="AX59">
            <v>5.5E-2</v>
          </cell>
          <cell r="AY59">
            <v>5.5E-2</v>
          </cell>
          <cell r="AZ59">
            <v>5.5E-2</v>
          </cell>
          <cell r="BA59">
            <v>5.5E-2</v>
          </cell>
          <cell r="BC59">
            <v>5.5E-2</v>
          </cell>
          <cell r="BD59">
            <v>5.5E-2</v>
          </cell>
          <cell r="BE59">
            <v>5.5E-2</v>
          </cell>
          <cell r="BF59">
            <v>5.5E-2</v>
          </cell>
          <cell r="BH59">
            <v>5.5E-2</v>
          </cell>
          <cell r="BI59">
            <v>5.5E-2</v>
          </cell>
          <cell r="BJ59">
            <v>5.5E-2</v>
          </cell>
          <cell r="BK59">
            <v>5.5E-2</v>
          </cell>
          <cell r="BM59">
            <v>5.5E-2</v>
          </cell>
          <cell r="BN59">
            <v>5.5E-2</v>
          </cell>
          <cell r="BO59">
            <v>5.5E-2</v>
          </cell>
          <cell r="BP59">
            <v>5.5E-2</v>
          </cell>
        </row>
        <row r="60">
          <cell r="B60" t="str">
            <v>Net Proceeds (used to Repay Debt)</v>
          </cell>
          <cell r="T60">
            <v>1261686</v>
          </cell>
          <cell r="U60">
            <v>7528</v>
          </cell>
          <cell r="V60">
            <v>52424</v>
          </cell>
          <cell r="W60">
            <v>13459</v>
          </cell>
          <cell r="X60">
            <v>1335097</v>
          </cell>
          <cell r="Y60">
            <v>17378</v>
          </cell>
          <cell r="Z60">
            <v>17926</v>
          </cell>
          <cell r="AA60">
            <v>23776</v>
          </cell>
          <cell r="AB60">
            <v>15472</v>
          </cell>
          <cell r="AC60">
            <v>74552</v>
          </cell>
          <cell r="AD60">
            <v>25124</v>
          </cell>
          <cell r="AE60">
            <v>35052</v>
          </cell>
          <cell r="AF60">
            <v>28083</v>
          </cell>
          <cell r="AG60">
            <v>124294</v>
          </cell>
          <cell r="AH60">
            <v>212553</v>
          </cell>
          <cell r="AI60">
            <v>35935</v>
          </cell>
          <cell r="AJ60">
            <v>16575</v>
          </cell>
          <cell r="AK60">
            <v>17790</v>
          </cell>
          <cell r="AL60">
            <v>14830</v>
          </cell>
          <cell r="AM60">
            <v>85130</v>
          </cell>
          <cell r="AN60">
            <v>34399</v>
          </cell>
          <cell r="AO60">
            <v>26982</v>
          </cell>
          <cell r="AP60">
            <v>18777</v>
          </cell>
          <cell r="AQ60">
            <v>10339</v>
          </cell>
          <cell r="AR60">
            <v>90497</v>
          </cell>
          <cell r="AS60">
            <v>16645</v>
          </cell>
          <cell r="AT60">
            <v>41960</v>
          </cell>
          <cell r="AU60">
            <v>21758</v>
          </cell>
          <cell r="AV60">
            <v>26975</v>
          </cell>
          <cell r="AW60">
            <v>107338</v>
          </cell>
          <cell r="AX60">
            <v>26335</v>
          </cell>
          <cell r="AY60">
            <v>-31761</v>
          </cell>
          <cell r="AZ60">
            <v>14819</v>
          </cell>
          <cell r="BA60">
            <v>17723</v>
          </cell>
          <cell r="BB60">
            <v>27116</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Z60" t="str">
            <v>mstag:netIssuanceRepurchaseOfCommonStock</v>
          </cell>
          <cell r="CA60">
            <v>3</v>
          </cell>
          <cell r="CB60" t="str">
            <v>ISO4217:USD</v>
          </cell>
          <cell r="CC60" t="b">
            <v>0</v>
          </cell>
          <cell r="CD60" t="b">
            <v>0</v>
          </cell>
        </row>
        <row r="63">
          <cell r="B63" t="str">
            <v>Total Shares &amp; Units Out. (Begining)</v>
          </cell>
          <cell r="T63">
            <v>72666</v>
          </cell>
          <cell r="U63">
            <v>73029.329999999987</v>
          </cell>
          <cell r="V63">
            <v>73394.476649999982</v>
          </cell>
          <cell r="W63">
            <v>73761.44903324997</v>
          </cell>
          <cell r="Y63">
            <v>77582</v>
          </cell>
          <cell r="Z63">
            <v>77969.909999999989</v>
          </cell>
          <cell r="AA63">
            <v>80301.419549999977</v>
          </cell>
          <cell r="AB63">
            <v>79565</v>
          </cell>
          <cell r="AD63">
            <v>80150</v>
          </cell>
          <cell r="AE63">
            <v>80990</v>
          </cell>
          <cell r="AF63">
            <v>82341</v>
          </cell>
          <cell r="AG63">
            <v>83311</v>
          </cell>
          <cell r="AI63">
            <v>86711</v>
          </cell>
          <cell r="AJ63">
            <v>87922</v>
          </cell>
          <cell r="AK63">
            <v>88421</v>
          </cell>
          <cell r="AL63">
            <v>88923</v>
          </cell>
          <cell r="AN63">
            <v>89343</v>
          </cell>
          <cell r="AO63">
            <v>90064</v>
          </cell>
          <cell r="AP63">
            <v>90886</v>
          </cell>
          <cell r="AQ63">
            <v>91327</v>
          </cell>
          <cell r="AS63">
            <v>91875</v>
          </cell>
          <cell r="AT63">
            <v>92317</v>
          </cell>
          <cell r="AU63">
            <v>93753</v>
          </cell>
          <cell r="AV63">
            <v>94314</v>
          </cell>
          <cell r="AX63">
            <v>95104</v>
          </cell>
          <cell r="AY63">
            <v>95829</v>
          </cell>
          <cell r="AZ63">
            <v>95424</v>
          </cell>
          <cell r="BA63">
            <v>95424</v>
          </cell>
          <cell r="BC63">
            <v>95424</v>
          </cell>
          <cell r="BD63">
            <v>95424</v>
          </cell>
          <cell r="BE63">
            <v>95424</v>
          </cell>
          <cell r="BF63">
            <v>95424</v>
          </cell>
          <cell r="BH63">
            <v>95424</v>
          </cell>
          <cell r="BI63">
            <v>95424</v>
          </cell>
          <cell r="BJ63">
            <v>95424</v>
          </cell>
          <cell r="BK63">
            <v>95424</v>
          </cell>
          <cell r="BM63">
            <v>95424</v>
          </cell>
          <cell r="BN63">
            <v>95424</v>
          </cell>
          <cell r="BO63">
            <v>95424</v>
          </cell>
          <cell r="BP63">
            <v>95424</v>
          </cell>
        </row>
        <row r="64">
          <cell r="B64" t="str">
            <v>Additional Shares Issued</v>
          </cell>
          <cell r="T64">
            <v>0</v>
          </cell>
          <cell r="U64">
            <v>0</v>
          </cell>
          <cell r="V64">
            <v>0</v>
          </cell>
          <cell r="W64">
            <v>0</v>
          </cell>
          <cell r="Y64">
            <v>0</v>
          </cell>
          <cell r="Z64">
            <v>1932</v>
          </cell>
          <cell r="AA64">
            <v>-1955.0501063836564</v>
          </cell>
          <cell r="AB64">
            <v>0</v>
          </cell>
          <cell r="AD64">
            <v>0</v>
          </cell>
          <cell r="AE64">
            <v>0</v>
          </cell>
          <cell r="AF64">
            <v>0</v>
          </cell>
          <cell r="AG64">
            <v>2700</v>
          </cell>
          <cell r="AI64">
            <v>0</v>
          </cell>
          <cell r="AJ64">
            <v>0</v>
          </cell>
          <cell r="AK64">
            <v>0</v>
          </cell>
          <cell r="AL64">
            <v>0</v>
          </cell>
          <cell r="AN64">
            <v>0</v>
          </cell>
          <cell r="AO64">
            <v>0</v>
          </cell>
          <cell r="AP64">
            <v>0</v>
          </cell>
          <cell r="AQ64">
            <v>0</v>
          </cell>
          <cell r="AS64">
            <v>0</v>
          </cell>
          <cell r="AT64">
            <v>0</v>
          </cell>
          <cell r="AU64">
            <v>0</v>
          </cell>
          <cell r="AV64">
            <v>0</v>
          </cell>
          <cell r="AX64">
            <v>0</v>
          </cell>
          <cell r="AY64">
            <v>-776</v>
          </cell>
          <cell r="AZ64">
            <v>-301</v>
          </cell>
          <cell r="BA64">
            <v>0</v>
          </cell>
          <cell r="BC64">
            <v>0</v>
          </cell>
          <cell r="BD64">
            <v>0</v>
          </cell>
          <cell r="BE64">
            <v>0</v>
          </cell>
          <cell r="BF64">
            <v>0</v>
          </cell>
          <cell r="BH64">
            <v>0</v>
          </cell>
          <cell r="BI64">
            <v>0</v>
          </cell>
          <cell r="BJ64">
            <v>0</v>
          </cell>
          <cell r="BK64">
            <v>0</v>
          </cell>
          <cell r="BM64">
            <v>0</v>
          </cell>
          <cell r="BN64">
            <v>0</v>
          </cell>
          <cell r="BO64">
            <v>0</v>
          </cell>
          <cell r="BP64">
            <v>0</v>
          </cell>
        </row>
        <row r="65">
          <cell r="B65" t="str">
            <v>Weighting</v>
          </cell>
          <cell r="T65">
            <v>0.5</v>
          </cell>
          <cell r="U65">
            <v>0.5</v>
          </cell>
          <cell r="V65">
            <v>0.5</v>
          </cell>
          <cell r="W65">
            <v>0.5</v>
          </cell>
          <cell r="Y65">
            <v>0.5</v>
          </cell>
          <cell r="Z65">
            <v>0.5</v>
          </cell>
          <cell r="AA65">
            <v>0.5</v>
          </cell>
          <cell r="AB65">
            <v>0.5</v>
          </cell>
          <cell r="AD65">
            <v>0.5</v>
          </cell>
          <cell r="AE65">
            <v>0.5</v>
          </cell>
          <cell r="AF65">
            <v>1</v>
          </cell>
          <cell r="AG65">
            <v>0.25</v>
          </cell>
          <cell r="AI65">
            <v>0.75</v>
          </cell>
          <cell r="AJ65">
            <v>0.5</v>
          </cell>
          <cell r="AK65">
            <v>0.5</v>
          </cell>
          <cell r="AL65">
            <v>0.5</v>
          </cell>
          <cell r="AN65">
            <v>0.5</v>
          </cell>
          <cell r="AO65">
            <v>0.5</v>
          </cell>
          <cell r="AP65">
            <v>0.5</v>
          </cell>
          <cell r="AQ65">
            <v>0.5</v>
          </cell>
          <cell r="AS65">
            <v>0.5</v>
          </cell>
          <cell r="AT65">
            <v>0.5</v>
          </cell>
          <cell r="AU65">
            <v>0.5</v>
          </cell>
          <cell r="AV65">
            <v>0.5</v>
          </cell>
          <cell r="AX65">
            <v>0.5</v>
          </cell>
          <cell r="AY65">
            <v>3.3333333333333333E-2</v>
          </cell>
          <cell r="AZ65">
            <v>0.8</v>
          </cell>
          <cell r="BA65">
            <v>0.5</v>
          </cell>
          <cell r="BC65">
            <v>0.5</v>
          </cell>
          <cell r="BD65">
            <v>0.5</v>
          </cell>
          <cell r="BE65">
            <v>0.5</v>
          </cell>
          <cell r="BF65">
            <v>0.5</v>
          </cell>
          <cell r="BH65">
            <v>0.5</v>
          </cell>
          <cell r="BI65">
            <v>0.5</v>
          </cell>
          <cell r="BJ65">
            <v>0.5</v>
          </cell>
          <cell r="BK65">
            <v>0.5</v>
          </cell>
          <cell r="BM65">
            <v>0.5</v>
          </cell>
          <cell r="BN65">
            <v>0.5</v>
          </cell>
          <cell r="BO65">
            <v>0.5</v>
          </cell>
          <cell r="BP65">
            <v>0.5</v>
          </cell>
        </row>
        <row r="66">
          <cell r="B66" t="str">
            <v>Weighted Shares Issued</v>
          </cell>
          <cell r="T66">
            <v>0</v>
          </cell>
          <cell r="U66">
            <v>0</v>
          </cell>
          <cell r="V66">
            <v>0</v>
          </cell>
          <cell r="W66">
            <v>0</v>
          </cell>
          <cell r="Y66">
            <v>0</v>
          </cell>
          <cell r="Z66">
            <v>966</v>
          </cell>
          <cell r="AA66">
            <v>-977.52505319182819</v>
          </cell>
          <cell r="AB66">
            <v>0</v>
          </cell>
          <cell r="AD66">
            <v>0</v>
          </cell>
          <cell r="AE66">
            <v>0</v>
          </cell>
          <cell r="AF66">
            <v>0</v>
          </cell>
          <cell r="AG66">
            <v>675</v>
          </cell>
          <cell r="AI66">
            <v>2025</v>
          </cell>
          <cell r="AJ66">
            <v>0</v>
          </cell>
          <cell r="AK66">
            <v>0</v>
          </cell>
          <cell r="AL66">
            <v>0</v>
          </cell>
          <cell r="AN66">
            <v>0</v>
          </cell>
          <cell r="AO66">
            <v>0</v>
          </cell>
          <cell r="AP66">
            <v>0</v>
          </cell>
          <cell r="AQ66">
            <v>0</v>
          </cell>
          <cell r="AS66">
            <v>0</v>
          </cell>
          <cell r="AT66">
            <v>0</v>
          </cell>
          <cell r="AU66">
            <v>0</v>
          </cell>
          <cell r="AV66">
            <v>0</v>
          </cell>
          <cell r="AX66">
            <v>0</v>
          </cell>
          <cell r="AY66">
            <v>-25.866666666666667</v>
          </cell>
          <cell r="AZ66">
            <v>-240.8</v>
          </cell>
          <cell r="BA66">
            <v>0</v>
          </cell>
          <cell r="BC66">
            <v>0</v>
          </cell>
          <cell r="BD66">
            <v>0</v>
          </cell>
          <cell r="BE66">
            <v>0</v>
          </cell>
          <cell r="BF66">
            <v>0</v>
          </cell>
          <cell r="BH66">
            <v>0</v>
          </cell>
          <cell r="BI66">
            <v>0</v>
          </cell>
          <cell r="BJ66">
            <v>0</v>
          </cell>
          <cell r="BK66">
            <v>0</v>
          </cell>
          <cell r="BM66">
            <v>0</v>
          </cell>
          <cell r="BN66">
            <v>0</v>
          </cell>
          <cell r="BO66">
            <v>0</v>
          </cell>
          <cell r="BP66">
            <v>0</v>
          </cell>
        </row>
        <row r="67">
          <cell r="B67" t="str">
            <v>Weighted Avg. Shares &amp; Units Out.</v>
          </cell>
          <cell r="T67">
            <v>76209</v>
          </cell>
          <cell r="U67">
            <v>76590.044999999998</v>
          </cell>
          <cell r="V67">
            <v>77907</v>
          </cell>
          <cell r="W67">
            <v>78296.534999999989</v>
          </cell>
          <cell r="Y67">
            <v>78688.017674999981</v>
          </cell>
          <cell r="Z67">
            <v>80047.457763374972</v>
          </cell>
          <cell r="AA67">
            <v>80440.999999000007</v>
          </cell>
          <cell r="AB67">
            <v>80888</v>
          </cell>
          <cell r="AD67">
            <v>81562</v>
          </cell>
          <cell r="AE67">
            <v>81962</v>
          </cell>
          <cell r="AF67">
            <v>84015</v>
          </cell>
          <cell r="AG67">
            <v>85656</v>
          </cell>
          <cell r="AI67">
            <v>88800</v>
          </cell>
          <cell r="AJ67">
            <v>89200</v>
          </cell>
          <cell r="AK67">
            <v>89600</v>
          </cell>
          <cell r="AL67">
            <v>90000</v>
          </cell>
          <cell r="AN67">
            <v>90000</v>
          </cell>
          <cell r="AO67">
            <v>90400</v>
          </cell>
          <cell r="AP67">
            <v>90800</v>
          </cell>
          <cell r="AQ67">
            <v>91200</v>
          </cell>
          <cell r="AS67">
            <v>91200</v>
          </cell>
          <cell r="AT67">
            <v>91600</v>
          </cell>
          <cell r="AU67">
            <v>92000</v>
          </cell>
          <cell r="AV67">
            <v>92400</v>
          </cell>
          <cell r="AX67">
            <v>92400</v>
          </cell>
          <cell r="AY67">
            <v>92800</v>
          </cell>
          <cell r="AZ67">
            <v>93200</v>
          </cell>
          <cell r="BA67">
            <v>93600</v>
          </cell>
          <cell r="BC67">
            <v>93600</v>
          </cell>
          <cell r="BD67">
            <v>94000</v>
          </cell>
          <cell r="BE67">
            <v>94400</v>
          </cell>
          <cell r="BF67">
            <v>94800</v>
          </cell>
          <cell r="BH67">
            <v>94800</v>
          </cell>
          <cell r="BI67">
            <v>95200</v>
          </cell>
          <cell r="BJ67">
            <v>95600</v>
          </cell>
          <cell r="BK67">
            <v>96000</v>
          </cell>
          <cell r="BM67">
            <v>96000</v>
          </cell>
          <cell r="BN67">
            <v>96400</v>
          </cell>
          <cell r="BO67">
            <v>96800</v>
          </cell>
          <cell r="BP67">
            <v>97200</v>
          </cell>
        </row>
        <row r="68">
          <cell r="B68" t="str">
            <v>Total Shares &amp; Units Out. (Ending)</v>
          </cell>
          <cell r="T68">
            <v>73029.329999999987</v>
          </cell>
          <cell r="U68">
            <v>73394.476649999982</v>
          </cell>
          <cell r="V68">
            <v>73761.44903324997</v>
          </cell>
          <cell r="W68">
            <v>77582</v>
          </cell>
          <cell r="Y68">
            <v>77969.909999999989</v>
          </cell>
          <cell r="Z68">
            <v>80301.419549999977</v>
          </cell>
          <cell r="AA68">
            <v>79565</v>
          </cell>
          <cell r="AB68">
            <v>80150</v>
          </cell>
          <cell r="AD68">
            <v>80990</v>
          </cell>
          <cell r="AE68">
            <v>82341</v>
          </cell>
          <cell r="AF68">
            <v>83311</v>
          </cell>
          <cell r="AG68">
            <v>86711</v>
          </cell>
          <cell r="AI68">
            <v>87922</v>
          </cell>
          <cell r="AJ68">
            <v>88421</v>
          </cell>
          <cell r="AK68">
            <v>88923</v>
          </cell>
          <cell r="AL68">
            <v>89343</v>
          </cell>
          <cell r="AN68">
            <v>90064</v>
          </cell>
          <cell r="AO68">
            <v>90886</v>
          </cell>
          <cell r="AP68">
            <v>91327</v>
          </cell>
          <cell r="AQ68">
            <v>91875</v>
          </cell>
          <cell r="AS68">
            <v>92317</v>
          </cell>
          <cell r="AT68">
            <v>93753</v>
          </cell>
          <cell r="AU68">
            <v>94314</v>
          </cell>
          <cell r="AV68">
            <v>95104</v>
          </cell>
          <cell r="AX68">
            <v>95829</v>
          </cell>
          <cell r="AY68">
            <v>95424</v>
          </cell>
          <cell r="AZ68">
            <v>95424</v>
          </cell>
          <cell r="BA68">
            <v>95424</v>
          </cell>
          <cell r="BC68">
            <v>95424</v>
          </cell>
          <cell r="BD68">
            <v>95424</v>
          </cell>
          <cell r="BE68">
            <v>95424</v>
          </cell>
          <cell r="BF68">
            <v>95424</v>
          </cell>
          <cell r="BH68">
            <v>95424</v>
          </cell>
          <cell r="BI68">
            <v>95424</v>
          </cell>
          <cell r="BJ68">
            <v>95424</v>
          </cell>
          <cell r="BK68">
            <v>95424</v>
          </cell>
          <cell r="BM68">
            <v>95424</v>
          </cell>
          <cell r="BN68">
            <v>95424</v>
          </cell>
          <cell r="BO68">
            <v>95424</v>
          </cell>
          <cell r="BP68">
            <v>95424</v>
          </cell>
        </row>
        <row r="70">
          <cell r="B70" t="str">
            <v>Uses of Cash:</v>
          </cell>
        </row>
        <row r="71">
          <cell r="B71" t="str">
            <v xml:space="preserve">  Acquisitions</v>
          </cell>
          <cell r="BA71">
            <v>232389.5</v>
          </cell>
          <cell r="BC71">
            <v>42500</v>
          </cell>
          <cell r="BD71">
            <v>42500</v>
          </cell>
          <cell r="BE71">
            <v>42500</v>
          </cell>
          <cell r="BF71">
            <v>42500</v>
          </cell>
          <cell r="BH71">
            <v>65000</v>
          </cell>
          <cell r="BI71">
            <v>65000</v>
          </cell>
          <cell r="BJ71">
            <v>65000</v>
          </cell>
          <cell r="BK71">
            <v>65000</v>
          </cell>
          <cell r="BM71">
            <v>70000</v>
          </cell>
          <cell r="BN71">
            <v>70000</v>
          </cell>
          <cell r="BO71">
            <v>70000</v>
          </cell>
          <cell r="BP71">
            <v>70000</v>
          </cell>
        </row>
        <row r="72">
          <cell r="B72" t="str">
            <v xml:space="preserve">  Developments</v>
          </cell>
          <cell r="BA72">
            <v>373393.8</v>
          </cell>
          <cell r="BC72">
            <v>94192.5</v>
          </cell>
          <cell r="BD72">
            <v>92117.5</v>
          </cell>
          <cell r="BE72">
            <v>29239.8</v>
          </cell>
          <cell r="BF72">
            <v>65583</v>
          </cell>
          <cell r="BH72">
            <v>40000</v>
          </cell>
          <cell r="BI72">
            <v>150000</v>
          </cell>
          <cell r="BJ72">
            <v>150000</v>
          </cell>
          <cell r="BK72">
            <v>50000</v>
          </cell>
          <cell r="BM72">
            <v>100000</v>
          </cell>
          <cell r="BN72">
            <v>100000</v>
          </cell>
          <cell r="BO72">
            <v>100000</v>
          </cell>
          <cell r="BP72">
            <v>100000</v>
          </cell>
        </row>
        <row r="73">
          <cell r="B73" t="str">
            <v xml:space="preserve">  Dispositions</v>
          </cell>
          <cell r="BA73">
            <v>-96500</v>
          </cell>
          <cell r="BC73">
            <v>-75000</v>
          </cell>
          <cell r="BD73">
            <v>-507000</v>
          </cell>
          <cell r="BE73">
            <v>-50000</v>
          </cell>
          <cell r="BF73">
            <v>-50000</v>
          </cell>
          <cell r="BH73">
            <v>-50000</v>
          </cell>
          <cell r="BI73">
            <v>-50000</v>
          </cell>
          <cell r="BJ73">
            <v>-50000</v>
          </cell>
          <cell r="BK73">
            <v>-50000</v>
          </cell>
          <cell r="BM73">
            <v>-50000</v>
          </cell>
          <cell r="BN73">
            <v>-50000</v>
          </cell>
          <cell r="BO73">
            <v>-50000</v>
          </cell>
          <cell r="BP73">
            <v>-50000</v>
          </cell>
        </row>
        <row r="74">
          <cell r="B74" t="str">
            <v>Net Funding Requirements</v>
          </cell>
          <cell r="BA74">
            <v>509283.30000000005</v>
          </cell>
          <cell r="BC74">
            <v>61692.5</v>
          </cell>
          <cell r="BD74">
            <v>-372382.5</v>
          </cell>
          <cell r="BE74">
            <v>21739.800000000003</v>
          </cell>
          <cell r="BF74">
            <v>58083</v>
          </cell>
          <cell r="BH74">
            <v>55000</v>
          </cell>
          <cell r="BI74">
            <v>165000</v>
          </cell>
          <cell r="BJ74">
            <v>165000</v>
          </cell>
          <cell r="BK74">
            <v>65000</v>
          </cell>
          <cell r="BM74">
            <v>120000</v>
          </cell>
          <cell r="BN74">
            <v>120000</v>
          </cell>
          <cell r="BO74">
            <v>120000</v>
          </cell>
          <cell r="BP74">
            <v>120000</v>
          </cell>
        </row>
        <row r="76">
          <cell r="B76" t="str">
            <v>Sources of Cash:</v>
          </cell>
        </row>
        <row r="77">
          <cell r="B77" t="str">
            <v xml:space="preserve">  Beginning Cash</v>
          </cell>
          <cell r="AZ77">
            <v>12741</v>
          </cell>
          <cell r="BA77">
            <v>36031</v>
          </cell>
          <cell r="BC77">
            <v>20000</v>
          </cell>
          <cell r="BD77">
            <v>20000</v>
          </cell>
          <cell r="BE77">
            <v>20000</v>
          </cell>
          <cell r="BF77">
            <v>20000</v>
          </cell>
          <cell r="BH77">
            <v>20000</v>
          </cell>
          <cell r="BI77">
            <v>20000</v>
          </cell>
          <cell r="BJ77">
            <v>20000</v>
          </cell>
          <cell r="BK77">
            <v>20000</v>
          </cell>
          <cell r="BM77">
            <v>20000</v>
          </cell>
          <cell r="BN77">
            <v>20000</v>
          </cell>
          <cell r="BO77">
            <v>20000</v>
          </cell>
          <cell r="BP77">
            <v>20000</v>
          </cell>
        </row>
        <row r="78">
          <cell r="B78" t="str">
            <v xml:space="preserve">  Retained Cash</v>
          </cell>
          <cell r="AZ78">
            <v>-14640.429387500004</v>
          </cell>
          <cell r="BA78">
            <v>-19397.218187500021</v>
          </cell>
          <cell r="BC78">
            <v>-14552.744973693039</v>
          </cell>
          <cell r="BD78">
            <v>-13503.713814690211</v>
          </cell>
          <cell r="BE78">
            <v>-16937.273059257728</v>
          </cell>
          <cell r="BF78">
            <v>-17984.15295767675</v>
          </cell>
          <cell r="BH78">
            <v>-18047.144301785636</v>
          </cell>
          <cell r="BI78">
            <v>-17788.999387899639</v>
          </cell>
          <cell r="BJ78">
            <v>-20786.47691807929</v>
          </cell>
          <cell r="BK78">
            <v>-20648.430489337177</v>
          </cell>
          <cell r="BM78">
            <v>-20421.067395393755</v>
          </cell>
          <cell r="BN78">
            <v>-20468.494685377842</v>
          </cell>
          <cell r="BO78">
            <v>-24306.471142280261</v>
          </cell>
          <cell r="BP78">
            <v>-24560.548983895951</v>
          </cell>
        </row>
        <row r="79">
          <cell r="B79" t="str">
            <v xml:space="preserve">  Common Equity Issuance</v>
          </cell>
          <cell r="AZ79">
            <v>14819</v>
          </cell>
          <cell r="BA79">
            <v>17723</v>
          </cell>
          <cell r="BC79">
            <v>0</v>
          </cell>
          <cell r="BD79">
            <v>0</v>
          </cell>
          <cell r="BE79">
            <v>0</v>
          </cell>
          <cell r="BF79">
            <v>0</v>
          </cell>
          <cell r="BH79">
            <v>0</v>
          </cell>
          <cell r="BI79">
            <v>0</v>
          </cell>
          <cell r="BJ79">
            <v>0</v>
          </cell>
          <cell r="BK79">
            <v>0</v>
          </cell>
          <cell r="BM79">
            <v>0</v>
          </cell>
          <cell r="BN79">
            <v>0</v>
          </cell>
          <cell r="BO79">
            <v>0</v>
          </cell>
          <cell r="BP79">
            <v>0</v>
          </cell>
        </row>
        <row r="80">
          <cell r="B80" t="str">
            <v xml:space="preserve">  Issuance of Preferred Stock</v>
          </cell>
          <cell r="AZ80">
            <v>0</v>
          </cell>
          <cell r="BA80">
            <v>100000</v>
          </cell>
          <cell r="BC80">
            <v>0</v>
          </cell>
          <cell r="BD80">
            <v>0</v>
          </cell>
          <cell r="BE80">
            <v>0</v>
          </cell>
          <cell r="BF80">
            <v>0</v>
          </cell>
          <cell r="BH80">
            <v>0</v>
          </cell>
          <cell r="BI80">
            <v>0</v>
          </cell>
          <cell r="BJ80">
            <v>0</v>
          </cell>
          <cell r="BK80">
            <v>0</v>
          </cell>
          <cell r="BM80">
            <v>0</v>
          </cell>
          <cell r="BN80">
            <v>0</v>
          </cell>
          <cell r="BO80">
            <v>0</v>
          </cell>
          <cell r="BP80">
            <v>0</v>
          </cell>
        </row>
        <row r="81">
          <cell r="B81" t="str">
            <v xml:space="preserve">  Issuance of Debt</v>
          </cell>
          <cell r="AY81">
            <v>146947</v>
          </cell>
          <cell r="AZ81">
            <v>23111.429387500004</v>
          </cell>
          <cell r="BA81">
            <v>394926.51818750007</v>
          </cell>
          <cell r="BC81">
            <v>76245.244973693043</v>
          </cell>
          <cell r="BD81">
            <v>-358878.78618530981</v>
          </cell>
          <cell r="BE81">
            <v>38677.073059257731</v>
          </cell>
          <cell r="BF81">
            <v>76067.15295767675</v>
          </cell>
          <cell r="BH81">
            <v>73047.144301785636</v>
          </cell>
          <cell r="BI81">
            <v>182788.99938789965</v>
          </cell>
          <cell r="BJ81">
            <v>185786.47691807928</v>
          </cell>
          <cell r="BK81">
            <v>85648.430489337174</v>
          </cell>
          <cell r="BM81">
            <v>140421.06739539374</v>
          </cell>
          <cell r="BN81">
            <v>140468.49468537784</v>
          </cell>
          <cell r="BO81">
            <v>144306.47114228026</v>
          </cell>
          <cell r="BP81">
            <v>144560.54898389595</v>
          </cell>
        </row>
        <row r="82">
          <cell r="B82" t="str">
            <v>Actual Cash</v>
          </cell>
          <cell r="T82">
            <v>4638</v>
          </cell>
          <cell r="U82">
            <v>36131</v>
          </cell>
          <cell r="V82">
            <v>5000</v>
          </cell>
          <cell r="W82">
            <v>19390</v>
          </cell>
          <cell r="Y82">
            <v>22200</v>
          </cell>
          <cell r="Z82">
            <v>5000</v>
          </cell>
          <cell r="AA82">
            <v>15606</v>
          </cell>
          <cell r="AB82">
            <v>11071</v>
          </cell>
          <cell r="AD82">
            <v>29840</v>
          </cell>
          <cell r="AE82">
            <v>26268</v>
          </cell>
          <cell r="AF82">
            <v>43750</v>
          </cell>
          <cell r="AG82">
            <v>21809</v>
          </cell>
          <cell r="AI82">
            <v>34505</v>
          </cell>
          <cell r="AJ82">
            <v>39284</v>
          </cell>
          <cell r="AK82">
            <v>21775</v>
          </cell>
          <cell r="AL82">
            <v>33667</v>
          </cell>
          <cell r="AN82">
            <v>36783</v>
          </cell>
          <cell r="AO82">
            <v>50990.6</v>
          </cell>
          <cell r="AP82">
            <v>43209</v>
          </cell>
          <cell r="AQ82">
            <v>61629</v>
          </cell>
          <cell r="AS82">
            <v>43133</v>
          </cell>
          <cell r="AT82">
            <v>37762</v>
          </cell>
          <cell r="AU82">
            <v>26573</v>
          </cell>
          <cell r="AV82">
            <v>53737</v>
          </cell>
          <cell r="AX82">
            <v>37859</v>
          </cell>
          <cell r="AY82">
            <v>12741</v>
          </cell>
          <cell r="AZ82">
            <v>36031</v>
          </cell>
          <cell r="BA82">
            <v>20000</v>
          </cell>
          <cell r="BC82">
            <v>20000</v>
          </cell>
          <cell r="BD82">
            <v>20000</v>
          </cell>
          <cell r="BE82">
            <v>20000</v>
          </cell>
          <cell r="BF82">
            <v>20000</v>
          </cell>
          <cell r="BH82">
            <v>20000</v>
          </cell>
          <cell r="BI82">
            <v>20000</v>
          </cell>
          <cell r="BJ82">
            <v>20000</v>
          </cell>
          <cell r="BK82">
            <v>20000</v>
          </cell>
          <cell r="BM82">
            <v>20000</v>
          </cell>
          <cell r="BN82">
            <v>20000</v>
          </cell>
          <cell r="BO82">
            <v>20000</v>
          </cell>
          <cell r="BP82">
            <v>20000</v>
          </cell>
        </row>
        <row r="84">
          <cell r="B84" t="str">
            <v>Cash from CFS (Check)</v>
          </cell>
          <cell r="AG84">
            <v>21809</v>
          </cell>
          <cell r="AI84">
            <v>34505</v>
          </cell>
          <cell r="AJ84">
            <v>39284</v>
          </cell>
          <cell r="AK84">
            <v>21775</v>
          </cell>
          <cell r="AL84">
            <v>33667</v>
          </cell>
          <cell r="AN84">
            <v>36783</v>
          </cell>
          <cell r="AO84">
            <v>50991</v>
          </cell>
          <cell r="AP84">
            <v>43209</v>
          </cell>
          <cell r="AQ84">
            <v>61629</v>
          </cell>
          <cell r="AS84">
            <v>43133</v>
          </cell>
          <cell r="AT84">
            <v>37762</v>
          </cell>
          <cell r="AU84">
            <v>26573</v>
          </cell>
          <cell r="AV84">
            <v>53737</v>
          </cell>
          <cell r="AX84">
            <v>37859</v>
          </cell>
          <cell r="AY84">
            <v>12741</v>
          </cell>
          <cell r="AZ84">
            <v>36031</v>
          </cell>
          <cell r="BA84">
            <v>37989.000000000058</v>
          </cell>
          <cell r="BC84">
            <v>37989.000000000007</v>
          </cell>
          <cell r="BD84">
            <v>37989.000000000007</v>
          </cell>
          <cell r="BE84">
            <v>37989.000000000022</v>
          </cell>
          <cell r="BF84">
            <v>37989.000000000022</v>
          </cell>
          <cell r="BH84">
            <v>37989.000000000022</v>
          </cell>
          <cell r="BI84">
            <v>37989.000000000036</v>
          </cell>
          <cell r="BJ84">
            <v>37989.000000000036</v>
          </cell>
          <cell r="BK84">
            <v>37989.000000000029</v>
          </cell>
          <cell r="BM84">
            <v>37989.000000000007</v>
          </cell>
          <cell r="BN84">
            <v>37988.999999999985</v>
          </cell>
          <cell r="BO84">
            <v>37988.999999999985</v>
          </cell>
          <cell r="BP84">
            <v>37988.999999999942</v>
          </cell>
        </row>
        <row r="86">
          <cell r="B86" t="str">
            <v>Incremental Interest Expense Computation</v>
          </cell>
        </row>
        <row r="87">
          <cell r="B87" t="str">
            <v>Issuance of Debt</v>
          </cell>
          <cell r="AY87">
            <v>146947</v>
          </cell>
          <cell r="AZ87">
            <v>23111.429387500004</v>
          </cell>
          <cell r="BA87">
            <v>394926.51818750007</v>
          </cell>
          <cell r="BC87">
            <v>76245.244973693043</v>
          </cell>
          <cell r="BD87">
            <v>-358878.78618530981</v>
          </cell>
          <cell r="BE87">
            <v>38677.073059257731</v>
          </cell>
          <cell r="BF87">
            <v>76067.15295767675</v>
          </cell>
          <cell r="BH87">
            <v>73047.144301785636</v>
          </cell>
          <cell r="BI87">
            <v>182788.99938789965</v>
          </cell>
          <cell r="BJ87">
            <v>185786.47691807928</v>
          </cell>
          <cell r="BK87">
            <v>85648.430489337174</v>
          </cell>
          <cell r="BM87">
            <v>140421.06739539374</v>
          </cell>
          <cell r="BN87">
            <v>140468.49468537784</v>
          </cell>
          <cell r="BO87">
            <v>144306.47114228026</v>
          </cell>
          <cell r="BP87">
            <v>144560.54898389595</v>
          </cell>
        </row>
        <row r="89">
          <cell r="B89" t="str">
            <v>Fixed Component</v>
          </cell>
        </row>
        <row r="90">
          <cell r="B90" t="str">
            <v xml:space="preserve">  % Fixed Rate Debt (if funding req is positive)</v>
          </cell>
          <cell r="BA90">
            <v>0</v>
          </cell>
          <cell r="BC90">
            <v>0.19999999999999996</v>
          </cell>
          <cell r="BD90">
            <v>0.19999999999999996</v>
          </cell>
          <cell r="BE90">
            <v>0.19999999999999996</v>
          </cell>
          <cell r="BF90">
            <v>0.19999999999999996</v>
          </cell>
          <cell r="BH90">
            <v>0.19999999999999996</v>
          </cell>
          <cell r="BI90">
            <v>0.19999999999999996</v>
          </cell>
          <cell r="BJ90">
            <v>0.19999999999999996</v>
          </cell>
          <cell r="BK90">
            <v>0.19999999999999996</v>
          </cell>
          <cell r="BM90">
            <v>0.19999999999999996</v>
          </cell>
          <cell r="BN90">
            <v>0.19999999999999996</v>
          </cell>
          <cell r="BO90">
            <v>0.19999999999999996</v>
          </cell>
          <cell r="BP90">
            <v>0.19999999999999996</v>
          </cell>
        </row>
        <row r="91">
          <cell r="B91" t="str">
            <v xml:space="preserve">  % Fixed Rate Debt (if funding req is negative)</v>
          </cell>
          <cell r="BA91">
            <v>0.19999999999999996</v>
          </cell>
          <cell r="BC91">
            <v>0.19999999999999996</v>
          </cell>
          <cell r="BD91">
            <v>0.19999999999999996</v>
          </cell>
          <cell r="BE91">
            <v>0.19999999999999996</v>
          </cell>
          <cell r="BF91">
            <v>0.19999999999999996</v>
          </cell>
          <cell r="BH91">
            <v>0.19999999999999996</v>
          </cell>
          <cell r="BI91">
            <v>0.19999999999999996</v>
          </cell>
          <cell r="BJ91">
            <v>0.19999999999999996</v>
          </cell>
          <cell r="BK91">
            <v>0.19999999999999996</v>
          </cell>
          <cell r="BM91">
            <v>0.19999999999999996</v>
          </cell>
          <cell r="BN91">
            <v>0.19999999999999996</v>
          </cell>
          <cell r="BO91">
            <v>0.19999999999999996</v>
          </cell>
          <cell r="BP91">
            <v>0.19999999999999996</v>
          </cell>
        </row>
        <row r="92">
          <cell r="B92" t="str">
            <v xml:space="preserve">  Issuance of Fixed Rate Debt</v>
          </cell>
          <cell r="BA92">
            <v>0</v>
          </cell>
          <cell r="BC92">
            <v>15249.048994738609</v>
          </cell>
          <cell r="BD92">
            <v>-71775.757237061975</v>
          </cell>
          <cell r="BE92">
            <v>7735.4146118515455</v>
          </cell>
          <cell r="BF92">
            <v>15213.430591535347</v>
          </cell>
          <cell r="BH92">
            <v>14609.428860357126</v>
          </cell>
          <cell r="BI92">
            <v>36557.799877579935</v>
          </cell>
          <cell r="BJ92">
            <v>37157.295383615856</v>
          </cell>
          <cell r="BK92">
            <v>17129.686097867438</v>
          </cell>
          <cell r="BM92">
            <v>28084.213479078739</v>
          </cell>
          <cell r="BN92">
            <v>28093.698937075562</v>
          </cell>
          <cell r="BO92">
            <v>28861.294228456041</v>
          </cell>
          <cell r="BP92">
            <v>28912.109796779187</v>
          </cell>
        </row>
        <row r="93">
          <cell r="B93" t="str">
            <v xml:space="preserve">  10-Year Treasury</v>
          </cell>
          <cell r="T93">
            <v>5.0599999999999999E-2</v>
          </cell>
          <cell r="U93">
            <v>5.2114999999999995E-2</v>
          </cell>
          <cell r="V93">
            <v>4.9894999999999995E-2</v>
          </cell>
          <cell r="W93">
            <v>4.7954999999999998E-2</v>
          </cell>
          <cell r="Y93">
            <v>5.2370000000000007E-2</v>
          </cell>
          <cell r="Z93">
            <v>5.1264999999999998E-2</v>
          </cell>
          <cell r="AA93">
            <v>4.2010000000000006E-2</v>
          </cell>
          <cell r="AB93">
            <v>3.7094999999999996E-2</v>
          </cell>
          <cell r="AD93">
            <v>3.8219999999999997E-2</v>
          </cell>
          <cell r="AE93">
            <v>3.6769999999999997E-2</v>
          </cell>
          <cell r="AF93">
            <v>3.7354999999999999E-2</v>
          </cell>
          <cell r="AG93">
            <v>4.1009999999999998E-2</v>
          </cell>
          <cell r="AI93">
            <v>4.0495000000000003E-2</v>
          </cell>
          <cell r="AJ93">
            <v>4.2279999999999998E-2</v>
          </cell>
          <cell r="AK93">
            <v>4.3685000000000002E-2</v>
          </cell>
          <cell r="AL93">
            <v>4.1674999999999997E-2</v>
          </cell>
          <cell r="AN93">
            <v>4.355499999999999E-2</v>
          </cell>
          <cell r="AO93">
            <v>4.2374999999999996E-2</v>
          </cell>
          <cell r="AP93">
            <v>4.1599999999999998E-2</v>
          </cell>
          <cell r="AQ93">
            <v>4.3680000000000004E-2</v>
          </cell>
          <cell r="AS93">
            <v>4.6240000000000003E-2</v>
          </cell>
          <cell r="AT93">
            <v>4.9954999999999999E-2</v>
          </cell>
          <cell r="AU93">
            <v>4.8860000000000001E-2</v>
          </cell>
          <cell r="AV93">
            <v>4.6705000000000003E-2</v>
          </cell>
          <cell r="AX93">
            <v>4.6790000000000005E-2</v>
          </cell>
          <cell r="AY93">
            <v>4.8420000000000005E-2</v>
          </cell>
          <cell r="AZ93">
            <v>4.7769999999999993E-2</v>
          </cell>
          <cell r="BA93">
            <v>4.2765000000000004E-2</v>
          </cell>
          <cell r="BC93">
            <v>4.4765000000000006E-2</v>
          </cell>
          <cell r="BD93">
            <v>4.4765000000000006E-2</v>
          </cell>
          <cell r="BE93">
            <v>4.4765000000000006E-2</v>
          </cell>
          <cell r="BF93">
            <v>4.6765000000000008E-2</v>
          </cell>
          <cell r="BH93">
            <v>4.876500000000001E-2</v>
          </cell>
          <cell r="BI93">
            <v>5.0765000000000012E-2</v>
          </cell>
          <cell r="BJ93">
            <v>5.2765000000000013E-2</v>
          </cell>
          <cell r="BK93">
            <v>5.4765000000000015E-2</v>
          </cell>
          <cell r="BM93">
            <v>5.6765000000000017E-2</v>
          </cell>
          <cell r="BN93">
            <v>5.8765000000000019E-2</v>
          </cell>
          <cell r="BO93">
            <v>6.076500000000002E-2</v>
          </cell>
          <cell r="BP93">
            <v>6.2765000000000015E-2</v>
          </cell>
        </row>
        <row r="94">
          <cell r="B94" t="str">
            <v xml:space="preserve">  10-Year Spread (in basis points)</v>
          </cell>
          <cell r="T94">
            <v>300</v>
          </cell>
          <cell r="U94">
            <v>300</v>
          </cell>
          <cell r="V94">
            <v>300</v>
          </cell>
          <cell r="W94">
            <v>300</v>
          </cell>
          <cell r="Y94">
            <v>300</v>
          </cell>
          <cell r="Z94">
            <v>300</v>
          </cell>
          <cell r="AA94">
            <v>300</v>
          </cell>
          <cell r="AB94">
            <v>300</v>
          </cell>
          <cell r="AD94">
            <v>300</v>
          </cell>
          <cell r="AE94">
            <v>300</v>
          </cell>
          <cell r="AF94">
            <v>300</v>
          </cell>
          <cell r="AG94">
            <v>300</v>
          </cell>
          <cell r="AI94">
            <v>300</v>
          </cell>
          <cell r="AJ94">
            <v>300</v>
          </cell>
          <cell r="AK94">
            <v>300</v>
          </cell>
          <cell r="AL94">
            <v>300</v>
          </cell>
          <cell r="AN94">
            <v>250</v>
          </cell>
          <cell r="AO94">
            <v>250</v>
          </cell>
          <cell r="AP94">
            <v>250</v>
          </cell>
          <cell r="AQ94">
            <v>250</v>
          </cell>
          <cell r="AS94">
            <v>250</v>
          </cell>
          <cell r="AT94">
            <v>250</v>
          </cell>
          <cell r="AU94">
            <v>250</v>
          </cell>
          <cell r="AV94">
            <v>250</v>
          </cell>
          <cell r="AX94">
            <v>250</v>
          </cell>
          <cell r="AY94">
            <v>250</v>
          </cell>
          <cell r="AZ94">
            <v>250</v>
          </cell>
          <cell r="BA94">
            <v>250</v>
          </cell>
          <cell r="BC94">
            <v>250</v>
          </cell>
          <cell r="BD94">
            <v>250</v>
          </cell>
          <cell r="BE94">
            <v>250</v>
          </cell>
          <cell r="BF94">
            <v>250</v>
          </cell>
          <cell r="BH94">
            <v>250</v>
          </cell>
          <cell r="BI94">
            <v>250</v>
          </cell>
          <cell r="BJ94">
            <v>250</v>
          </cell>
          <cell r="BK94">
            <v>250</v>
          </cell>
          <cell r="BM94">
            <v>250</v>
          </cell>
          <cell r="BN94">
            <v>250</v>
          </cell>
          <cell r="BO94">
            <v>250</v>
          </cell>
          <cell r="BP94">
            <v>250</v>
          </cell>
        </row>
        <row r="95">
          <cell r="B95" t="str">
            <v xml:space="preserve"> Annual Weighted Avg. Interest Rate</v>
          </cell>
          <cell r="T95">
            <v>8.0600000000000005E-2</v>
          </cell>
          <cell r="U95">
            <v>8.2114999999999994E-2</v>
          </cell>
          <cell r="V95">
            <v>7.9894999999999994E-2</v>
          </cell>
          <cell r="W95">
            <v>7.7954999999999997E-2</v>
          </cell>
          <cell r="Y95">
            <v>8.2369999999999999E-2</v>
          </cell>
          <cell r="Z95">
            <v>8.1265000000000004E-2</v>
          </cell>
          <cell r="AA95">
            <v>7.2010000000000005E-2</v>
          </cell>
          <cell r="AB95">
            <v>6.7094999999999988E-2</v>
          </cell>
          <cell r="AD95">
            <v>6.8220000000000003E-2</v>
          </cell>
          <cell r="AE95">
            <v>6.6769999999999996E-2</v>
          </cell>
          <cell r="AF95">
            <v>6.7354999999999998E-2</v>
          </cell>
          <cell r="AG95">
            <v>7.100999999999999E-2</v>
          </cell>
          <cell r="AI95">
            <v>7.0495000000000002E-2</v>
          </cell>
          <cell r="AJ95">
            <v>7.2279999999999997E-2</v>
          </cell>
          <cell r="AK95">
            <v>7.3685E-2</v>
          </cell>
          <cell r="AL95">
            <v>7.1674999999999989E-2</v>
          </cell>
          <cell r="AN95">
            <v>6.8554999999999991E-2</v>
          </cell>
          <cell r="AO95">
            <v>6.737499999999999E-2</v>
          </cell>
          <cell r="AP95">
            <v>6.6599999999999993E-2</v>
          </cell>
          <cell r="AQ95">
            <v>6.8680000000000005E-2</v>
          </cell>
          <cell r="AS95">
            <v>7.1239999999999998E-2</v>
          </cell>
          <cell r="AT95">
            <v>7.4954999999999994E-2</v>
          </cell>
          <cell r="AU95">
            <v>7.3860000000000009E-2</v>
          </cell>
          <cell r="AV95">
            <v>7.1705000000000005E-2</v>
          </cell>
          <cell r="AX95">
            <v>7.1790000000000007E-2</v>
          </cell>
          <cell r="AY95">
            <v>7.3420000000000013E-2</v>
          </cell>
          <cell r="AZ95">
            <v>7.2770000000000001E-2</v>
          </cell>
          <cell r="BA95">
            <v>6.7765000000000006E-2</v>
          </cell>
          <cell r="BC95">
            <v>6.9765000000000008E-2</v>
          </cell>
          <cell r="BD95">
            <v>6.9765000000000008E-2</v>
          </cell>
          <cell r="BE95">
            <v>6.9765000000000008E-2</v>
          </cell>
          <cell r="BF95">
            <v>7.1765000000000009E-2</v>
          </cell>
          <cell r="BH95">
            <v>7.3765000000000011E-2</v>
          </cell>
          <cell r="BI95">
            <v>7.5765000000000013E-2</v>
          </cell>
          <cell r="BJ95">
            <v>7.7765000000000015E-2</v>
          </cell>
          <cell r="BK95">
            <v>7.9765000000000016E-2</v>
          </cell>
          <cell r="BM95">
            <v>8.1765000000000018E-2</v>
          </cell>
          <cell r="BN95">
            <v>8.376500000000002E-2</v>
          </cell>
          <cell r="BO95">
            <v>8.5765000000000022E-2</v>
          </cell>
          <cell r="BP95">
            <v>8.776500000000001E-2</v>
          </cell>
        </row>
        <row r="96">
          <cell r="B96" t="str">
            <v>Quarterly Fixed Interest Expense</v>
          </cell>
          <cell r="BA96">
            <v>0</v>
          </cell>
          <cell r="BC96">
            <v>265.96247577948481</v>
          </cell>
          <cell r="BD96">
            <v>-1251.8589259109074</v>
          </cell>
          <cell r="BE96">
            <v>134.91530009895578</v>
          </cell>
          <cell r="BF96">
            <v>272.94796160038356</v>
          </cell>
          <cell r="BH96">
            <v>269.41612997106091</v>
          </cell>
          <cell r="BI96">
            <v>692.45042693121104</v>
          </cell>
          <cell r="BJ96">
            <v>722.38426887672188</v>
          </cell>
          <cell r="BK96">
            <v>341.58735289909913</v>
          </cell>
          <cell r="BM96">
            <v>574.07642877921842</v>
          </cell>
          <cell r="BN96">
            <v>588.31717286603373</v>
          </cell>
          <cell r="BO96">
            <v>618.82222487588331</v>
          </cell>
          <cell r="BP96">
            <v>634.36782907858139</v>
          </cell>
        </row>
        <row r="98">
          <cell r="B98" t="str">
            <v>Variable Component</v>
          </cell>
        </row>
        <row r="99">
          <cell r="B99" t="str">
            <v>Previous Quarter Variable Debt</v>
          </cell>
          <cell r="BA99">
            <v>372960</v>
          </cell>
          <cell r="BC99">
            <v>622960</v>
          </cell>
          <cell r="BD99">
            <v>683956.19597895443</v>
          </cell>
          <cell r="BE99">
            <v>396853.16703070659</v>
          </cell>
          <cell r="BF99">
            <v>427794.82547811279</v>
          </cell>
          <cell r="BH99">
            <v>488648.54784425418</v>
          </cell>
          <cell r="BI99">
            <v>547086.26328568265</v>
          </cell>
          <cell r="BJ99">
            <v>693317.46279600239</v>
          </cell>
          <cell r="BK99">
            <v>841946.64433046582</v>
          </cell>
          <cell r="BM99">
            <v>910465.38872193557</v>
          </cell>
          <cell r="BN99">
            <v>1022802.2426382506</v>
          </cell>
          <cell r="BO99">
            <v>1135177.0383865528</v>
          </cell>
          <cell r="BP99">
            <v>1250622.215300377</v>
          </cell>
        </row>
        <row r="100">
          <cell r="B100" t="str">
            <v xml:space="preserve">  % Variable Rate Debt (if issuance of debt is positive)</v>
          </cell>
          <cell r="BA100">
            <v>1</v>
          </cell>
          <cell r="BC100">
            <v>0.8</v>
          </cell>
          <cell r="BD100">
            <v>0.8</v>
          </cell>
          <cell r="BE100">
            <v>0.8</v>
          </cell>
          <cell r="BF100">
            <v>0.8</v>
          </cell>
          <cell r="BH100">
            <v>0.8</v>
          </cell>
          <cell r="BI100">
            <v>0.8</v>
          </cell>
          <cell r="BJ100">
            <v>0.8</v>
          </cell>
          <cell r="BK100">
            <v>0.8</v>
          </cell>
          <cell r="BM100">
            <v>0.8</v>
          </cell>
          <cell r="BN100">
            <v>0.8</v>
          </cell>
          <cell r="BO100">
            <v>0.8</v>
          </cell>
          <cell r="BP100">
            <v>0.8</v>
          </cell>
        </row>
        <row r="101">
          <cell r="B101" t="str">
            <v xml:space="preserve">  % Variable Rate Debt (if issuance of debt is negative)</v>
          </cell>
          <cell r="BA101">
            <v>0.8</v>
          </cell>
          <cell r="BC101">
            <v>0.8</v>
          </cell>
          <cell r="BD101">
            <v>0.8</v>
          </cell>
          <cell r="BE101">
            <v>0.8</v>
          </cell>
          <cell r="BF101">
            <v>0.8</v>
          </cell>
          <cell r="BH101">
            <v>0.8</v>
          </cell>
          <cell r="BI101">
            <v>0.8</v>
          </cell>
          <cell r="BJ101">
            <v>0.8</v>
          </cell>
          <cell r="BK101">
            <v>0.8</v>
          </cell>
          <cell r="BM101">
            <v>0.8</v>
          </cell>
          <cell r="BN101">
            <v>0.8</v>
          </cell>
          <cell r="BO101">
            <v>0.8</v>
          </cell>
          <cell r="BP101">
            <v>0.8</v>
          </cell>
        </row>
        <row r="102">
          <cell r="B102" t="str">
            <v xml:space="preserve">  Issuance of Variable Rate Debt</v>
          </cell>
          <cell r="BA102">
            <v>394926.51818750007</v>
          </cell>
          <cell r="BC102">
            <v>60996.195978954434</v>
          </cell>
          <cell r="BD102">
            <v>-287103.02894824784</v>
          </cell>
          <cell r="BE102">
            <v>30941.658447406186</v>
          </cell>
          <cell r="BF102">
            <v>60853.722366141403</v>
          </cell>
          <cell r="BH102">
            <v>58437.715441428511</v>
          </cell>
          <cell r="BI102">
            <v>146231.19951031971</v>
          </cell>
          <cell r="BJ102">
            <v>148629.18153446342</v>
          </cell>
          <cell r="BK102">
            <v>68518.744391469736</v>
          </cell>
          <cell r="BM102">
            <v>112336.853916315</v>
          </cell>
          <cell r="BN102">
            <v>112374.79574830228</v>
          </cell>
          <cell r="BO102">
            <v>115445.17691382422</v>
          </cell>
          <cell r="BP102">
            <v>115648.43918711676</v>
          </cell>
        </row>
        <row r="103">
          <cell r="B103" t="str">
            <v xml:space="preserve">  LIBOR</v>
          </cell>
          <cell r="T103">
            <v>5.8000000000000003E-2</v>
          </cell>
          <cell r="U103">
            <v>4.4687499999999998E-2</v>
          </cell>
          <cell r="V103">
            <v>3.2524999999999998E-2</v>
          </cell>
          <cell r="W103">
            <v>2.2519999999999998E-2</v>
          </cell>
          <cell r="Y103">
            <v>1.8765E-2</v>
          </cell>
          <cell r="Z103">
            <v>1.8595E-2</v>
          </cell>
          <cell r="AA103">
            <v>1.8250000000000002E-2</v>
          </cell>
          <cell r="AB103">
            <v>1.5949999999999999E-2</v>
          </cell>
          <cell r="AD103">
            <v>1.3399999999999999E-2</v>
          </cell>
          <cell r="AE103">
            <v>1.21E-2</v>
          </cell>
          <cell r="AF103">
            <v>1.1200000000000002E-2</v>
          </cell>
          <cell r="AG103">
            <v>1.1200000000000002E-2</v>
          </cell>
          <cell r="AI103">
            <v>1.1049999999999999E-2</v>
          </cell>
          <cell r="AJ103">
            <v>1.23E-2</v>
          </cell>
          <cell r="AK103">
            <v>1.6049999999999998E-2</v>
          </cell>
          <cell r="AL103">
            <v>2.12E-2</v>
          </cell>
          <cell r="AN103">
            <v>2.6349999999999998E-2</v>
          </cell>
          <cell r="AO103">
            <v>3.1050000000000001E-2</v>
          </cell>
          <cell r="AP103">
            <v>3.5999999999999997E-2</v>
          </cell>
          <cell r="AQ103">
            <v>4.1250000000000002E-2</v>
          </cell>
          <cell r="AS103">
            <v>4.6099999999999995E-2</v>
          </cell>
          <cell r="AT103">
            <v>5.0799999999999998E-2</v>
          </cell>
          <cell r="AU103">
            <v>5.3249999999999999E-2</v>
          </cell>
          <cell r="AV103">
            <v>5.3200000000000004E-2</v>
          </cell>
          <cell r="AX103">
            <v>5.3200000000000004E-2</v>
          </cell>
          <cell r="AY103">
            <v>5.3200000000000004E-2</v>
          </cell>
          <cell r="AZ103">
            <v>5.40695E-2</v>
          </cell>
          <cell r="BA103">
            <v>5.04695E-2</v>
          </cell>
          <cell r="BC103">
            <v>3.8599999999999995E-2</v>
          </cell>
          <cell r="BD103">
            <v>3.6099999999999993E-2</v>
          </cell>
          <cell r="BE103">
            <v>3.3599999999999991E-2</v>
          </cell>
          <cell r="BF103">
            <v>3.1099999999999992E-2</v>
          </cell>
          <cell r="BH103">
            <v>3.3099999999999991E-2</v>
          </cell>
          <cell r="BI103">
            <v>3.5099999999999992E-2</v>
          </cell>
          <cell r="BJ103">
            <v>3.7099999999999994E-2</v>
          </cell>
          <cell r="BK103">
            <v>3.9099999999999996E-2</v>
          </cell>
          <cell r="BM103">
            <v>4.1099999999999998E-2</v>
          </cell>
          <cell r="BN103">
            <v>4.3099999999999999E-2</v>
          </cell>
          <cell r="BO103">
            <v>4.5100000000000001E-2</v>
          </cell>
          <cell r="BP103">
            <v>4.7100000000000003E-2</v>
          </cell>
        </row>
        <row r="104">
          <cell r="B104" t="str">
            <v xml:space="preserve">  LIBOR Spread (in basis points)</v>
          </cell>
          <cell r="T104">
            <v>150</v>
          </cell>
          <cell r="U104">
            <v>150</v>
          </cell>
          <cell r="V104">
            <v>150</v>
          </cell>
          <cell r="W104">
            <v>150</v>
          </cell>
          <cell r="Y104">
            <v>100</v>
          </cell>
          <cell r="Z104">
            <v>100</v>
          </cell>
          <cell r="AA104">
            <v>100</v>
          </cell>
          <cell r="AB104">
            <v>100</v>
          </cell>
          <cell r="AD104">
            <v>100</v>
          </cell>
          <cell r="AE104">
            <v>100</v>
          </cell>
          <cell r="AF104">
            <v>100</v>
          </cell>
          <cell r="AG104">
            <v>100</v>
          </cell>
          <cell r="AI104">
            <v>100</v>
          </cell>
          <cell r="AJ104">
            <v>100</v>
          </cell>
          <cell r="AK104">
            <v>100</v>
          </cell>
          <cell r="AL104">
            <v>100</v>
          </cell>
          <cell r="AN104">
            <v>100</v>
          </cell>
          <cell r="AO104">
            <v>100</v>
          </cell>
          <cell r="AP104">
            <v>100</v>
          </cell>
          <cell r="AQ104">
            <v>100</v>
          </cell>
          <cell r="AS104">
            <v>100</v>
          </cell>
          <cell r="AT104">
            <v>100</v>
          </cell>
          <cell r="AU104">
            <v>100</v>
          </cell>
          <cell r="AV104">
            <v>100</v>
          </cell>
          <cell r="AX104">
            <v>100</v>
          </cell>
          <cell r="AY104">
            <v>100</v>
          </cell>
          <cell r="AZ104">
            <v>100</v>
          </cell>
          <cell r="BA104">
            <v>100</v>
          </cell>
          <cell r="BC104">
            <v>100</v>
          </cell>
          <cell r="BD104">
            <v>100</v>
          </cell>
          <cell r="BE104">
            <v>100</v>
          </cell>
          <cell r="BF104">
            <v>100</v>
          </cell>
          <cell r="BH104">
            <v>100</v>
          </cell>
          <cell r="BI104">
            <v>100</v>
          </cell>
          <cell r="BJ104">
            <v>100</v>
          </cell>
          <cell r="BK104">
            <v>100</v>
          </cell>
          <cell r="BM104">
            <v>100</v>
          </cell>
          <cell r="BN104">
            <v>100</v>
          </cell>
          <cell r="BO104">
            <v>100</v>
          </cell>
          <cell r="BP104">
            <v>100</v>
          </cell>
        </row>
        <row r="105">
          <cell r="B105" t="str">
            <v xml:space="preserve">  Assumed Variable Interest Rate</v>
          </cell>
          <cell r="T105">
            <v>7.3000000000000009E-2</v>
          </cell>
          <cell r="U105">
            <v>5.9687499999999998E-2</v>
          </cell>
          <cell r="V105">
            <v>4.7524999999999998E-2</v>
          </cell>
          <cell r="W105">
            <v>3.7519999999999998E-2</v>
          </cell>
          <cell r="Y105">
            <v>2.8764999999999999E-2</v>
          </cell>
          <cell r="Z105">
            <v>2.8595000000000002E-2</v>
          </cell>
          <cell r="AA105">
            <v>2.8250000000000004E-2</v>
          </cell>
          <cell r="AB105">
            <v>2.5950000000000001E-2</v>
          </cell>
          <cell r="AD105">
            <v>2.3399999999999997E-2</v>
          </cell>
          <cell r="AE105">
            <v>2.2100000000000002E-2</v>
          </cell>
          <cell r="AF105">
            <v>2.1200000000000004E-2</v>
          </cell>
          <cell r="AG105">
            <v>2.1200000000000004E-2</v>
          </cell>
          <cell r="AI105">
            <v>2.1049999999999999E-2</v>
          </cell>
          <cell r="AJ105">
            <v>2.23E-2</v>
          </cell>
          <cell r="AK105">
            <v>2.6049999999999997E-2</v>
          </cell>
          <cell r="AL105">
            <v>3.1199999999999999E-2</v>
          </cell>
          <cell r="AN105">
            <v>3.635E-2</v>
          </cell>
          <cell r="AO105">
            <v>4.1050000000000003E-2</v>
          </cell>
          <cell r="AP105">
            <v>4.5999999999999999E-2</v>
          </cell>
          <cell r="AQ105">
            <v>5.1250000000000004E-2</v>
          </cell>
          <cell r="AS105">
            <v>5.6099999999999997E-2</v>
          </cell>
          <cell r="AT105">
            <v>6.08E-2</v>
          </cell>
          <cell r="AU105">
            <v>6.3250000000000001E-2</v>
          </cell>
          <cell r="AV105">
            <v>6.3200000000000006E-2</v>
          </cell>
          <cell r="AX105">
            <v>6.3200000000000006E-2</v>
          </cell>
          <cell r="AY105">
            <v>6.3200000000000006E-2</v>
          </cell>
          <cell r="AZ105">
            <v>6.4069500000000001E-2</v>
          </cell>
          <cell r="BA105">
            <v>6.0469500000000002E-2</v>
          </cell>
          <cell r="BC105">
            <v>4.8599999999999997E-2</v>
          </cell>
          <cell r="BD105">
            <v>4.6099999999999995E-2</v>
          </cell>
          <cell r="BE105">
            <v>4.3599999999999993E-2</v>
          </cell>
          <cell r="BF105">
            <v>4.1099999999999991E-2</v>
          </cell>
          <cell r="BH105">
            <v>4.3099999999999992E-2</v>
          </cell>
          <cell r="BI105">
            <v>4.5099999999999994E-2</v>
          </cell>
          <cell r="BJ105">
            <v>4.7099999999999996E-2</v>
          </cell>
          <cell r="BK105">
            <v>4.9099999999999998E-2</v>
          </cell>
          <cell r="BM105">
            <v>5.11E-2</v>
          </cell>
          <cell r="BN105">
            <v>5.3100000000000001E-2</v>
          </cell>
          <cell r="BO105">
            <v>5.5100000000000003E-2</v>
          </cell>
          <cell r="BP105">
            <v>5.7100000000000005E-2</v>
          </cell>
        </row>
        <row r="106">
          <cell r="B106" t="str">
            <v>Quarterly Variable Interest Expense</v>
          </cell>
          <cell r="BA106">
            <v>5970.2522728847589</v>
          </cell>
          <cell r="BC106">
            <v>741.10378114429636</v>
          </cell>
          <cell r="BD106">
            <v>-3308.8624086285558</v>
          </cell>
          <cell r="BE106">
            <v>337.26407707672735</v>
          </cell>
          <cell r="BF106">
            <v>625.27199731210283</v>
          </cell>
          <cell r="BH106">
            <v>629.66638388139211</v>
          </cell>
          <cell r="BI106">
            <v>1648.7567744788546</v>
          </cell>
          <cell r="BJ106">
            <v>1750.1086125683066</v>
          </cell>
          <cell r="BK106">
            <v>841.06758740529096</v>
          </cell>
          <cell r="BM106">
            <v>1435.1033087809242</v>
          </cell>
          <cell r="BN106">
            <v>1491.7754135587127</v>
          </cell>
          <cell r="BO106">
            <v>1590.2573119879287</v>
          </cell>
          <cell r="BP106">
            <v>1650.8814693960919</v>
          </cell>
        </row>
        <row r="108">
          <cell r="B108" t="str">
            <v>Weighting of Interest Expense</v>
          </cell>
          <cell r="AY108">
            <v>0.5</v>
          </cell>
          <cell r="AZ108">
            <v>0.5</v>
          </cell>
          <cell r="BA108">
            <v>0.1</v>
          </cell>
          <cell r="BC108">
            <v>0.5</v>
          </cell>
          <cell r="BD108">
            <v>0.5</v>
          </cell>
          <cell r="BE108">
            <v>0.5</v>
          </cell>
          <cell r="BF108">
            <v>0.5</v>
          </cell>
          <cell r="BH108">
            <v>0.5</v>
          </cell>
          <cell r="BI108">
            <v>0.5</v>
          </cell>
          <cell r="BJ108">
            <v>0.5</v>
          </cell>
          <cell r="BK108">
            <v>0.5</v>
          </cell>
          <cell r="BM108">
            <v>0.5</v>
          </cell>
          <cell r="BN108">
            <v>0.5</v>
          </cell>
          <cell r="BO108">
            <v>0.5</v>
          </cell>
          <cell r="BP108">
            <v>0.5</v>
          </cell>
        </row>
        <row r="110">
          <cell r="B110" t="str">
            <v>Incremental  Interest Expense</v>
          </cell>
          <cell r="BA110">
            <v>597.02522728847589</v>
          </cell>
          <cell r="BC110">
            <v>5876.760174058174</v>
          </cell>
          <cell r="BD110">
            <v>-1776.8275388078409</v>
          </cell>
          <cell r="BE110">
            <v>-2044.27097868189</v>
          </cell>
          <cell r="BF110">
            <v>685.19966804408477</v>
          </cell>
          <cell r="BH110">
            <v>898.65123638246973</v>
          </cell>
          <cell r="BI110">
            <v>1620.1448576312596</v>
          </cell>
          <cell r="BJ110">
            <v>2406.8500414275472</v>
          </cell>
          <cell r="BK110">
            <v>1827.5739108747093</v>
          </cell>
          <cell r="BM110">
            <v>1595.9173389322664</v>
          </cell>
          <cell r="BN110">
            <v>2044.6361619924446</v>
          </cell>
          <cell r="BO110">
            <v>2144.5860616442792</v>
          </cell>
          <cell r="BP110">
            <v>2247.1644176692425</v>
          </cell>
        </row>
        <row r="111">
          <cell r="B111" t="str">
            <v>Remaining Incremental Interest Expense</v>
          </cell>
          <cell r="BA111">
            <v>5373.2270455962835</v>
          </cell>
          <cell r="BC111">
            <v>503.53312846189056</v>
          </cell>
          <cell r="BD111">
            <v>-2280.3606672697315</v>
          </cell>
          <cell r="BE111">
            <v>236.08968858784158</v>
          </cell>
          <cell r="BF111">
            <v>449.1099794562432</v>
          </cell>
          <cell r="BH111">
            <v>449.54125692622654</v>
          </cell>
          <cell r="BI111">
            <v>1170.6036007050329</v>
          </cell>
          <cell r="BJ111">
            <v>1236.2464407225143</v>
          </cell>
          <cell r="BK111">
            <v>591.32747015219502</v>
          </cell>
          <cell r="BM111">
            <v>1004.5898687800714</v>
          </cell>
          <cell r="BN111">
            <v>1040.0462932123733</v>
          </cell>
          <cell r="BO111">
            <v>1104.5397684319059</v>
          </cell>
          <cell r="BP111">
            <v>1142.6246492373366</v>
          </cell>
        </row>
        <row r="114">
          <cell r="B114" t="str">
            <v>DEPRECIATION SCHEDULE</v>
          </cell>
        </row>
        <row r="115">
          <cell r="B115" t="str">
            <v xml:space="preserve">Prior Quarter Gross BV of Assets </v>
          </cell>
          <cell r="S115">
            <v>3202477</v>
          </cell>
          <cell r="T115">
            <v>3277567</v>
          </cell>
          <cell r="U115">
            <v>3305539</v>
          </cell>
          <cell r="V115">
            <v>3371463</v>
          </cell>
          <cell r="W115">
            <v>3342214</v>
          </cell>
          <cell r="X115">
            <v>3342214</v>
          </cell>
          <cell r="Y115">
            <v>3399648</v>
          </cell>
          <cell r="Z115">
            <v>3441218</v>
          </cell>
          <cell r="AA115">
            <v>3453106</v>
          </cell>
          <cell r="AB115">
            <v>3553484</v>
          </cell>
          <cell r="AC115">
            <v>3553484</v>
          </cell>
          <cell r="AD115">
            <v>3655536</v>
          </cell>
          <cell r="AE115">
            <v>3706274</v>
          </cell>
          <cell r="AF115">
            <v>3847027</v>
          </cell>
          <cell r="AG115">
            <v>3927940</v>
          </cell>
          <cell r="AH115">
            <v>3927940</v>
          </cell>
          <cell r="AI115">
            <v>3970432</v>
          </cell>
          <cell r="AJ115">
            <v>4017487</v>
          </cell>
          <cell r="AK115">
            <v>4154089</v>
          </cell>
          <cell r="AL115">
            <v>4254543</v>
          </cell>
          <cell r="AM115">
            <v>4254543</v>
          </cell>
          <cell r="AN115">
            <v>4292795</v>
          </cell>
          <cell r="AO115">
            <v>4377029</v>
          </cell>
          <cell r="AP115">
            <v>4379924</v>
          </cell>
          <cell r="AQ115">
            <v>4360443</v>
          </cell>
          <cell r="AR115">
            <v>4360443</v>
          </cell>
          <cell r="AS115">
            <v>4361826</v>
          </cell>
          <cell r="AT115">
            <v>4277627</v>
          </cell>
          <cell r="AU115">
            <v>4432030</v>
          </cell>
          <cell r="AV115">
            <v>4492512</v>
          </cell>
          <cell r="AW115">
            <v>4492512</v>
          </cell>
          <cell r="AX115">
            <v>4578814</v>
          </cell>
          <cell r="AY115">
            <v>4748406</v>
          </cell>
          <cell r="AZ115">
            <v>4866249</v>
          </cell>
          <cell r="BA115">
            <v>5231232</v>
          </cell>
          <cell r="BB115">
            <v>5231232</v>
          </cell>
          <cell r="BC115">
            <v>5202482</v>
          </cell>
          <cell r="BD115">
            <v>4763332</v>
          </cell>
          <cell r="BE115">
            <v>4758332</v>
          </cell>
          <cell r="BF115">
            <v>4753332</v>
          </cell>
          <cell r="BG115">
            <v>4753332</v>
          </cell>
          <cell r="BH115">
            <v>4770832</v>
          </cell>
          <cell r="BI115">
            <v>4788332</v>
          </cell>
          <cell r="BJ115">
            <v>4805832</v>
          </cell>
          <cell r="BK115">
            <v>4823332</v>
          </cell>
          <cell r="BL115">
            <v>4823332</v>
          </cell>
          <cell r="BM115">
            <v>4845832</v>
          </cell>
          <cell r="BN115">
            <v>4868332</v>
          </cell>
          <cell r="BO115">
            <v>4890832</v>
          </cell>
          <cell r="BP115">
            <v>4913332</v>
          </cell>
          <cell r="BQ115">
            <v>4913332</v>
          </cell>
        </row>
        <row r="116">
          <cell r="B116" t="str">
            <v>Avg Life</v>
          </cell>
          <cell r="S116" t="e">
            <v>#DIV/0!</v>
          </cell>
          <cell r="T116">
            <v>32.849252325208468</v>
          </cell>
          <cell r="U116">
            <v>33.316592081922273</v>
          </cell>
          <cell r="V116">
            <v>32.753001865236655</v>
          </cell>
          <cell r="W116">
            <v>30.782253905098731</v>
          </cell>
          <cell r="X116">
            <v>32.566932356322958</v>
          </cell>
          <cell r="Y116">
            <v>32.0648909680827</v>
          </cell>
          <cell r="Z116">
            <v>31.134355095541402</v>
          </cell>
          <cell r="AA116">
            <v>30.618070579890052</v>
          </cell>
          <cell r="AB116">
            <v>31.196088071074904</v>
          </cell>
          <cell r="AC116">
            <v>32.068260987275515</v>
          </cell>
          <cell r="AD116">
            <v>31.491523087525845</v>
          </cell>
          <cell r="AE116">
            <v>29.709134923688598</v>
          </cell>
          <cell r="AF116">
            <v>31.291906621115992</v>
          </cell>
          <cell r="AG116">
            <v>30.664033225081187</v>
          </cell>
          <cell r="AH116">
            <v>31.943041629054949</v>
          </cell>
          <cell r="AI116">
            <v>30.29569039189354</v>
          </cell>
          <cell r="AJ116">
            <v>29.420931220340968</v>
          </cell>
          <cell r="AK116">
            <v>30.483804449923682</v>
          </cell>
          <cell r="AL116">
            <v>30.14327920421697</v>
          </cell>
          <cell r="AM116">
            <v>31.224628640206671</v>
          </cell>
          <cell r="AN116">
            <v>30.575462962962963</v>
          </cell>
          <cell r="AO116">
            <v>29.136682554052616</v>
          </cell>
          <cell r="AP116">
            <v>29.26974071103983</v>
          </cell>
          <cell r="AQ116">
            <v>27.865104419621176</v>
          </cell>
          <cell r="AR116">
            <v>29.228035954875423</v>
          </cell>
          <cell r="AS116">
            <v>29.718379527430301</v>
          </cell>
          <cell r="AT116">
            <v>28.652754333788817</v>
          </cell>
          <cell r="AU116">
            <v>29.34108783730106</v>
          </cell>
          <cell r="AV116">
            <v>30.003686586701573</v>
          </cell>
          <cell r="AW116">
            <v>30.108248666327103</v>
          </cell>
          <cell r="AX116">
            <v>29.905778927293152</v>
          </cell>
          <cell r="AY116">
            <v>30.232300208832068</v>
          </cell>
          <cell r="AZ116">
            <v>29.876283153241651</v>
          </cell>
          <cell r="BA116">
            <v>29.375741239892182</v>
          </cell>
          <cell r="BB116">
            <v>32.136230441753746</v>
          </cell>
          <cell r="BC116">
            <v>29.375741239892182</v>
          </cell>
          <cell r="BD116">
            <v>29.375741239892182</v>
          </cell>
          <cell r="BE116">
            <v>29.375741239892182</v>
          </cell>
          <cell r="BF116">
            <v>29.375741239892182</v>
          </cell>
          <cell r="BG116">
            <v>28.675714763338291</v>
          </cell>
          <cell r="BH116">
            <v>29.375741239892182</v>
          </cell>
          <cell r="BI116">
            <v>29.375741239892182</v>
          </cell>
          <cell r="BJ116">
            <v>29.375741239892182</v>
          </cell>
          <cell r="BK116">
            <v>29.375741239892182</v>
          </cell>
          <cell r="BL116">
            <v>29.536487545155921</v>
          </cell>
          <cell r="BM116">
            <v>29.375741239892182</v>
          </cell>
          <cell r="BN116">
            <v>29.375741239892182</v>
          </cell>
          <cell r="BO116">
            <v>29.375741239892182</v>
          </cell>
          <cell r="BP116">
            <v>29.375741239892182</v>
          </cell>
          <cell r="BQ116">
            <v>29.578920788231844</v>
          </cell>
        </row>
        <row r="117">
          <cell r="B117" t="str">
            <v>Current Depreciation</v>
          </cell>
          <cell r="S117">
            <v>0</v>
          </cell>
          <cell r="T117">
            <v>-24944</v>
          </cell>
          <cell r="U117">
            <v>-24804</v>
          </cell>
          <cell r="V117">
            <v>-25734</v>
          </cell>
          <cell r="W117">
            <v>-27144</v>
          </cell>
          <cell r="X117">
            <v>-102626</v>
          </cell>
          <cell r="Y117">
            <v>-26506</v>
          </cell>
          <cell r="Z117">
            <v>-27632</v>
          </cell>
          <cell r="AA117">
            <v>-28195</v>
          </cell>
          <cell r="AB117">
            <v>-28477</v>
          </cell>
          <cell r="AC117">
            <v>-110810</v>
          </cell>
          <cell r="AD117">
            <v>-29020</v>
          </cell>
          <cell r="AE117">
            <v>-31188</v>
          </cell>
          <cell r="AF117">
            <v>-30735</v>
          </cell>
          <cell r="AG117">
            <v>-32024</v>
          </cell>
          <cell r="AH117">
            <v>-122967</v>
          </cell>
          <cell r="AI117">
            <v>-32764</v>
          </cell>
          <cell r="AJ117">
            <v>-34138</v>
          </cell>
          <cell r="AK117">
            <v>-34068</v>
          </cell>
          <cell r="AL117">
            <v>-35286</v>
          </cell>
          <cell r="AM117">
            <v>-136256</v>
          </cell>
          <cell r="AN117">
            <v>-35100</v>
          </cell>
          <cell r="AO117">
            <v>-37556</v>
          </cell>
          <cell r="AP117">
            <v>-37410</v>
          </cell>
          <cell r="AQ117">
            <v>-39121</v>
          </cell>
          <cell r="AR117">
            <v>-149187</v>
          </cell>
          <cell r="AS117">
            <v>-36693</v>
          </cell>
          <cell r="AT117">
            <v>-37323</v>
          </cell>
          <cell r="AU117">
            <v>-37763</v>
          </cell>
          <cell r="AV117">
            <v>-37433</v>
          </cell>
          <cell r="AW117">
            <v>-149212</v>
          </cell>
          <cell r="AX117">
            <v>-38277</v>
          </cell>
          <cell r="AY117">
            <v>-39266</v>
          </cell>
          <cell r="AZ117">
            <v>-40720</v>
          </cell>
          <cell r="BA117">
            <v>-44520</v>
          </cell>
          <cell r="BB117">
            <v>-162783</v>
          </cell>
          <cell r="BC117">
            <v>-44275.32532298319</v>
          </cell>
          <cell r="BD117">
            <v>-40537.972821698597</v>
          </cell>
          <cell r="BE117">
            <v>-40495.420703956544</v>
          </cell>
          <cell r="BF117">
            <v>-40452.868586214492</v>
          </cell>
          <cell r="BG117">
            <v>-165761.58743485282</v>
          </cell>
          <cell r="BH117">
            <v>-40601.800998311679</v>
          </cell>
          <cell r="BI117">
            <v>-40750.733410408866</v>
          </cell>
          <cell r="BJ117">
            <v>-40899.66582250606</v>
          </cell>
          <cell r="BK117">
            <v>-41048.598234603247</v>
          </cell>
          <cell r="BL117">
            <v>-163300.79846582984</v>
          </cell>
          <cell r="BM117">
            <v>-41240.082764442486</v>
          </cell>
          <cell r="BN117">
            <v>-41431.567294281733</v>
          </cell>
          <cell r="BO117">
            <v>-41623.051824120972</v>
          </cell>
          <cell r="BP117">
            <v>-41814.536353960219</v>
          </cell>
          <cell r="BQ117">
            <v>-166109.23823680542</v>
          </cell>
        </row>
        <row r="119">
          <cell r="B119" t="str">
            <v>Shares and Units outstanding at period end</v>
          </cell>
          <cell r="E119">
            <v>61844</v>
          </cell>
          <cell r="F119">
            <v>65687</v>
          </cell>
          <cell r="G119">
            <v>70371</v>
          </cell>
          <cell r="H119">
            <v>70891</v>
          </cell>
          <cell r="J119">
            <v>71294</v>
          </cell>
          <cell r="K119">
            <v>71275</v>
          </cell>
          <cell r="L119">
            <v>71641</v>
          </cell>
          <cell r="M119">
            <v>71855</v>
          </cell>
          <cell r="O119">
            <v>71988</v>
          </cell>
          <cell r="P119">
            <v>72269</v>
          </cell>
          <cell r="Q119">
            <v>72596</v>
          </cell>
          <cell r="R119">
            <v>72666</v>
          </cell>
          <cell r="T119">
            <v>74186</v>
          </cell>
          <cell r="U119">
            <v>74543</v>
          </cell>
          <cell r="V119">
            <v>77016</v>
          </cell>
          <cell r="W119">
            <v>77582</v>
          </cell>
          <cell r="Y119">
            <v>78270</v>
          </cell>
          <cell r="Z119">
            <v>78876</v>
          </cell>
          <cell r="AA119">
            <v>79565</v>
          </cell>
          <cell r="AB119">
            <v>80150</v>
          </cell>
          <cell r="AD119">
            <v>80990</v>
          </cell>
          <cell r="AE119">
            <v>82341</v>
          </cell>
          <cell r="AF119">
            <v>83311</v>
          </cell>
          <cell r="AG119">
            <v>86711</v>
          </cell>
          <cell r="AI119">
            <v>87922</v>
          </cell>
          <cell r="AJ119">
            <v>88421</v>
          </cell>
          <cell r="AK119">
            <v>88923</v>
          </cell>
          <cell r="AL119">
            <v>89343</v>
          </cell>
          <cell r="AN119">
            <v>90064</v>
          </cell>
          <cell r="AO119">
            <v>90886</v>
          </cell>
          <cell r="AP119">
            <v>91327</v>
          </cell>
          <cell r="AQ119">
            <v>91875</v>
          </cell>
          <cell r="AS119">
            <v>92317</v>
          </cell>
          <cell r="AT119">
            <v>93753</v>
          </cell>
          <cell r="AU119">
            <v>94314</v>
          </cell>
          <cell r="AV119">
            <v>95104</v>
          </cell>
          <cell r="AX119">
            <v>95829</v>
          </cell>
          <cell r="AY119">
            <v>95424</v>
          </cell>
          <cell r="AZ119">
            <v>95557</v>
          </cell>
          <cell r="BA119">
            <v>95685</v>
          </cell>
          <cell r="BC119">
            <v>95685</v>
          </cell>
          <cell r="BD119">
            <v>96085</v>
          </cell>
          <cell r="BE119">
            <v>96485</v>
          </cell>
          <cell r="BF119">
            <v>96885</v>
          </cell>
          <cell r="BH119">
            <v>96885</v>
          </cell>
          <cell r="BI119">
            <v>97285</v>
          </cell>
          <cell r="BJ119">
            <v>97685</v>
          </cell>
          <cell r="BK119">
            <v>98085</v>
          </cell>
          <cell r="BM119">
            <v>98085</v>
          </cell>
          <cell r="BN119">
            <v>98485</v>
          </cell>
          <cell r="BO119">
            <v>98885</v>
          </cell>
          <cell r="BP119">
            <v>99285</v>
          </cell>
        </row>
        <row r="120">
          <cell r="B120" t="str">
            <v>Share Price</v>
          </cell>
          <cell r="T120">
            <v>28.24</v>
          </cell>
          <cell r="U120">
            <v>29.6</v>
          </cell>
          <cell r="V120">
            <v>28.69</v>
          </cell>
          <cell r="W120">
            <v>29.85</v>
          </cell>
          <cell r="Y120">
            <v>32.25</v>
          </cell>
          <cell r="Z120">
            <v>35</v>
          </cell>
          <cell r="AA120">
            <v>31</v>
          </cell>
          <cell r="AB120">
            <v>31.94</v>
          </cell>
          <cell r="AD120">
            <v>31.3</v>
          </cell>
          <cell r="AE120">
            <v>34.6</v>
          </cell>
          <cell r="AF120">
            <v>36.979999999999997</v>
          </cell>
          <cell r="AG120">
            <v>38.9</v>
          </cell>
          <cell r="AI120">
            <v>45</v>
          </cell>
          <cell r="AJ120">
            <v>40.21</v>
          </cell>
          <cell r="AK120">
            <v>39.840000000000003</v>
          </cell>
          <cell r="AL120">
            <v>43.2</v>
          </cell>
          <cell r="AN120">
            <v>39.049999999999997</v>
          </cell>
          <cell r="AO120">
            <v>44.31</v>
          </cell>
          <cell r="AP120">
            <v>42.54</v>
          </cell>
          <cell r="AQ120">
            <v>42.85</v>
          </cell>
          <cell r="AS120">
            <v>47.16</v>
          </cell>
          <cell r="AT120">
            <v>44.2</v>
          </cell>
          <cell r="AU120">
            <v>47.79</v>
          </cell>
          <cell r="AV120">
            <v>49.14</v>
          </cell>
          <cell r="AX120">
            <v>48.72</v>
          </cell>
          <cell r="AY120">
            <v>43.93</v>
          </cell>
          <cell r="AZ120">
            <v>40.21</v>
          </cell>
          <cell r="BA120">
            <v>28.81</v>
          </cell>
          <cell r="BC120">
            <v>28.81</v>
          </cell>
          <cell r="BD120">
            <v>28.81</v>
          </cell>
          <cell r="BE120">
            <v>28.81</v>
          </cell>
          <cell r="BF120">
            <v>28.81</v>
          </cell>
          <cell r="BH120">
            <v>28.81</v>
          </cell>
          <cell r="BI120">
            <v>28.81</v>
          </cell>
          <cell r="BJ120">
            <v>28.81</v>
          </cell>
          <cell r="BK120">
            <v>28.81</v>
          </cell>
          <cell r="BM120">
            <v>28.81</v>
          </cell>
          <cell r="BN120">
            <v>28.81</v>
          </cell>
          <cell r="BO120">
            <v>28.81</v>
          </cell>
          <cell r="BP120">
            <v>28.81</v>
          </cell>
        </row>
        <row r="121">
          <cell r="B121" t="str">
            <v>Total Equity Value</v>
          </cell>
          <cell r="T121">
            <v>2095012.64</v>
          </cell>
          <cell r="U121">
            <v>2206472.8000000003</v>
          </cell>
          <cell r="V121">
            <v>2209589.04</v>
          </cell>
          <cell r="W121">
            <v>2315822.7000000002</v>
          </cell>
          <cell r="Y121">
            <v>2524207.5</v>
          </cell>
          <cell r="Z121">
            <v>2760660</v>
          </cell>
          <cell r="AA121">
            <v>2466515</v>
          </cell>
          <cell r="AB121">
            <v>2559991</v>
          </cell>
          <cell r="AD121">
            <v>2534987</v>
          </cell>
          <cell r="AE121">
            <v>2848998.6</v>
          </cell>
          <cell r="AF121">
            <v>3080840.78</v>
          </cell>
          <cell r="AG121">
            <v>3373057.9</v>
          </cell>
          <cell r="AI121">
            <v>3956490</v>
          </cell>
          <cell r="AJ121">
            <v>3555408.41</v>
          </cell>
          <cell r="AK121">
            <v>3542692.3200000003</v>
          </cell>
          <cell r="AL121">
            <v>3859617.6</v>
          </cell>
          <cell r="AN121">
            <v>3516999.1999999997</v>
          </cell>
          <cell r="AO121">
            <v>4027158.66</v>
          </cell>
          <cell r="AP121">
            <v>3885050.58</v>
          </cell>
          <cell r="AQ121">
            <v>3936843.75</v>
          </cell>
          <cell r="AS121">
            <v>4353669.72</v>
          </cell>
          <cell r="AT121">
            <v>4143882.6</v>
          </cell>
          <cell r="AU121">
            <v>4507266.0599999996</v>
          </cell>
          <cell r="AV121">
            <v>4673410.5599999996</v>
          </cell>
          <cell r="AX121">
            <v>4668788.88</v>
          </cell>
          <cell r="AY121">
            <v>4191976.32</v>
          </cell>
          <cell r="AZ121">
            <v>3842346.97</v>
          </cell>
          <cell r="BA121">
            <v>2756684.85</v>
          </cell>
          <cell r="BC121">
            <v>2756684.85</v>
          </cell>
          <cell r="BD121">
            <v>2768208.85</v>
          </cell>
          <cell r="BE121">
            <v>2779732.85</v>
          </cell>
          <cell r="BF121">
            <v>2791256.85</v>
          </cell>
          <cell r="BH121">
            <v>2791256.85</v>
          </cell>
          <cell r="BI121">
            <v>2802780.85</v>
          </cell>
          <cell r="BJ121">
            <v>2814304.85</v>
          </cell>
          <cell r="BK121">
            <v>2825828.85</v>
          </cell>
          <cell r="BM121">
            <v>2825828.85</v>
          </cell>
          <cell r="BN121">
            <v>2837352.85</v>
          </cell>
          <cell r="BO121">
            <v>2848876.85</v>
          </cell>
          <cell r="BP121">
            <v>2860400.85</v>
          </cell>
        </row>
        <row r="122">
          <cell r="B122" t="str">
            <v>Total Debt</v>
          </cell>
          <cell r="E122">
            <v>1158954</v>
          </cell>
          <cell r="F122">
            <v>1281584</v>
          </cell>
          <cell r="G122">
            <v>1341951</v>
          </cell>
          <cell r="H122">
            <v>1423843</v>
          </cell>
          <cell r="J122">
            <v>1481522</v>
          </cell>
          <cell r="K122">
            <v>1512879</v>
          </cell>
          <cell r="L122">
            <v>1463464</v>
          </cell>
          <cell r="M122">
            <v>1491238</v>
          </cell>
          <cell r="O122">
            <v>1565108</v>
          </cell>
          <cell r="P122">
            <v>1563552</v>
          </cell>
          <cell r="Q122">
            <v>1625221</v>
          </cell>
          <cell r="R122">
            <v>1703896</v>
          </cell>
          <cell r="T122">
            <v>1745535</v>
          </cell>
          <cell r="U122">
            <v>1753707</v>
          </cell>
          <cell r="V122">
            <v>1783450</v>
          </cell>
          <cell r="W122">
            <v>1753131</v>
          </cell>
          <cell r="Y122">
            <v>1790930</v>
          </cell>
          <cell r="Z122">
            <v>1753034</v>
          </cell>
          <cell r="AA122">
            <v>1939418</v>
          </cell>
          <cell r="AB122">
            <v>1866187</v>
          </cell>
          <cell r="AD122">
            <v>1901080</v>
          </cell>
          <cell r="AE122">
            <v>1836670</v>
          </cell>
          <cell r="AF122">
            <v>1917741</v>
          </cell>
          <cell r="AG122">
            <v>1885866</v>
          </cell>
          <cell r="AI122">
            <v>1913037</v>
          </cell>
          <cell r="AJ122">
            <v>1947995</v>
          </cell>
          <cell r="AK122">
            <v>2071533</v>
          </cell>
          <cell r="AL122">
            <v>2133171</v>
          </cell>
          <cell r="AN122">
            <v>2252660</v>
          </cell>
          <cell r="AO122">
            <v>2268815</v>
          </cell>
          <cell r="AP122">
            <v>2301765</v>
          </cell>
          <cell r="AQ122">
            <v>2249178</v>
          </cell>
          <cell r="AS122">
            <v>2217837</v>
          </cell>
          <cell r="AT122">
            <v>2179537</v>
          </cell>
          <cell r="AU122">
            <v>2285211</v>
          </cell>
          <cell r="AV122">
            <v>2387938</v>
          </cell>
          <cell r="AX122">
            <v>2536827</v>
          </cell>
          <cell r="AY122">
            <v>2683774</v>
          </cell>
          <cell r="AZ122">
            <v>2759946</v>
          </cell>
          <cell r="BA122">
            <v>3021129</v>
          </cell>
          <cell r="BC122">
            <v>3097374.244973693</v>
          </cell>
          <cell r="BD122">
            <v>2738495.4587883833</v>
          </cell>
          <cell r="BE122">
            <v>2777172.5318476409</v>
          </cell>
          <cell r="BF122">
            <v>2853239.6848053178</v>
          </cell>
          <cell r="BH122">
            <v>2926286.8291071029</v>
          </cell>
          <cell r="BI122">
            <v>3109075.8284950033</v>
          </cell>
          <cell r="BJ122">
            <v>3294862.3054130822</v>
          </cell>
          <cell r="BK122">
            <v>3380510.7359024193</v>
          </cell>
          <cell r="BM122">
            <v>3520931.8032978131</v>
          </cell>
          <cell r="BN122">
            <v>3661400.297983191</v>
          </cell>
          <cell r="BO122">
            <v>3805706.7691254714</v>
          </cell>
          <cell r="BP122">
            <v>3950267.318109367</v>
          </cell>
        </row>
        <row r="123">
          <cell r="B123" t="str">
            <v>Preferred Stock</v>
          </cell>
          <cell r="E123">
            <v>125000</v>
          </cell>
          <cell r="F123">
            <v>125000</v>
          </cell>
          <cell r="G123">
            <v>125000</v>
          </cell>
          <cell r="H123">
            <v>125000</v>
          </cell>
          <cell r="J123">
            <v>125000</v>
          </cell>
          <cell r="K123">
            <v>125000</v>
          </cell>
          <cell r="L123">
            <v>220000</v>
          </cell>
          <cell r="M123">
            <v>220000</v>
          </cell>
          <cell r="O123">
            <v>220000</v>
          </cell>
          <cell r="P123">
            <v>220000</v>
          </cell>
          <cell r="Q123">
            <v>240000</v>
          </cell>
          <cell r="R123">
            <v>240000</v>
          </cell>
          <cell r="T123">
            <v>240000</v>
          </cell>
          <cell r="U123">
            <v>240000</v>
          </cell>
          <cell r="V123">
            <v>240000</v>
          </cell>
          <cell r="W123">
            <v>240000</v>
          </cell>
          <cell r="Y123">
            <v>240000</v>
          </cell>
          <cell r="Z123">
            <v>263650</v>
          </cell>
          <cell r="AA123">
            <v>138650</v>
          </cell>
          <cell r="AB123">
            <v>138650</v>
          </cell>
          <cell r="AD123">
            <v>138650</v>
          </cell>
          <cell r="AE123">
            <v>138650</v>
          </cell>
          <cell r="AF123">
            <v>138650</v>
          </cell>
          <cell r="AG123">
            <v>138650</v>
          </cell>
          <cell r="AI123">
            <v>138650</v>
          </cell>
          <cell r="AJ123">
            <v>138650</v>
          </cell>
          <cell r="AK123">
            <v>138650</v>
          </cell>
          <cell r="AL123">
            <v>138650</v>
          </cell>
          <cell r="AN123">
            <v>138650</v>
          </cell>
          <cell r="AO123">
            <v>138650</v>
          </cell>
          <cell r="AP123">
            <v>138650</v>
          </cell>
          <cell r="AQ123">
            <v>188650</v>
          </cell>
          <cell r="AS123">
            <v>188650</v>
          </cell>
          <cell r="AT123">
            <v>188650</v>
          </cell>
          <cell r="AU123">
            <v>188650</v>
          </cell>
          <cell r="AV123">
            <v>215650</v>
          </cell>
          <cell r="AX123">
            <v>215650</v>
          </cell>
          <cell r="AY123">
            <v>192000</v>
          </cell>
          <cell r="AZ123">
            <v>192000</v>
          </cell>
          <cell r="BA123">
            <v>292000</v>
          </cell>
          <cell r="BC123">
            <v>292000</v>
          </cell>
          <cell r="BD123">
            <v>292000</v>
          </cell>
          <cell r="BE123">
            <v>292000</v>
          </cell>
          <cell r="BF123">
            <v>292000</v>
          </cell>
          <cell r="BH123">
            <v>292000</v>
          </cell>
          <cell r="BI123">
            <v>292000</v>
          </cell>
          <cell r="BJ123">
            <v>292000</v>
          </cell>
          <cell r="BK123">
            <v>292000</v>
          </cell>
          <cell r="BM123">
            <v>292000</v>
          </cell>
          <cell r="BN123">
            <v>292000</v>
          </cell>
          <cell r="BO123">
            <v>292000</v>
          </cell>
          <cell r="BP123">
            <v>292000</v>
          </cell>
          <cell r="BZ123" t="str">
            <v>mstag:marketValueOfPreferredEquity</v>
          </cell>
          <cell r="CA123">
            <v>3</v>
          </cell>
          <cell r="CB123" t="str">
            <v>ISO4217:USD</v>
          </cell>
          <cell r="CC123" t="b">
            <v>0</v>
          </cell>
          <cell r="CD123" t="b">
            <v>0</v>
          </cell>
        </row>
        <row r="125">
          <cell r="B125" t="str">
            <v>Share of JV debt</v>
          </cell>
          <cell r="AB125">
            <v>18063</v>
          </cell>
          <cell r="AD125">
            <v>18063</v>
          </cell>
          <cell r="AE125">
            <v>20841</v>
          </cell>
          <cell r="AF125">
            <v>20830</v>
          </cell>
          <cell r="AG125">
            <v>20820</v>
          </cell>
          <cell r="AI125">
            <v>20809</v>
          </cell>
          <cell r="AJ125">
            <v>20798</v>
          </cell>
          <cell r="AK125">
            <v>21661</v>
          </cell>
          <cell r="AL125">
            <v>21646</v>
          </cell>
          <cell r="AN125">
            <v>19503</v>
          </cell>
          <cell r="AO125">
            <v>19488</v>
          </cell>
          <cell r="AP125">
            <v>19473</v>
          </cell>
          <cell r="AQ125">
            <v>52146.100000000006</v>
          </cell>
          <cell r="AS125">
            <v>52435.65</v>
          </cell>
          <cell r="AT125">
            <v>69286.55</v>
          </cell>
          <cell r="AU125">
            <v>71190.100000000006</v>
          </cell>
          <cell r="AV125">
            <v>82688</v>
          </cell>
          <cell r="AX125">
            <v>85378.200000000012</v>
          </cell>
          <cell r="AY125">
            <v>96262.25</v>
          </cell>
          <cell r="AZ125">
            <v>164015</v>
          </cell>
          <cell r="BA125">
            <v>251143</v>
          </cell>
          <cell r="BC125">
            <v>251143</v>
          </cell>
          <cell r="BD125">
            <v>251143</v>
          </cell>
          <cell r="BE125">
            <v>251143</v>
          </cell>
          <cell r="BF125">
            <v>251143</v>
          </cell>
          <cell r="BH125">
            <v>251143</v>
          </cell>
          <cell r="BI125">
            <v>251143</v>
          </cell>
          <cell r="BJ125">
            <v>251143</v>
          </cell>
          <cell r="BK125">
            <v>251143</v>
          </cell>
          <cell r="BM125">
            <v>251143</v>
          </cell>
          <cell r="BN125">
            <v>251143</v>
          </cell>
          <cell r="BO125">
            <v>251143</v>
          </cell>
          <cell r="BP125">
            <v>251143</v>
          </cell>
          <cell r="BZ125" t="str">
            <v>mstag:netFinancialObligationsOfEntitiesConsolidatedUsingTheEquityMethodIncludedInMajorityEv</v>
          </cell>
          <cell r="CA125">
            <v>3</v>
          </cell>
          <cell r="CB125" t="str">
            <v>ISO4217:USD</v>
          </cell>
          <cell r="CC125" t="b">
            <v>0</v>
          </cell>
          <cell r="CD125" t="b">
            <v>0</v>
          </cell>
        </row>
        <row r="128">
          <cell r="B128" t="str">
            <v>EBITDA</v>
          </cell>
          <cell r="T128">
            <v>95784</v>
          </cell>
          <cell r="U128">
            <v>98208</v>
          </cell>
          <cell r="V128">
            <v>98464</v>
          </cell>
          <cell r="W128">
            <v>98912</v>
          </cell>
          <cell r="Y128">
            <v>98998</v>
          </cell>
          <cell r="Z128">
            <v>97714</v>
          </cell>
          <cell r="AA128">
            <v>107147</v>
          </cell>
          <cell r="AB128">
            <v>99208</v>
          </cell>
          <cell r="AD128">
            <v>104201</v>
          </cell>
          <cell r="AE128">
            <v>98068</v>
          </cell>
          <cell r="AF128">
            <v>104931</v>
          </cell>
          <cell r="AG128">
            <v>104774</v>
          </cell>
          <cell r="AI128">
            <v>102820</v>
          </cell>
          <cell r="AJ128">
            <v>106480</v>
          </cell>
          <cell r="AK128">
            <v>105160</v>
          </cell>
          <cell r="AL128">
            <v>107947</v>
          </cell>
          <cell r="AN128">
            <v>109665</v>
          </cell>
          <cell r="AO128">
            <v>117542</v>
          </cell>
          <cell r="AP128">
            <v>108110</v>
          </cell>
          <cell r="AQ128">
            <v>106049.05</v>
          </cell>
          <cell r="AS128">
            <v>105819.3</v>
          </cell>
          <cell r="AT128">
            <v>106576</v>
          </cell>
          <cell r="AU128">
            <v>108009.9</v>
          </cell>
          <cell r="AV128">
            <v>108469.45</v>
          </cell>
          <cell r="AX128">
            <v>108212.95</v>
          </cell>
          <cell r="AY128">
            <v>108658.55</v>
          </cell>
          <cell r="AZ128">
            <v>111130.35</v>
          </cell>
          <cell r="BA128">
            <v>119635.79999999999</v>
          </cell>
          <cell r="BC128">
            <v>127339.28620144844</v>
          </cell>
          <cell r="BD128">
            <v>126023.28670914381</v>
          </cell>
          <cell r="BE128">
            <v>123658.03284101907</v>
          </cell>
          <cell r="BF128">
            <v>123775.37284716914</v>
          </cell>
          <cell r="BH128">
            <v>125150.9644934375</v>
          </cell>
          <cell r="BI128">
            <v>127818.49727488295</v>
          </cell>
          <cell r="BJ128">
            <v>131726.66426982349</v>
          </cell>
          <cell r="BK128">
            <v>134519.16119011139</v>
          </cell>
          <cell r="BM128">
            <v>136768.47393046634</v>
          </cell>
          <cell r="BN128">
            <v>139599.66406334401</v>
          </cell>
          <cell r="BO128">
            <v>142437.50697671727</v>
          </cell>
          <cell r="BP128">
            <v>145282.01968643884</v>
          </cell>
        </row>
        <row r="129">
          <cell r="B129" t="str">
            <v>Net Operating Income</v>
          </cell>
          <cell r="T129">
            <v>101543</v>
          </cell>
          <cell r="U129">
            <v>103663</v>
          </cell>
          <cell r="V129">
            <v>103417</v>
          </cell>
          <cell r="W129">
            <v>103797</v>
          </cell>
          <cell r="Y129">
            <v>104967</v>
          </cell>
          <cell r="Z129">
            <v>103329</v>
          </cell>
          <cell r="AA129">
            <v>112397</v>
          </cell>
          <cell r="AB129">
            <v>104883</v>
          </cell>
          <cell r="AD129">
            <v>110634</v>
          </cell>
          <cell r="AE129">
            <v>106908</v>
          </cell>
          <cell r="AF129">
            <v>111473</v>
          </cell>
          <cell r="AG129">
            <v>112427</v>
          </cell>
          <cell r="AI129">
            <v>111302</v>
          </cell>
          <cell r="AJ129">
            <v>114543</v>
          </cell>
          <cell r="AK129">
            <v>113709</v>
          </cell>
          <cell r="AL129">
            <v>116164</v>
          </cell>
          <cell r="AN129">
            <v>117978</v>
          </cell>
          <cell r="AO129">
            <v>126932</v>
          </cell>
          <cell r="AP129">
            <v>117285</v>
          </cell>
          <cell r="AQ129">
            <v>116865.05</v>
          </cell>
          <cell r="AS129">
            <v>115838.3</v>
          </cell>
          <cell r="AT129">
            <v>118077</v>
          </cell>
          <cell r="AU129">
            <v>120005.9</v>
          </cell>
          <cell r="AV129">
            <v>121027.45</v>
          </cell>
          <cell r="AX129">
            <v>121551.95</v>
          </cell>
          <cell r="AY129">
            <v>121457.55</v>
          </cell>
          <cell r="AZ129">
            <v>124274.35</v>
          </cell>
          <cell r="BA129">
            <v>134883.79999999999</v>
          </cell>
          <cell r="BC129">
            <v>141843.57035636148</v>
          </cell>
          <cell r="BD129">
            <v>139936.7384012042</v>
          </cell>
          <cell r="BE129">
            <v>137616.90430765468</v>
          </cell>
          <cell r="BF129">
            <v>138665.67281452095</v>
          </cell>
          <cell r="BH129">
            <v>140068.36304466345</v>
          </cell>
          <cell r="BI129">
            <v>142762.99440998305</v>
          </cell>
          <cell r="BJ129">
            <v>146698.25998879774</v>
          </cell>
          <cell r="BK129">
            <v>149517.85549295979</v>
          </cell>
          <cell r="BM129">
            <v>151793.5235284564</v>
          </cell>
          <cell r="BN129">
            <v>154651.06895647573</v>
          </cell>
          <cell r="BO129">
            <v>157515.26716499066</v>
          </cell>
          <cell r="BP129">
            <v>160386.13516985389</v>
          </cell>
        </row>
        <row r="130">
          <cell r="B130" t="str">
            <v>Interest Expense</v>
          </cell>
          <cell r="T130">
            <v>27788</v>
          </cell>
          <cell r="U130">
            <v>28107</v>
          </cell>
          <cell r="V130">
            <v>27697</v>
          </cell>
          <cell r="W130">
            <v>28414</v>
          </cell>
          <cell r="Y130">
            <v>28057</v>
          </cell>
          <cell r="Z130">
            <v>28433</v>
          </cell>
          <cell r="AA130">
            <v>29396</v>
          </cell>
          <cell r="AB130">
            <v>31115</v>
          </cell>
          <cell r="AD130">
            <v>30607</v>
          </cell>
          <cell r="AE130">
            <v>31089</v>
          </cell>
          <cell r="AF130">
            <v>31153</v>
          </cell>
          <cell r="AG130">
            <v>31362</v>
          </cell>
          <cell r="AI130">
            <v>30699</v>
          </cell>
          <cell r="AJ130">
            <v>30438</v>
          </cell>
          <cell r="AK130">
            <v>30861</v>
          </cell>
          <cell r="AL130">
            <v>32119</v>
          </cell>
          <cell r="AN130">
            <v>33188</v>
          </cell>
          <cell r="AO130">
            <v>33773</v>
          </cell>
          <cell r="AP130">
            <v>33317</v>
          </cell>
          <cell r="AQ130">
            <v>32843</v>
          </cell>
          <cell r="AS130">
            <v>32052</v>
          </cell>
          <cell r="AT130">
            <v>29628</v>
          </cell>
          <cell r="AU130">
            <v>30840</v>
          </cell>
          <cell r="AV130">
            <v>30456</v>
          </cell>
          <cell r="AX130">
            <v>28156</v>
          </cell>
          <cell r="AY130">
            <v>30137</v>
          </cell>
          <cell r="AZ130">
            <v>33521</v>
          </cell>
          <cell r="BA130">
            <v>40110</v>
          </cell>
          <cell r="BC130">
            <v>46949.260174058174</v>
          </cell>
          <cell r="BD130">
            <v>45172.432635250334</v>
          </cell>
          <cell r="BE130">
            <v>43128.161656568445</v>
          </cell>
          <cell r="BF130">
            <v>43813.361324612531</v>
          </cell>
          <cell r="BH130">
            <v>44712.012560995005</v>
          </cell>
          <cell r="BI130">
            <v>46332.157418626266</v>
          </cell>
          <cell r="BJ130">
            <v>48739.007460053814</v>
          </cell>
          <cell r="BK130">
            <v>50566.581370928521</v>
          </cell>
          <cell r="BM130">
            <v>52162.498709860789</v>
          </cell>
          <cell r="BN130">
            <v>54207.134871853232</v>
          </cell>
          <cell r="BO130">
            <v>56351.720933497512</v>
          </cell>
          <cell r="BP130">
            <v>58598.885351166755</v>
          </cell>
        </row>
        <row r="132">
          <cell r="B132" t="str">
            <v>Total Market Capitalization</v>
          </cell>
          <cell r="T132">
            <v>4080547.6399999997</v>
          </cell>
          <cell r="U132">
            <v>4200179.8000000007</v>
          </cell>
          <cell r="V132">
            <v>4233039.04</v>
          </cell>
          <cell r="W132">
            <v>4308953.7</v>
          </cell>
          <cell r="Y132">
            <v>4555137.5</v>
          </cell>
          <cell r="Z132">
            <v>4777344</v>
          </cell>
          <cell r="AA132">
            <v>4544583</v>
          </cell>
          <cell r="AB132">
            <v>4564828</v>
          </cell>
          <cell r="AD132">
            <v>4574717</v>
          </cell>
          <cell r="AE132">
            <v>4824318.5999999996</v>
          </cell>
          <cell r="AF132">
            <v>5137231.7799999993</v>
          </cell>
          <cell r="AG132">
            <v>5397573.9000000004</v>
          </cell>
          <cell r="AI132">
            <v>6008177</v>
          </cell>
          <cell r="AJ132">
            <v>5642053.4100000001</v>
          </cell>
          <cell r="AK132">
            <v>5752875.3200000003</v>
          </cell>
          <cell r="AL132">
            <v>6131438.5999999996</v>
          </cell>
          <cell r="AN132">
            <v>5908309.1999999993</v>
          </cell>
          <cell r="AO132">
            <v>6434623.6600000001</v>
          </cell>
          <cell r="AP132">
            <v>6325465.5800000001</v>
          </cell>
          <cell r="AQ132">
            <v>6374671.75</v>
          </cell>
          <cell r="AS132">
            <v>6760156.7199999997</v>
          </cell>
          <cell r="AT132">
            <v>6512069.5999999996</v>
          </cell>
          <cell r="AU132">
            <v>6981127.0599999996</v>
          </cell>
          <cell r="AV132">
            <v>7276998.5599999996</v>
          </cell>
          <cell r="AX132">
            <v>7421265.8799999999</v>
          </cell>
          <cell r="AY132">
            <v>7067750.3200000003</v>
          </cell>
          <cell r="AZ132">
            <v>6794292.9700000007</v>
          </cell>
          <cell r="BA132">
            <v>6069813.8499999996</v>
          </cell>
          <cell r="BC132">
            <v>6146059.0949736927</v>
          </cell>
          <cell r="BD132">
            <v>5798704.3087883834</v>
          </cell>
          <cell r="BE132">
            <v>5848905.3818476405</v>
          </cell>
          <cell r="BF132">
            <v>5936496.5348053183</v>
          </cell>
          <cell r="BH132">
            <v>6009543.6791071035</v>
          </cell>
          <cell r="BI132">
            <v>6203856.6784950029</v>
          </cell>
          <cell r="BJ132">
            <v>6401167.1554130819</v>
          </cell>
          <cell r="BK132">
            <v>6498339.5859024189</v>
          </cell>
          <cell r="BM132">
            <v>6638760.6532978136</v>
          </cell>
          <cell r="BN132">
            <v>6790753.1479831915</v>
          </cell>
          <cell r="BO132">
            <v>6946583.6191254715</v>
          </cell>
          <cell r="BP132">
            <v>7102668.1681093667</v>
          </cell>
        </row>
        <row r="133">
          <cell r="B133" t="str">
            <v>- Cash</v>
          </cell>
          <cell r="T133">
            <v>-3410</v>
          </cell>
          <cell r="U133">
            <v>-36131</v>
          </cell>
          <cell r="V133">
            <v>-6820</v>
          </cell>
          <cell r="W133">
            <v>-19390</v>
          </cell>
          <cell r="Y133">
            <v>-22200</v>
          </cell>
          <cell r="Z133">
            <v>-30742</v>
          </cell>
          <cell r="AA133">
            <v>-15606</v>
          </cell>
          <cell r="AB133">
            <v>-11071</v>
          </cell>
          <cell r="AD133">
            <v>-29840</v>
          </cell>
          <cell r="AE133">
            <v>-26268</v>
          </cell>
          <cell r="AF133">
            <v>-43750</v>
          </cell>
          <cell r="AG133">
            <v>-21809</v>
          </cell>
          <cell r="AI133">
            <v>-34505</v>
          </cell>
          <cell r="AJ133">
            <v>-39284</v>
          </cell>
          <cell r="AK133">
            <v>-21775</v>
          </cell>
          <cell r="AL133">
            <v>-33667</v>
          </cell>
          <cell r="AN133">
            <v>-36783</v>
          </cell>
          <cell r="AO133">
            <v>-50991</v>
          </cell>
          <cell r="AP133">
            <v>-43209</v>
          </cell>
          <cell r="AQ133">
            <v>-61629</v>
          </cell>
          <cell r="AS133">
            <v>-43133</v>
          </cell>
          <cell r="AT133">
            <v>-37762</v>
          </cell>
          <cell r="AU133">
            <v>-26573</v>
          </cell>
          <cell r="AV133">
            <v>-53737</v>
          </cell>
          <cell r="AX133">
            <v>-37859</v>
          </cell>
          <cell r="AY133">
            <v>-12741</v>
          </cell>
          <cell r="AZ133">
            <v>-36031</v>
          </cell>
          <cell r="BA133">
            <v>-37989</v>
          </cell>
          <cell r="BC133">
            <v>-37989.000000000007</v>
          </cell>
          <cell r="BD133">
            <v>-37989.000000000007</v>
          </cell>
          <cell r="BE133">
            <v>-37989.000000000022</v>
          </cell>
          <cell r="BF133">
            <v>-37989.000000000022</v>
          </cell>
          <cell r="BH133">
            <v>-37989.000000000022</v>
          </cell>
          <cell r="BI133">
            <v>-37989.000000000036</v>
          </cell>
          <cell r="BJ133">
            <v>-37989.000000000036</v>
          </cell>
          <cell r="BK133">
            <v>-37989.000000000029</v>
          </cell>
          <cell r="BM133">
            <v>-37989.000000000007</v>
          </cell>
          <cell r="BN133">
            <v>-37988.999999999985</v>
          </cell>
          <cell r="BO133">
            <v>-37988.999999999985</v>
          </cell>
          <cell r="BP133">
            <v>-37988.999999999942</v>
          </cell>
        </row>
        <row r="134">
          <cell r="B134" t="str">
            <v>Enterprise Value</v>
          </cell>
          <cell r="T134">
            <v>4077137.6399999997</v>
          </cell>
          <cell r="U134">
            <v>4164048.8000000007</v>
          </cell>
          <cell r="V134">
            <v>4226219.04</v>
          </cell>
          <cell r="W134">
            <v>4289563.7</v>
          </cell>
          <cell r="Y134">
            <v>4532937.5</v>
          </cell>
          <cell r="Z134">
            <v>4746602</v>
          </cell>
          <cell r="AA134">
            <v>4528977</v>
          </cell>
          <cell r="AB134">
            <v>4553757</v>
          </cell>
          <cell r="AD134">
            <v>4544877</v>
          </cell>
          <cell r="AE134">
            <v>4798050.5999999996</v>
          </cell>
          <cell r="AF134">
            <v>5093481.7799999993</v>
          </cell>
          <cell r="AG134">
            <v>5375764.9000000004</v>
          </cell>
          <cell r="AI134">
            <v>5973672</v>
          </cell>
          <cell r="AJ134">
            <v>5602769.4100000001</v>
          </cell>
          <cell r="AK134">
            <v>5731100.3200000003</v>
          </cell>
          <cell r="AL134">
            <v>6097771.5999999996</v>
          </cell>
          <cell r="AN134">
            <v>5871526.1999999993</v>
          </cell>
          <cell r="AO134">
            <v>6383632.6600000001</v>
          </cell>
          <cell r="AP134">
            <v>6282256.5800000001</v>
          </cell>
          <cell r="AQ134">
            <v>6313042.75</v>
          </cell>
          <cell r="AS134">
            <v>6717023.7199999997</v>
          </cell>
          <cell r="AT134">
            <v>6474307.5999999996</v>
          </cell>
          <cell r="AU134">
            <v>6954554.0599999996</v>
          </cell>
          <cell r="AV134">
            <v>7223261.5599999996</v>
          </cell>
          <cell r="AX134">
            <v>7383406.8799999999</v>
          </cell>
          <cell r="AY134">
            <v>7055009.3200000003</v>
          </cell>
          <cell r="AZ134">
            <v>6758261.9700000007</v>
          </cell>
          <cell r="BA134">
            <v>6031824.8499999996</v>
          </cell>
          <cell r="BC134">
            <v>6108070.0949736927</v>
          </cell>
          <cell r="BD134">
            <v>5760715.3087883834</v>
          </cell>
          <cell r="BE134">
            <v>5810916.3818476405</v>
          </cell>
          <cell r="BF134">
            <v>5898507.5348053183</v>
          </cell>
          <cell r="BH134">
            <v>5971554.6791071035</v>
          </cell>
          <cell r="BI134">
            <v>6165867.6784950029</v>
          </cell>
          <cell r="BJ134">
            <v>6363178.1554130819</v>
          </cell>
          <cell r="BK134">
            <v>6460350.5859024189</v>
          </cell>
          <cell r="BM134">
            <v>6600771.6532978136</v>
          </cell>
          <cell r="BN134">
            <v>6752764.1479831915</v>
          </cell>
          <cell r="BO134">
            <v>6908594.6191254715</v>
          </cell>
          <cell r="BP134">
            <v>7064679.1681093667</v>
          </cell>
        </row>
        <row r="136">
          <cell r="B136" t="str">
            <v>Enterprise Value to EBITDA</v>
          </cell>
          <cell r="T136">
            <v>10.641489288398896</v>
          </cell>
          <cell r="U136">
            <v>10.600075350276965</v>
          </cell>
          <cell r="V136">
            <v>10.730366022099448</v>
          </cell>
          <cell r="W136">
            <v>10.841868782351989</v>
          </cell>
          <cell r="Y136">
            <v>11.447043122083274</v>
          </cell>
          <cell r="Z136">
            <v>12.144119573449045</v>
          </cell>
          <cell r="AA136">
            <v>10.567204401429811</v>
          </cell>
          <cell r="AB136">
            <v>11.475276691395855</v>
          </cell>
          <cell r="AD136">
            <v>10.904110805078647</v>
          </cell>
          <cell r="AE136">
            <v>12.231437879838479</v>
          </cell>
          <cell r="AF136">
            <v>12.135312205163391</v>
          </cell>
          <cell r="AG136">
            <v>12.827048933895815</v>
          </cell>
          <cell r="AI136">
            <v>14.52458665629255</v>
          </cell>
          <cell r="AJ136">
            <v>13.154511199286251</v>
          </cell>
          <cell r="AK136">
            <v>13.624715481171549</v>
          </cell>
          <cell r="AL136">
            <v>14.122142347633559</v>
          </cell>
          <cell r="AN136">
            <v>13.385141567501025</v>
          </cell>
          <cell r="AO136">
            <v>13.577343970665805</v>
          </cell>
          <cell r="AP136">
            <v>14.527464110628063</v>
          </cell>
          <cell r="AQ136">
            <v>14.882365164987334</v>
          </cell>
          <cell r="AS136">
            <v>15.869089381615639</v>
          </cell>
          <cell r="AT136">
            <v>15.187067444828102</v>
          </cell>
          <cell r="AU136">
            <v>16.097029207507831</v>
          </cell>
          <cell r="AV136">
            <v>16.648147381589933</v>
          </cell>
          <cell r="AX136">
            <v>17.057586176146202</v>
          </cell>
          <cell r="AY136">
            <v>16.232062088073143</v>
          </cell>
          <cell r="AZ136">
            <v>15.203456953928429</v>
          </cell>
          <cell r="BA136">
            <v>12.604556600114682</v>
          </cell>
          <cell r="BC136">
            <v>11.991723601526312</v>
          </cell>
          <cell r="BD136">
            <v>11.427878646912019</v>
          </cell>
          <cell r="BE136">
            <v>11.747955729892704</v>
          </cell>
          <cell r="BF136">
            <v>11.913734128049169</v>
          </cell>
          <cell r="BH136">
            <v>11.928702873520868</v>
          </cell>
          <cell r="BI136">
            <v>12.059811001444606</v>
          </cell>
          <cell r="BJ136">
            <v>12.076480852766091</v>
          </cell>
          <cell r="BK136">
            <v>12.006376133977344</v>
          </cell>
          <cell r="BM136">
            <v>12.065594255028525</v>
          </cell>
          <cell r="BN136">
            <v>12.093088105353701</v>
          </cell>
          <cell r="BO136">
            <v>12.125659114938641</v>
          </cell>
          <cell r="BP136">
            <v>12.156836722391756</v>
          </cell>
        </row>
        <row r="137">
          <cell r="B137" t="str">
            <v>Enterprise Value to NOI</v>
          </cell>
          <cell r="T137">
            <v>10.03795840185931</v>
          </cell>
          <cell r="U137">
            <v>10.042273520928395</v>
          </cell>
          <cell r="V137">
            <v>10.216451453822872</v>
          </cell>
          <cell r="W137">
            <v>10.331617724982419</v>
          </cell>
          <cell r="Y137">
            <v>10.796101393771377</v>
          </cell>
          <cell r="Z137">
            <v>11.484196111449835</v>
          </cell>
          <cell r="AA137">
            <v>10.07361628869098</v>
          </cell>
          <cell r="AB137">
            <v>10.854373444695518</v>
          </cell>
          <cell r="AD137">
            <v>10.270072943218178</v>
          </cell>
          <cell r="AE137">
            <v>11.220045740262655</v>
          </cell>
          <cell r="AF137">
            <v>11.423128874256545</v>
          </cell>
          <cell r="AG137">
            <v>11.953900975744261</v>
          </cell>
          <cell r="AI137">
            <v>13.417710373578192</v>
          </cell>
          <cell r="AJ137">
            <v>12.228528609343217</v>
          </cell>
          <cell r="AK137">
            <v>12.600366549701432</v>
          </cell>
          <cell r="AL137">
            <v>13.123195654419613</v>
          </cell>
          <cell r="AN137">
            <v>12.441993846310327</v>
          </cell>
          <cell r="AO137">
            <v>12.572937990420067</v>
          </cell>
          <cell r="AP137">
            <v>13.391006053630047</v>
          </cell>
          <cell r="AQ137">
            <v>13.504984488519023</v>
          </cell>
          <cell r="AS137">
            <v>14.496551917630006</v>
          </cell>
          <cell r="AT137">
            <v>13.707808463968426</v>
          </cell>
          <cell r="AU137">
            <v>14.487941967853248</v>
          </cell>
          <cell r="AV137">
            <v>14.920709227534745</v>
          </cell>
          <cell r="AX137">
            <v>15.185702245007176</v>
          </cell>
          <cell r="AY137">
            <v>14.521553662164271</v>
          </cell>
          <cell r="AZ137">
            <v>13.595448236100209</v>
          </cell>
          <cell r="BA137">
            <v>11.179668814935523</v>
          </cell>
          <cell r="BC137">
            <v>10.765503997869006</v>
          </cell>
          <cell r="BD137">
            <v>10.291642092357804</v>
          </cell>
          <cell r="BE137">
            <v>10.556327384128672</v>
          </cell>
          <cell r="BF137">
            <v>10.634404707167786</v>
          </cell>
          <cell r="BH137">
            <v>10.658285977831698</v>
          </cell>
          <cell r="BI137">
            <v>10.797384336146706</v>
          </cell>
          <cell r="BJ137">
            <v>10.843990507963404</v>
          </cell>
          <cell r="BK137">
            <v>10.801971718699864</v>
          </cell>
          <cell r="BM137">
            <v>10.871299874761096</v>
          </cell>
          <cell r="BN137">
            <v>10.916129118195196</v>
          </cell>
          <cell r="BO137">
            <v>10.964960323320607</v>
          </cell>
          <cell r="BP137">
            <v>11.011985482142288</v>
          </cell>
        </row>
        <row r="138">
          <cell r="B138" t="str">
            <v>Interest Coverage Ratio - EBITDA</v>
          </cell>
          <cell r="T138">
            <v>3.4469555203685043</v>
          </cell>
          <cell r="U138">
            <v>3.494076208773615</v>
          </cell>
          <cell r="V138">
            <v>3.5550420623172183</v>
          </cell>
          <cell r="W138">
            <v>3.481100865770395</v>
          </cell>
          <cell r="Y138">
            <v>3.5284599208753611</v>
          </cell>
          <cell r="Z138">
            <v>3.4366405233355608</v>
          </cell>
          <cell r="AA138">
            <v>3.644951694108042</v>
          </cell>
          <cell r="AB138">
            <v>3.188430017676362</v>
          </cell>
          <cell r="AD138">
            <v>3.4044826346914103</v>
          </cell>
          <cell r="AE138">
            <v>3.1544276110521405</v>
          </cell>
          <cell r="AF138">
            <v>3.3682470388084615</v>
          </cell>
          <cell r="AG138">
            <v>3.3407945921816209</v>
          </cell>
          <cell r="AI138">
            <v>3.3492947653018015</v>
          </cell>
          <cell r="AJ138">
            <v>3.4982587555029898</v>
          </cell>
          <cell r="AK138">
            <v>3.4075370208353584</v>
          </cell>
          <cell r="AL138">
            <v>3.3608456054049007</v>
          </cell>
          <cell r="AN138">
            <v>3.3043569965047608</v>
          </cell>
          <cell r="AO138">
            <v>3.4803541290379889</v>
          </cell>
          <cell r="AP138">
            <v>3.2448899960980881</v>
          </cell>
          <cell r="AQ138">
            <v>3.2289696434552266</v>
          </cell>
          <cell r="AS138">
            <v>3.3014882066641706</v>
          </cell>
          <cell r="AT138">
            <v>3.5971378425813421</v>
          </cell>
          <cell r="AU138">
            <v>3.5022665369649801</v>
          </cell>
          <cell r="AV138">
            <v>3.5615133307065929</v>
          </cell>
          <cell r="AX138">
            <v>3.8433353459298196</v>
          </cell>
          <cell r="AY138">
            <v>3.6054866111424495</v>
          </cell>
          <cell r="AZ138">
            <v>3.3152456668953794</v>
          </cell>
          <cell r="BA138">
            <v>2.9826925953627521</v>
          </cell>
          <cell r="BC138">
            <v>2.7122746072963637</v>
          </cell>
          <cell r="BD138">
            <v>2.7898273207186426</v>
          </cell>
          <cell r="BE138">
            <v>2.8672224386866692</v>
          </cell>
          <cell r="BF138">
            <v>2.8250599612780056</v>
          </cell>
          <cell r="BH138">
            <v>2.799045655185163</v>
          </cell>
          <cell r="BI138">
            <v>2.7587426184367119</v>
          </cell>
          <cell r="BJ138">
            <v>2.7026948461719464</v>
          </cell>
          <cell r="BK138">
            <v>2.6602383934827056</v>
          </cell>
          <cell r="BM138">
            <v>2.6219693709690262</v>
          </cell>
          <cell r="BN138">
            <v>2.5753005465675405</v>
          </cell>
          <cell r="BO138">
            <v>2.5276514118319895</v>
          </cell>
          <cell r="BP138">
            <v>2.4792625118345559</v>
          </cell>
        </row>
        <row r="139">
          <cell r="B139" t="str">
            <v>Debt to Enteprise Value</v>
          </cell>
          <cell r="AL139">
            <v>0.34982796010267098</v>
          </cell>
          <cell r="AN139">
            <v>0.38365834082457134</v>
          </cell>
          <cell r="AO139">
            <v>0.35541127142488177</v>
          </cell>
          <cell r="AP139">
            <v>0.36639143446127759</v>
          </cell>
          <cell r="AQ139">
            <v>0.35627479316530847</v>
          </cell>
          <cell r="AS139">
            <v>0.33018150485256886</v>
          </cell>
          <cell r="AT139">
            <v>0.33664402970288282</v>
          </cell>
          <cell r="AU139">
            <v>0.32859202477750243</v>
          </cell>
          <cell r="AV139">
            <v>0.33058999458410865</v>
          </cell>
          <cell r="AX139">
            <v>0.34358488448898811</v>
          </cell>
          <cell r="AY139">
            <v>0.38040686812303176</v>
          </cell>
          <cell r="AZ139">
            <v>0.40838103232035555</v>
          </cell>
          <cell r="BA139">
            <v>0.50086484192258995</v>
          </cell>
          <cell r="BC139">
            <v>0.50709539949820004</v>
          </cell>
          <cell r="BD139">
            <v>0.47537420476422648</v>
          </cell>
          <cell r="BE139">
            <v>0.47792333417893895</v>
          </cell>
          <cell r="BF139">
            <v>0.48372230907042313</v>
          </cell>
          <cell r="BH139">
            <v>0.49003768471641224</v>
          </cell>
          <cell r="BI139">
            <v>0.50423979083084747</v>
          </cell>
          <cell r="BJ139">
            <v>0.51780136041141345</v>
          </cell>
          <cell r="BK139">
            <v>0.52327047749997768</v>
          </cell>
          <cell r="BM139">
            <v>0.53341215061404512</v>
          </cell>
          <cell r="BN139">
            <v>0.54220763790139481</v>
          </cell>
          <cell r="BO139">
            <v>0.55086554920879394</v>
          </cell>
          <cell r="BP139">
            <v>0.55915735507724817</v>
          </cell>
        </row>
        <row r="140">
          <cell r="B140" t="str">
            <v>Debt to Total Market Cap</v>
          </cell>
          <cell r="AK140">
            <v>0.36008654538336143</v>
          </cell>
          <cell r="AL140">
            <v>0.34790709638680883</v>
          </cell>
          <cell r="AN140">
            <v>0.3812698225069196</v>
          </cell>
          <cell r="AO140">
            <v>0.35259482448115698</v>
          </cell>
          <cell r="AP140">
            <v>0.36388862936473365</v>
          </cell>
          <cell r="AQ140">
            <v>0.35283040260073001</v>
          </cell>
          <cell r="AS140">
            <v>0.32807479055012206</v>
          </cell>
          <cell r="AT140">
            <v>0.3346919080840291</v>
          </cell>
          <cell r="AU140">
            <v>0.3273412703077202</v>
          </cell>
          <cell r="AV140">
            <v>0.32814875258131149</v>
          </cell>
          <cell r="AX140">
            <v>0.34183211341836467</v>
          </cell>
          <cell r="AY140">
            <v>0.3797211104650341</v>
          </cell>
          <cell r="AZ140">
            <v>0.4062153357511164</v>
          </cell>
          <cell r="BA140">
            <v>0.49773009101424093</v>
          </cell>
          <cell r="BC140">
            <v>0.50396102561180323</v>
          </cell>
          <cell r="BD140">
            <v>0.47225988996162166</v>
          </cell>
          <cell r="BE140">
            <v>0.47481919274446283</v>
          </cell>
          <cell r="BF140">
            <v>0.48062685930614918</v>
          </cell>
          <cell r="BH140">
            <v>0.48693993843171302</v>
          </cell>
          <cell r="BI140">
            <v>0.50115210418581679</v>
          </cell>
          <cell r="BJ140">
            <v>0.51472836522114807</v>
          </cell>
          <cell r="BK140">
            <v>0.52021146189961243</v>
          </cell>
          <cell r="BM140">
            <v>0.53035980466456267</v>
          </cell>
          <cell r="BN140">
            <v>0.53917440646043846</v>
          </cell>
          <cell r="BO140">
            <v>0.54785301347953608</v>
          </cell>
          <cell r="BP140">
            <v>0.55616667210300974</v>
          </cell>
        </row>
        <row r="141">
          <cell r="B141" t="str">
            <v>Fixed Charge</v>
          </cell>
          <cell r="AK141">
            <v>3.4075370208353584</v>
          </cell>
          <cell r="AL141">
            <v>3.3608456054049007</v>
          </cell>
          <cell r="AN141">
            <v>3.3043569965047608</v>
          </cell>
          <cell r="AO141">
            <v>3.4803541290379889</v>
          </cell>
          <cell r="AP141">
            <v>3.2448899960980881</v>
          </cell>
          <cell r="AQ141">
            <v>3.2289696434552266</v>
          </cell>
          <cell r="AS141">
            <v>3.3014882066641706</v>
          </cell>
          <cell r="AT141">
            <v>3.5971378425813421</v>
          </cell>
          <cell r="AU141">
            <v>3.5022665369649801</v>
          </cell>
          <cell r="AV141">
            <v>3.5615133307065929</v>
          </cell>
          <cell r="AX141">
            <v>3.8433353459298196</v>
          </cell>
          <cell r="AY141">
            <v>3.6054866111424495</v>
          </cell>
          <cell r="AZ141">
            <v>3.3152456668953794</v>
          </cell>
          <cell r="BA141">
            <v>2.9826925953627521</v>
          </cell>
          <cell r="BC141">
            <v>2.7122746072963637</v>
          </cell>
          <cell r="BD141">
            <v>2.7898273207186426</v>
          </cell>
          <cell r="BE141">
            <v>2.8672224386866692</v>
          </cell>
          <cell r="BF141">
            <v>2.8250599612780056</v>
          </cell>
          <cell r="BH141">
            <v>2.799045655185163</v>
          </cell>
          <cell r="BI141">
            <v>2.7587426184367119</v>
          </cell>
          <cell r="BJ141">
            <v>2.7026948461719464</v>
          </cell>
          <cell r="BK141">
            <v>2.6602383934827056</v>
          </cell>
          <cell r="BM141">
            <v>2.6219693709690262</v>
          </cell>
          <cell r="BN141">
            <v>2.5753005465675405</v>
          </cell>
          <cell r="BO141">
            <v>2.5276514118319895</v>
          </cell>
          <cell r="BP141">
            <v>2.4792625118345559</v>
          </cell>
        </row>
        <row r="143">
          <cell r="B143" t="str">
            <v>For Modelware</v>
          </cell>
        </row>
        <row r="144">
          <cell r="B144" t="str">
            <v xml:space="preserve">  Market Value of Minority Interest</v>
          </cell>
          <cell r="AG144">
            <v>143852.19999999998</v>
          </cell>
          <cell r="AH144">
            <v>143852.19999999998</v>
          </cell>
          <cell r="AI144">
            <v>166410</v>
          </cell>
          <cell r="AJ144">
            <v>147610.91</v>
          </cell>
          <cell r="AK144">
            <v>146133.12000000002</v>
          </cell>
          <cell r="AL144">
            <v>158457.60000000001</v>
          </cell>
          <cell r="AM144">
            <v>158457.60000000001</v>
          </cell>
          <cell r="AN144">
            <v>143157.29999999999</v>
          </cell>
          <cell r="AO144">
            <v>155838.27000000002</v>
          </cell>
          <cell r="AP144">
            <v>149655.72</v>
          </cell>
          <cell r="AQ144">
            <v>150746.30000000002</v>
          </cell>
          <cell r="AR144">
            <v>150746.30000000002</v>
          </cell>
          <cell r="AS144">
            <v>165908.87999999998</v>
          </cell>
          <cell r="AT144">
            <v>161462.6</v>
          </cell>
          <cell r="AU144">
            <v>200813.58</v>
          </cell>
          <cell r="AV144">
            <v>206142.3</v>
          </cell>
          <cell r="AW144">
            <v>206142.3</v>
          </cell>
          <cell r="AX144">
            <v>204136.8</v>
          </cell>
          <cell r="AY144">
            <v>184066.7</v>
          </cell>
          <cell r="AZ144">
            <v>168479.9</v>
          </cell>
          <cell r="BA144">
            <v>120713.9</v>
          </cell>
          <cell r="BB144">
            <v>120713.9</v>
          </cell>
          <cell r="BC144">
            <v>120713.9</v>
          </cell>
          <cell r="BD144">
            <v>120713.9</v>
          </cell>
          <cell r="BE144">
            <v>120713.9</v>
          </cell>
          <cell r="BF144">
            <v>120713.9</v>
          </cell>
          <cell r="BG144">
            <v>120713.9</v>
          </cell>
          <cell r="BH144">
            <v>120713.9</v>
          </cell>
          <cell r="BI144">
            <v>120713.9</v>
          </cell>
          <cell r="BJ144">
            <v>120713.9</v>
          </cell>
          <cell r="BK144">
            <v>120713.9</v>
          </cell>
          <cell r="BL144">
            <v>120713.9</v>
          </cell>
          <cell r="BM144">
            <v>120713.9</v>
          </cell>
          <cell r="BN144">
            <v>120713.9</v>
          </cell>
          <cell r="BO144">
            <v>120713.9</v>
          </cell>
          <cell r="BP144">
            <v>120713.9</v>
          </cell>
          <cell r="BQ144">
            <v>120713.9</v>
          </cell>
          <cell r="BZ144" t="str">
            <v>mstag:marketValueOfMinorityInterestsInShareholdersEquity</v>
          </cell>
          <cell r="CA144">
            <v>3</v>
          </cell>
          <cell r="CB144" t="str">
            <v>ISO4217:USD</v>
          </cell>
          <cell r="CC144" t="b">
            <v>0</v>
          </cell>
          <cell r="CD144" t="b">
            <v>0</v>
          </cell>
        </row>
        <row r="146">
          <cell r="A146" t="str">
            <v>Historical Debt Yields</v>
          </cell>
        </row>
        <row r="147">
          <cell r="B147" t="str">
            <v>30-Day LIBOR</v>
          </cell>
          <cell r="T147">
            <v>5.0625</v>
          </cell>
          <cell r="U147">
            <v>3.875</v>
          </cell>
          <cell r="V147">
            <v>2.63</v>
          </cell>
          <cell r="W147">
            <v>1.8740000000000001</v>
          </cell>
          <cell r="Y147">
            <v>1.879</v>
          </cell>
          <cell r="Z147">
            <v>1.84</v>
          </cell>
          <cell r="AA147">
            <v>1.81</v>
          </cell>
          <cell r="AB147">
            <v>1.38</v>
          </cell>
          <cell r="AD147">
            <v>1.3</v>
          </cell>
          <cell r="AE147">
            <v>1.1200000000000001</v>
          </cell>
          <cell r="AF147">
            <v>1.1200000000000001</v>
          </cell>
          <cell r="AG147">
            <v>1.1200000000000001</v>
          </cell>
          <cell r="AI147">
            <v>1.0900000000000001</v>
          </cell>
          <cell r="AJ147">
            <v>1.37</v>
          </cell>
          <cell r="AK147">
            <v>1.84</v>
          </cell>
          <cell r="AL147">
            <v>2.4</v>
          </cell>
          <cell r="AN147">
            <v>2.87</v>
          </cell>
          <cell r="AO147">
            <v>3.34</v>
          </cell>
          <cell r="AP147">
            <v>3.86</v>
          </cell>
          <cell r="AQ147">
            <v>4.3899999999999997</v>
          </cell>
          <cell r="AS147">
            <v>4.83</v>
          </cell>
          <cell r="AT147">
            <v>5.33</v>
          </cell>
          <cell r="AU147">
            <v>5.32</v>
          </cell>
          <cell r="AV147">
            <v>5.32</v>
          </cell>
          <cell r="AX147">
            <v>5.32</v>
          </cell>
          <cell r="AY147">
            <v>5.32</v>
          </cell>
          <cell r="AZ147">
            <v>5.4939</v>
          </cell>
          <cell r="BA147">
            <v>4.5999999999999996</v>
          </cell>
          <cell r="BC147">
            <v>3.86</v>
          </cell>
        </row>
        <row r="148">
          <cell r="B148" t="str">
            <v>10-Year Treasury</v>
          </cell>
          <cell r="T148">
            <v>50.11</v>
          </cell>
          <cell r="U148">
            <v>54.12</v>
          </cell>
          <cell r="V148">
            <v>45.67</v>
          </cell>
          <cell r="W148">
            <v>50.24</v>
          </cell>
          <cell r="Y148">
            <v>54.5</v>
          </cell>
          <cell r="Z148">
            <v>48.03</v>
          </cell>
          <cell r="AA148">
            <v>35.99</v>
          </cell>
          <cell r="AB148">
            <v>38.200000000000003</v>
          </cell>
          <cell r="AD148">
            <v>38.24</v>
          </cell>
          <cell r="AE148">
            <v>35.299999999999997</v>
          </cell>
          <cell r="AF148">
            <v>39.409999999999997</v>
          </cell>
          <cell r="AG148">
            <v>42.61</v>
          </cell>
          <cell r="AI148">
            <v>38.380000000000003</v>
          </cell>
          <cell r="AJ148">
            <v>46.18</v>
          </cell>
          <cell r="AK148">
            <v>41.19</v>
          </cell>
          <cell r="AL148">
            <v>42.16</v>
          </cell>
          <cell r="AN148">
            <v>4.4950000000000001</v>
          </cell>
          <cell r="AO148">
            <v>3.98</v>
          </cell>
          <cell r="AP148">
            <v>4.34</v>
          </cell>
          <cell r="AQ148">
            <v>4.3959999999999999</v>
          </cell>
          <cell r="AS148">
            <v>4.8520000000000003</v>
          </cell>
          <cell r="AT148">
            <v>5.1390000000000002</v>
          </cell>
          <cell r="AU148">
            <v>4.633</v>
          </cell>
          <cell r="AV148">
            <v>4.7080000000000002</v>
          </cell>
          <cell r="AX148">
            <v>4.6500000000000004</v>
          </cell>
          <cell r="AY148">
            <v>5.0339999999999998</v>
          </cell>
          <cell r="AZ148">
            <v>4.5199999999999996</v>
          </cell>
          <cell r="BA148">
            <v>4.0330000000000004</v>
          </cell>
        </row>
      </sheetData>
      <sheetData sheetId="14" refreshError="1">
        <row r="1">
          <cell r="V1" t="str">
            <v>What's in incrased in deferred leasing costs?</v>
          </cell>
          <cell r="BI1" t="str">
            <v>ElementName</v>
          </cell>
          <cell r="BJ1" t="str">
            <v>ScaleOverride</v>
          </cell>
          <cell r="BK1" t="str">
            <v>UnitOverride</v>
          </cell>
          <cell r="BL1" t="str">
            <v>ReverseSign</v>
          </cell>
          <cell r="BM1" t="str">
            <v>IsDrivingAssumption</v>
          </cell>
          <cell r="BN1" t="str">
            <v>SegmentID</v>
          </cell>
        </row>
        <row r="2">
          <cell r="B2" t="str">
            <v>Liberty Property Trust</v>
          </cell>
        </row>
        <row r="3">
          <cell r="B3" t="str">
            <v>Cash Flow Statement</v>
          </cell>
          <cell r="V3" t="str">
            <v>Don’t erase</v>
          </cell>
          <cell r="W3">
            <v>58697.29</v>
          </cell>
        </row>
        <row r="4">
          <cell r="B4" t="str">
            <v>(Dollars In Thousands, Except Per-Share)</v>
          </cell>
        </row>
        <row r="5">
          <cell r="D5" t="str">
            <v>2001A</v>
          </cell>
          <cell r="I5" t="str">
            <v>2002A</v>
          </cell>
          <cell r="N5" t="str">
            <v>2003A</v>
          </cell>
          <cell r="S5" t="str">
            <v>2004A</v>
          </cell>
          <cell r="X5" t="str">
            <v>2005A</v>
          </cell>
          <cell r="AC5" t="str">
            <v>2006A</v>
          </cell>
          <cell r="AH5" t="str">
            <v>2007E</v>
          </cell>
          <cell r="AM5" t="str">
            <v>2008E</v>
          </cell>
          <cell r="AR5" t="str">
            <v>2009E</v>
          </cell>
          <cell r="AW5" t="str">
            <v>2010E</v>
          </cell>
        </row>
        <row r="6">
          <cell r="D6" t="str">
            <v>1QA</v>
          </cell>
          <cell r="E6" t="str">
            <v>2QA</v>
          </cell>
          <cell r="F6" t="str">
            <v>3QA</v>
          </cell>
          <cell r="G6" t="str">
            <v>4QA</v>
          </cell>
          <cell r="H6" t="str">
            <v>2001A</v>
          </cell>
          <cell r="I6" t="str">
            <v>1QA</v>
          </cell>
          <cell r="J6" t="str">
            <v>2QA</v>
          </cell>
          <cell r="K6" t="str">
            <v>3QA</v>
          </cell>
          <cell r="L6" t="str">
            <v>4QA</v>
          </cell>
          <cell r="M6" t="str">
            <v>2002A</v>
          </cell>
          <cell r="N6" t="str">
            <v>1QA</v>
          </cell>
          <cell r="O6" t="str">
            <v>2QA</v>
          </cell>
          <cell r="P6" t="str">
            <v>3QA</v>
          </cell>
          <cell r="Q6" t="str">
            <v>4QA</v>
          </cell>
          <cell r="R6" t="str">
            <v>2003E</v>
          </cell>
          <cell r="S6" t="str">
            <v>1QA</v>
          </cell>
          <cell r="T6" t="str">
            <v>2QA</v>
          </cell>
          <cell r="U6" t="str">
            <v>3QA</v>
          </cell>
          <cell r="V6" t="str">
            <v>4QA</v>
          </cell>
          <cell r="W6" t="str">
            <v>2004A</v>
          </cell>
          <cell r="X6" t="str">
            <v>1QA</v>
          </cell>
          <cell r="Y6" t="str">
            <v>2QA</v>
          </cell>
          <cell r="Z6" t="str">
            <v>3QA</v>
          </cell>
          <cell r="AA6" t="str">
            <v>4QA</v>
          </cell>
          <cell r="AB6" t="str">
            <v>2005A</v>
          </cell>
          <cell r="AC6" t="str">
            <v>1QA</v>
          </cell>
          <cell r="AD6" t="str">
            <v>2QA</v>
          </cell>
          <cell r="AE6" t="str">
            <v>3QA</v>
          </cell>
          <cell r="AF6" t="str">
            <v>4QA</v>
          </cell>
          <cell r="AG6" t="str">
            <v>2006A</v>
          </cell>
          <cell r="AH6" t="str">
            <v>1QA</v>
          </cell>
          <cell r="AI6" t="str">
            <v>2QA</v>
          </cell>
          <cell r="AJ6" t="str">
            <v>3QA</v>
          </cell>
          <cell r="AK6" t="str">
            <v>4QA</v>
          </cell>
          <cell r="AL6" t="str">
            <v>2007E</v>
          </cell>
          <cell r="AM6" t="str">
            <v>1QE</v>
          </cell>
          <cell r="AN6" t="str">
            <v>2QE</v>
          </cell>
          <cell r="AO6" t="str">
            <v>3QE</v>
          </cell>
          <cell r="AP6" t="str">
            <v>4QE</v>
          </cell>
          <cell r="AQ6" t="str">
            <v>2008E</v>
          </cell>
          <cell r="AR6" t="str">
            <v>1QE</v>
          </cell>
          <cell r="AS6" t="str">
            <v>2QE</v>
          </cell>
          <cell r="AT6" t="str">
            <v>3QE</v>
          </cell>
          <cell r="AU6" t="str">
            <v>4QE</v>
          </cell>
          <cell r="AV6" t="str">
            <v>2009E</v>
          </cell>
          <cell r="AW6" t="str">
            <v>1QE</v>
          </cell>
          <cell r="AX6" t="str">
            <v>2QE</v>
          </cell>
          <cell r="AY6" t="str">
            <v>3QE</v>
          </cell>
          <cell r="AZ6" t="str">
            <v>4QE</v>
          </cell>
          <cell r="BA6" t="str">
            <v>2010E</v>
          </cell>
        </row>
        <row r="7">
          <cell r="I7" t="str">
            <v>2002-Q1</v>
          </cell>
          <cell r="J7" t="str">
            <v>2002-Q2</v>
          </cell>
          <cell r="K7" t="str">
            <v>2002-Q3</v>
          </cell>
          <cell r="L7" t="str">
            <v>2002-Q4</v>
          </cell>
          <cell r="M7" t="str">
            <v>2002-FY</v>
          </cell>
          <cell r="N7" t="str">
            <v>2003-Q1</v>
          </cell>
          <cell r="O7" t="str">
            <v>2003-Q2</v>
          </cell>
          <cell r="P7" t="str">
            <v>2003-Q3</v>
          </cell>
          <cell r="Q7" t="str">
            <v>2003-Q4</v>
          </cell>
          <cell r="R7" t="str">
            <v>2003-FY</v>
          </cell>
          <cell r="S7" t="str">
            <v>2004-Q1</v>
          </cell>
          <cell r="T7" t="str">
            <v>2004-Q2</v>
          </cell>
          <cell r="U7" t="str">
            <v>2004-Q3</v>
          </cell>
          <cell r="V7" t="str">
            <v>2004-Q4</v>
          </cell>
          <cell r="W7" t="str">
            <v>2004-FY</v>
          </cell>
          <cell r="X7" t="str">
            <v>2005-Q1</v>
          </cell>
          <cell r="Y7" t="str">
            <v>2005-Q2</v>
          </cell>
          <cell r="Z7" t="str">
            <v>2005-Q3</v>
          </cell>
          <cell r="AA7" t="str">
            <v>2005-Q4</v>
          </cell>
          <cell r="AB7" t="str">
            <v>2005-FY</v>
          </cell>
          <cell r="AC7" t="str">
            <v>2006-Q1</v>
          </cell>
          <cell r="AD7" t="str">
            <v>2006-Q2</v>
          </cell>
          <cell r="AE7" t="str">
            <v>2006-Q3</v>
          </cell>
          <cell r="AF7" t="str">
            <v>2006-Q4</v>
          </cell>
          <cell r="AG7" t="str">
            <v>2006-FY</v>
          </cell>
          <cell r="AH7" t="str">
            <v>2007-Q1</v>
          </cell>
          <cell r="AI7" t="str">
            <v>2007-Q2</v>
          </cell>
          <cell r="AJ7" t="str">
            <v>2007-Q3</v>
          </cell>
          <cell r="AK7" t="str">
            <v>2007-Q4</v>
          </cell>
          <cell r="AL7" t="str">
            <v>2007-FY</v>
          </cell>
          <cell r="AM7" t="str">
            <v>2008-Q1</v>
          </cell>
          <cell r="AN7" t="str">
            <v>2008-Q2</v>
          </cell>
          <cell r="AO7" t="str">
            <v>2008-Q3</v>
          </cell>
          <cell r="AP7" t="str">
            <v>2008-Q4</v>
          </cell>
          <cell r="AQ7" t="str">
            <v>2008-FY</v>
          </cell>
          <cell r="AR7" t="str">
            <v>2009-Q1</v>
          </cell>
          <cell r="AS7" t="str">
            <v>2009-Q2</v>
          </cell>
          <cell r="AT7" t="str">
            <v>2009-Q3</v>
          </cell>
          <cell r="AU7" t="str">
            <v>2009-Q4</v>
          </cell>
          <cell r="AV7" t="str">
            <v>2009-FY</v>
          </cell>
          <cell r="AW7" t="str">
            <v>2010-Q1</v>
          </cell>
          <cell r="AX7" t="str">
            <v>2010-Q2</v>
          </cell>
          <cell r="AY7" t="str">
            <v>2010-Q3</v>
          </cell>
          <cell r="AZ7" t="str">
            <v>2010-Q4</v>
          </cell>
          <cell r="BA7" t="str">
            <v>2010-FY</v>
          </cell>
        </row>
        <row r="9">
          <cell r="B9" t="str">
            <v>Net income</v>
          </cell>
          <cell r="D9">
            <v>41116</v>
          </cell>
          <cell r="E9">
            <v>42405</v>
          </cell>
          <cell r="F9">
            <v>42314</v>
          </cell>
          <cell r="G9">
            <v>40702</v>
          </cell>
          <cell r="H9">
            <v>166537</v>
          </cell>
          <cell r="I9">
            <v>42200</v>
          </cell>
          <cell r="J9">
            <v>44504</v>
          </cell>
          <cell r="K9">
            <v>41640</v>
          </cell>
          <cell r="L9">
            <v>33321</v>
          </cell>
          <cell r="M9">
            <v>161665</v>
          </cell>
          <cell r="N9">
            <v>41587</v>
          </cell>
          <cell r="O9">
            <v>45029</v>
          </cell>
          <cell r="P9">
            <v>39109</v>
          </cell>
          <cell r="Q9">
            <v>37885</v>
          </cell>
          <cell r="R9">
            <v>163610</v>
          </cell>
          <cell r="S9">
            <v>38671</v>
          </cell>
          <cell r="T9">
            <v>37356</v>
          </cell>
          <cell r="U9">
            <v>39479</v>
          </cell>
          <cell r="V9">
            <v>45937</v>
          </cell>
          <cell r="W9">
            <v>161443</v>
          </cell>
          <cell r="X9">
            <v>45601</v>
          </cell>
          <cell r="Y9">
            <v>44557</v>
          </cell>
          <cell r="Z9">
            <v>51875</v>
          </cell>
          <cell r="AA9">
            <v>107318</v>
          </cell>
          <cell r="AB9">
            <v>249351</v>
          </cell>
          <cell r="AC9">
            <v>90427</v>
          </cell>
          <cell r="AD9">
            <v>68450</v>
          </cell>
          <cell r="AE9">
            <v>46885</v>
          </cell>
          <cell r="AF9">
            <v>60812</v>
          </cell>
          <cell r="AG9">
            <v>266574</v>
          </cell>
          <cell r="AH9">
            <v>39698</v>
          </cell>
          <cell r="AI9">
            <v>52427</v>
          </cell>
          <cell r="AJ9">
            <v>37174</v>
          </cell>
          <cell r="AK9">
            <v>35531.799999999988</v>
          </cell>
          <cell r="AL9">
            <v>164830.79999999999</v>
          </cell>
          <cell r="AM9">
            <v>34383.12282828788</v>
          </cell>
          <cell r="AN9">
            <v>80205.913340224273</v>
          </cell>
          <cell r="AO9">
            <v>36240.100717440037</v>
          </cell>
          <cell r="AP9">
            <v>35745.074728897482</v>
          </cell>
          <cell r="AQ9">
            <v>186574.21161484969</v>
          </cell>
          <cell r="AR9">
            <v>36058.89731603711</v>
          </cell>
          <cell r="AS9">
            <v>36926.123171107589</v>
          </cell>
          <cell r="AT9">
            <v>38228.063448627865</v>
          </cell>
          <cell r="AU9">
            <v>39016.934918785781</v>
          </cell>
          <cell r="AV9">
            <v>150230.01885455835</v>
          </cell>
          <cell r="AW9">
            <v>39459.113858351753</v>
          </cell>
          <cell r="AX9">
            <v>40036.763595698103</v>
          </cell>
          <cell r="AY9">
            <v>40525.210370658446</v>
          </cell>
          <cell r="AZ9">
            <v>40921.903466363015</v>
          </cell>
          <cell r="BA9">
            <v>160942.99129107132</v>
          </cell>
          <cell r="BI9" t="str">
            <v>mstag:netIncomeReported</v>
          </cell>
          <cell r="BJ9">
            <v>3</v>
          </cell>
          <cell r="BK9" t="str">
            <v>ISO4217:USD</v>
          </cell>
          <cell r="BL9" t="b">
            <v>0</v>
          </cell>
          <cell r="BM9" t="b">
            <v>0</v>
          </cell>
        </row>
        <row r="10">
          <cell r="B10" t="str">
            <v>Depreciation and amortization</v>
          </cell>
          <cell r="D10">
            <v>24944</v>
          </cell>
          <cell r="E10">
            <v>24804</v>
          </cell>
          <cell r="F10">
            <v>25734</v>
          </cell>
          <cell r="G10">
            <v>27144</v>
          </cell>
          <cell r="H10">
            <v>102626</v>
          </cell>
          <cell r="I10">
            <v>26506</v>
          </cell>
          <cell r="J10">
            <v>27683</v>
          </cell>
          <cell r="K10">
            <v>28204</v>
          </cell>
          <cell r="L10">
            <v>28498</v>
          </cell>
          <cell r="M10">
            <v>110891</v>
          </cell>
          <cell r="N10">
            <v>29029</v>
          </cell>
          <cell r="O10">
            <v>31302</v>
          </cell>
          <cell r="P10">
            <v>30738</v>
          </cell>
          <cell r="Q10">
            <v>32033</v>
          </cell>
          <cell r="R10">
            <v>123102</v>
          </cell>
          <cell r="S10">
            <v>32841</v>
          </cell>
          <cell r="T10">
            <v>34179</v>
          </cell>
          <cell r="U10">
            <v>34145</v>
          </cell>
          <cell r="V10">
            <v>35535</v>
          </cell>
          <cell r="W10">
            <v>136700</v>
          </cell>
          <cell r="X10">
            <v>35386</v>
          </cell>
          <cell r="Y10">
            <v>37769</v>
          </cell>
          <cell r="Z10">
            <v>37686</v>
          </cell>
          <cell r="AA10">
            <v>39881</v>
          </cell>
          <cell r="AB10">
            <v>150722</v>
          </cell>
          <cell r="AC10">
            <v>37384</v>
          </cell>
          <cell r="AD10">
            <v>38544</v>
          </cell>
          <cell r="AE10">
            <v>37999</v>
          </cell>
          <cell r="AF10">
            <v>38039</v>
          </cell>
          <cell r="AG10">
            <v>151966</v>
          </cell>
          <cell r="AH10">
            <v>38167</v>
          </cell>
          <cell r="AI10">
            <v>39316</v>
          </cell>
          <cell r="AJ10">
            <v>41895</v>
          </cell>
          <cell r="AK10">
            <v>44520</v>
          </cell>
          <cell r="AL10">
            <v>163898</v>
          </cell>
          <cell r="AM10">
            <v>44275.32532298319</v>
          </cell>
          <cell r="AN10">
            <v>40537.972821698597</v>
          </cell>
          <cell r="AO10">
            <v>40495.420703956544</v>
          </cell>
          <cell r="AP10">
            <v>40452.868586214492</v>
          </cell>
          <cell r="AQ10">
            <v>165761.58743485282</v>
          </cell>
          <cell r="AR10">
            <v>40601.800998311679</v>
          </cell>
          <cell r="AS10">
            <v>40750.733410408866</v>
          </cell>
          <cell r="AT10">
            <v>40899.66582250606</v>
          </cell>
          <cell r="AU10">
            <v>41048.598234603247</v>
          </cell>
          <cell r="AV10">
            <v>163300.79846582984</v>
          </cell>
          <cell r="AW10">
            <v>41240.082764442486</v>
          </cell>
          <cell r="AX10">
            <v>41431.567294281733</v>
          </cell>
          <cell r="AY10">
            <v>41623.051824120972</v>
          </cell>
          <cell r="AZ10">
            <v>41814.536353960219</v>
          </cell>
          <cell r="BA10">
            <v>166109.23823680542</v>
          </cell>
          <cell r="BI10" t="str">
            <v>mstag:depreciation</v>
          </cell>
          <cell r="BJ10">
            <v>3</v>
          </cell>
          <cell r="BK10" t="str">
            <v>ISO4217:USD</v>
          </cell>
          <cell r="BL10" t="b">
            <v>0</v>
          </cell>
          <cell r="BM10" t="b">
            <v>0</v>
          </cell>
        </row>
        <row r="11">
          <cell r="B11" t="str">
            <v>Amort. of deferred financing costs</v>
          </cell>
          <cell r="D11">
            <v>1029</v>
          </cell>
          <cell r="E11">
            <v>1088</v>
          </cell>
          <cell r="F11">
            <v>969</v>
          </cell>
          <cell r="G11">
            <v>930</v>
          </cell>
          <cell r="H11">
            <v>4016</v>
          </cell>
          <cell r="I11">
            <v>908</v>
          </cell>
          <cell r="J11">
            <v>902</v>
          </cell>
          <cell r="K11">
            <v>1071</v>
          </cell>
          <cell r="L11">
            <v>1098</v>
          </cell>
          <cell r="M11">
            <v>3979</v>
          </cell>
          <cell r="N11">
            <v>913</v>
          </cell>
          <cell r="O11">
            <v>972</v>
          </cell>
          <cell r="P11">
            <v>1142</v>
          </cell>
          <cell r="Q11">
            <v>986</v>
          </cell>
          <cell r="R11">
            <v>4013</v>
          </cell>
          <cell r="S11">
            <v>1041</v>
          </cell>
          <cell r="T11">
            <v>894</v>
          </cell>
          <cell r="U11">
            <v>993</v>
          </cell>
          <cell r="V11">
            <v>1387</v>
          </cell>
          <cell r="W11">
            <v>4315</v>
          </cell>
          <cell r="X11">
            <v>1152</v>
          </cell>
          <cell r="Y11">
            <v>1192</v>
          </cell>
          <cell r="Z11">
            <v>1183</v>
          </cell>
          <cell r="AA11">
            <v>1231</v>
          </cell>
          <cell r="AB11">
            <v>4758</v>
          </cell>
          <cell r="AC11">
            <v>1083</v>
          </cell>
          <cell r="AD11">
            <v>1051</v>
          </cell>
          <cell r="AE11">
            <v>1054</v>
          </cell>
          <cell r="AF11">
            <v>1056</v>
          </cell>
          <cell r="AG11">
            <v>4244</v>
          </cell>
          <cell r="AH11">
            <v>993</v>
          </cell>
          <cell r="AI11">
            <v>996</v>
          </cell>
          <cell r="AJ11">
            <v>1013</v>
          </cell>
          <cell r="AK11">
            <v>0</v>
          </cell>
          <cell r="AL11">
            <v>3002</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I11" t="str">
            <v>mstag:otherCashFlow</v>
          </cell>
          <cell r="BJ11">
            <v>3</v>
          </cell>
          <cell r="BK11" t="str">
            <v>ISO4217:USD</v>
          </cell>
          <cell r="BL11" t="b">
            <v>0</v>
          </cell>
          <cell r="BM11" t="b">
            <v>0</v>
          </cell>
        </row>
        <row r="12">
          <cell r="B12" t="str">
            <v>Equity in earnings of unconsol. JVs</v>
          </cell>
          <cell r="D12">
            <v>0</v>
          </cell>
          <cell r="E12">
            <v>0</v>
          </cell>
          <cell r="F12">
            <v>0</v>
          </cell>
          <cell r="G12">
            <v>0</v>
          </cell>
          <cell r="H12">
            <v>0</v>
          </cell>
          <cell r="I12">
            <v>0</v>
          </cell>
          <cell r="J12">
            <v>0</v>
          </cell>
          <cell r="K12">
            <v>0</v>
          </cell>
          <cell r="L12">
            <v>-255</v>
          </cell>
          <cell r="M12">
            <v>-255</v>
          </cell>
          <cell r="N12">
            <v>-442</v>
          </cell>
          <cell r="O12">
            <v>-473</v>
          </cell>
          <cell r="P12">
            <v>-440</v>
          </cell>
          <cell r="Q12">
            <v>-389</v>
          </cell>
          <cell r="R12">
            <v>-1744</v>
          </cell>
          <cell r="S12">
            <v>405</v>
          </cell>
          <cell r="T12">
            <v>125</v>
          </cell>
          <cell r="U12">
            <v>143</v>
          </cell>
          <cell r="V12">
            <v>102</v>
          </cell>
          <cell r="W12">
            <v>775</v>
          </cell>
          <cell r="X12">
            <v>-2020</v>
          </cell>
          <cell r="Y12">
            <v>-182</v>
          </cell>
          <cell r="Z12">
            <v>-231</v>
          </cell>
          <cell r="AA12">
            <v>-107</v>
          </cell>
          <cell r="AB12">
            <v>-2540</v>
          </cell>
          <cell r="AC12">
            <v>-175</v>
          </cell>
          <cell r="AD12">
            <v>-741</v>
          </cell>
          <cell r="AE12">
            <v>-334</v>
          </cell>
          <cell r="AF12">
            <v>-182</v>
          </cell>
          <cell r="AG12">
            <v>-1432</v>
          </cell>
          <cell r="AH12">
            <v>-729</v>
          </cell>
          <cell r="AI12">
            <v>-326</v>
          </cell>
          <cell r="AJ12">
            <v>29</v>
          </cell>
          <cell r="AK12">
            <v>0</v>
          </cell>
          <cell r="AL12">
            <v>-1026</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I12" t="str">
            <v>mstag:incomeLossFromInvestmentsAccountedForUnderTheEquityMethodOperating</v>
          </cell>
          <cell r="BJ12">
            <v>3</v>
          </cell>
          <cell r="BK12" t="str">
            <v>ISO4217:USD</v>
          </cell>
          <cell r="BL12" t="b">
            <v>1</v>
          </cell>
          <cell r="BM12" t="b">
            <v>0</v>
          </cell>
        </row>
        <row r="13">
          <cell r="B13" t="str">
            <v>Distributions from unconsolidated joint ventures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4391</v>
          </cell>
          <cell r="Z13">
            <v>153</v>
          </cell>
          <cell r="AA13">
            <v>107</v>
          </cell>
          <cell r="AB13">
            <v>4651</v>
          </cell>
          <cell r="AC13">
            <v>366</v>
          </cell>
          <cell r="AD13">
            <v>2571</v>
          </cell>
          <cell r="AE13">
            <v>89</v>
          </cell>
          <cell r="AF13">
            <v>2666</v>
          </cell>
          <cell r="AG13">
            <v>5692</v>
          </cell>
          <cell r="AH13">
            <v>405</v>
          </cell>
          <cell r="AI13">
            <v>645</v>
          </cell>
          <cell r="AJ13">
            <v>884</v>
          </cell>
          <cell r="AK13">
            <v>0</v>
          </cell>
          <cell r="AL13">
            <v>1934</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I13" t="str">
            <v>mstag:dividendsFromInvestmentsAccountedForUnderTheEquityMethodOperating</v>
          </cell>
          <cell r="BJ13">
            <v>3</v>
          </cell>
          <cell r="BK13" t="str">
            <v>ISO4217:USD</v>
          </cell>
          <cell r="BL13" t="b">
            <v>0</v>
          </cell>
          <cell r="BM13" t="b">
            <v>0</v>
          </cell>
        </row>
        <row r="14">
          <cell r="B14" t="str">
            <v>Minority interest in net income</v>
          </cell>
          <cell r="D14">
            <v>4830</v>
          </cell>
          <cell r="E14">
            <v>4894</v>
          </cell>
          <cell r="F14">
            <v>4775</v>
          </cell>
          <cell r="G14">
            <v>4672</v>
          </cell>
          <cell r="H14">
            <v>19171</v>
          </cell>
          <cell r="I14">
            <v>4734</v>
          </cell>
          <cell r="J14">
            <v>6131</v>
          </cell>
          <cell r="K14">
            <v>5063</v>
          </cell>
          <cell r="L14">
            <v>4729</v>
          </cell>
          <cell r="M14">
            <v>20657</v>
          </cell>
          <cell r="N14">
            <v>5615</v>
          </cell>
          <cell r="O14">
            <v>5221</v>
          </cell>
          <cell r="P14">
            <v>4983</v>
          </cell>
          <cell r="Q14">
            <v>4914</v>
          </cell>
          <cell r="R14">
            <v>20733</v>
          </cell>
          <cell r="S14">
            <v>4667</v>
          </cell>
          <cell r="T14">
            <v>4548</v>
          </cell>
          <cell r="U14">
            <v>4485</v>
          </cell>
          <cell r="V14">
            <v>4467</v>
          </cell>
          <cell r="W14">
            <v>18167</v>
          </cell>
          <cell r="X14">
            <v>4518</v>
          </cell>
          <cell r="Y14">
            <v>5340</v>
          </cell>
          <cell r="Z14">
            <v>5446</v>
          </cell>
          <cell r="AA14">
            <v>7661</v>
          </cell>
          <cell r="AB14">
            <v>22965</v>
          </cell>
          <cell r="AC14">
            <v>6983</v>
          </cell>
          <cell r="AD14">
            <v>6611</v>
          </cell>
          <cell r="AE14">
            <v>5590</v>
          </cell>
          <cell r="AF14">
            <v>6285</v>
          </cell>
          <cell r="AG14">
            <v>25469</v>
          </cell>
          <cell r="AH14">
            <v>5705</v>
          </cell>
          <cell r="AI14">
            <v>6897</v>
          </cell>
          <cell r="AJ14">
            <v>5940</v>
          </cell>
          <cell r="AK14">
            <v>6470</v>
          </cell>
          <cell r="AL14">
            <v>25012</v>
          </cell>
          <cell r="AM14">
            <v>7015.8278761192005</v>
          </cell>
          <cell r="AN14">
            <v>9097.4679119706161</v>
          </cell>
          <cell r="AO14">
            <v>7084.8497630540523</v>
          </cell>
          <cell r="AP14">
            <v>7054.5682074446358</v>
          </cell>
          <cell r="AQ14">
            <v>30252.713758588507</v>
          </cell>
          <cell r="AR14">
            <v>7068.7536180937004</v>
          </cell>
          <cell r="AS14">
            <v>7099.9832747402197</v>
          </cell>
          <cell r="AT14">
            <v>7150.427538635764</v>
          </cell>
          <cell r="AU14">
            <v>7177.5466657938377</v>
          </cell>
          <cell r="AV14">
            <v>28496.71109726352</v>
          </cell>
          <cell r="AW14">
            <v>7197.2785978113197</v>
          </cell>
          <cell r="AX14">
            <v>7214.6983015109499</v>
          </cell>
          <cell r="AY14">
            <v>7228.023848440349</v>
          </cell>
          <cell r="AZ14">
            <v>7237.1945149488511</v>
          </cell>
          <cell r="BA14">
            <v>28877.195262711473</v>
          </cell>
          <cell r="BI14" t="str">
            <v>mstag:netIncreaseInMinorityInterestsInShareholdersEquity</v>
          </cell>
          <cell r="BJ14">
            <v>3</v>
          </cell>
          <cell r="BK14" t="str">
            <v>ISO4217:USD</v>
          </cell>
          <cell r="BL14" t="b">
            <v>0</v>
          </cell>
          <cell r="BM14" t="b">
            <v>0</v>
          </cell>
        </row>
        <row r="15">
          <cell r="B15" t="str">
            <v>Loss (gain) on property disp.</v>
          </cell>
          <cell r="D15">
            <v>-1477</v>
          </cell>
          <cell r="E15">
            <v>-717</v>
          </cell>
          <cell r="F15">
            <v>-140</v>
          </cell>
          <cell r="G15">
            <v>219</v>
          </cell>
          <cell r="H15">
            <v>-2115</v>
          </cell>
          <cell r="I15">
            <v>-871</v>
          </cell>
          <cell r="J15">
            <v>-6040</v>
          </cell>
          <cell r="K15">
            <v>4886</v>
          </cell>
          <cell r="L15">
            <v>4366</v>
          </cell>
          <cell r="M15">
            <v>2341</v>
          </cell>
          <cell r="N15">
            <v>-761</v>
          </cell>
          <cell r="O15">
            <v>-11093</v>
          </cell>
          <cell r="P15">
            <v>-106</v>
          </cell>
          <cell r="Q15">
            <v>-445</v>
          </cell>
          <cell r="R15">
            <v>-12405</v>
          </cell>
          <cell r="S15">
            <v>-1767</v>
          </cell>
          <cell r="T15">
            <v>78</v>
          </cell>
          <cell r="U15">
            <v>-2294</v>
          </cell>
          <cell r="V15">
            <v>-8116</v>
          </cell>
          <cell r="W15">
            <v>-12099</v>
          </cell>
          <cell r="X15">
            <v>-6771</v>
          </cell>
          <cell r="Y15">
            <v>-2720</v>
          </cell>
          <cell r="Z15">
            <v>-19550</v>
          </cell>
          <cell r="AA15">
            <v>-93169</v>
          </cell>
          <cell r="AB15">
            <v>-122210</v>
          </cell>
          <cell r="AC15">
            <v>-59575</v>
          </cell>
          <cell r="AD15">
            <v>-33988</v>
          </cell>
          <cell r="AE15">
            <v>-11282</v>
          </cell>
          <cell r="AF15">
            <v>-25403</v>
          </cell>
          <cell r="AG15">
            <v>-130248</v>
          </cell>
          <cell r="AH15">
            <v>-2953</v>
          </cell>
          <cell r="AI15">
            <v>-18729</v>
          </cell>
          <cell r="AJ15">
            <v>-4335</v>
          </cell>
          <cell r="AK15">
            <v>-9260</v>
          </cell>
          <cell r="AL15">
            <v>-35277</v>
          </cell>
          <cell r="AM15">
            <v>-7500</v>
          </cell>
          <cell r="AN15">
            <v>-50700</v>
          </cell>
          <cell r="AO15">
            <v>-5000</v>
          </cell>
          <cell r="AP15">
            <v>-5000</v>
          </cell>
          <cell r="AQ15">
            <v>-68200</v>
          </cell>
          <cell r="AR15">
            <v>-5000</v>
          </cell>
          <cell r="AS15">
            <v>-5000</v>
          </cell>
          <cell r="AT15">
            <v>-5000</v>
          </cell>
          <cell r="AU15">
            <v>-5000</v>
          </cell>
          <cell r="AV15">
            <v>-20000</v>
          </cell>
          <cell r="AW15">
            <v>-5000</v>
          </cell>
          <cell r="AX15">
            <v>-5000</v>
          </cell>
          <cell r="AY15">
            <v>-5000</v>
          </cell>
          <cell r="AZ15">
            <v>-5000</v>
          </cell>
          <cell r="BA15">
            <v>-20000</v>
          </cell>
          <cell r="BI15" t="str">
            <v>mstag:gainsLossesFromSaleOfOperatingAssetsOneTime</v>
          </cell>
          <cell r="BJ15">
            <v>3</v>
          </cell>
          <cell r="BK15" t="str">
            <v>ISO4217:USD</v>
          </cell>
          <cell r="BL15" t="b">
            <v>1</v>
          </cell>
          <cell r="BM15" t="b">
            <v>0</v>
          </cell>
        </row>
        <row r="16">
          <cell r="B16" t="str">
            <v>Noncash compensation</v>
          </cell>
          <cell r="D16">
            <v>1152</v>
          </cell>
          <cell r="E16">
            <v>339</v>
          </cell>
          <cell r="F16">
            <v>258</v>
          </cell>
          <cell r="G16">
            <v>373</v>
          </cell>
          <cell r="H16">
            <v>2122</v>
          </cell>
          <cell r="I16">
            <v>1188</v>
          </cell>
          <cell r="J16">
            <v>276</v>
          </cell>
          <cell r="K16">
            <v>190</v>
          </cell>
          <cell r="L16">
            <v>292</v>
          </cell>
          <cell r="M16">
            <v>1946</v>
          </cell>
          <cell r="N16">
            <v>419</v>
          </cell>
          <cell r="O16">
            <v>1776</v>
          </cell>
          <cell r="P16">
            <v>301</v>
          </cell>
          <cell r="Q16">
            <v>381</v>
          </cell>
          <cell r="R16">
            <v>2877</v>
          </cell>
          <cell r="S16">
            <v>938</v>
          </cell>
          <cell r="T16">
            <v>479</v>
          </cell>
          <cell r="U16">
            <v>515</v>
          </cell>
          <cell r="V16">
            <v>456</v>
          </cell>
          <cell r="W16">
            <v>2388</v>
          </cell>
          <cell r="X16">
            <v>1486</v>
          </cell>
          <cell r="Y16">
            <v>728</v>
          </cell>
          <cell r="Z16">
            <v>880</v>
          </cell>
          <cell r="AA16">
            <v>886</v>
          </cell>
          <cell r="AB16">
            <v>3980</v>
          </cell>
          <cell r="AC16">
            <v>2311</v>
          </cell>
          <cell r="AD16">
            <v>1464</v>
          </cell>
          <cell r="AE16">
            <v>1120</v>
          </cell>
          <cell r="AF16">
            <v>1317</v>
          </cell>
          <cell r="AG16">
            <v>6212</v>
          </cell>
          <cell r="AH16">
            <v>3881</v>
          </cell>
          <cell r="AI16">
            <v>1552</v>
          </cell>
          <cell r="AJ16">
            <v>1258</v>
          </cell>
          <cell r="AK16">
            <v>0</v>
          </cell>
          <cell r="AL16">
            <v>6691</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I16" t="str">
            <v>mstag:otherCashFlow</v>
          </cell>
          <cell r="BJ16">
            <v>3</v>
          </cell>
          <cell r="BK16" t="str">
            <v>ISO4217:USD</v>
          </cell>
          <cell r="BL16" t="b">
            <v>0</v>
          </cell>
          <cell r="BM16" t="b">
            <v>0</v>
          </cell>
        </row>
        <row r="17">
          <cell r="B17" t="str">
            <v>Restricted Cash</v>
          </cell>
          <cell r="D17">
            <v>0</v>
          </cell>
          <cell r="E17">
            <v>0</v>
          </cell>
          <cell r="F17">
            <v>0</v>
          </cell>
          <cell r="G17">
            <v>0</v>
          </cell>
          <cell r="H17">
            <v>0</v>
          </cell>
          <cell r="I17">
            <v>0</v>
          </cell>
          <cell r="J17">
            <v>0</v>
          </cell>
          <cell r="K17">
            <v>0</v>
          </cell>
          <cell r="L17">
            <v>0</v>
          </cell>
          <cell r="M17">
            <v>0</v>
          </cell>
          <cell r="N17">
            <v>0</v>
          </cell>
          <cell r="O17">
            <v>0</v>
          </cell>
          <cell r="P17">
            <v>0</v>
          </cell>
          <cell r="Q17">
            <v>-12154</v>
          </cell>
          <cell r="R17">
            <v>-12154</v>
          </cell>
          <cell r="S17">
            <v>-7404</v>
          </cell>
          <cell r="T17">
            <v>-468</v>
          </cell>
          <cell r="U17">
            <v>1361</v>
          </cell>
          <cell r="V17">
            <v>-12823</v>
          </cell>
          <cell r="W17">
            <v>-19334</v>
          </cell>
          <cell r="X17">
            <v>16484</v>
          </cell>
          <cell r="Y17">
            <v>-7965</v>
          </cell>
          <cell r="Z17">
            <v>2892</v>
          </cell>
          <cell r="AA17">
            <v>-7562</v>
          </cell>
          <cell r="AB17">
            <v>3849</v>
          </cell>
          <cell r="AC17">
            <v>10125</v>
          </cell>
          <cell r="AD17">
            <v>3842</v>
          </cell>
          <cell r="AE17">
            <v>4322</v>
          </cell>
          <cell r="AF17">
            <v>-39981</v>
          </cell>
          <cell r="AG17">
            <v>-21692</v>
          </cell>
          <cell r="AH17">
            <v>25703</v>
          </cell>
          <cell r="AI17">
            <v>-3991</v>
          </cell>
          <cell r="AJ17">
            <v>4149</v>
          </cell>
          <cell r="AK17">
            <v>0</v>
          </cell>
          <cell r="AL17">
            <v>25861</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I17" t="str">
            <v>mstag:netDecreaseInOtherAssets</v>
          </cell>
          <cell r="BJ17">
            <v>3</v>
          </cell>
          <cell r="BK17" t="str">
            <v>ISO4217:USD</v>
          </cell>
          <cell r="BL17" t="b">
            <v>0</v>
          </cell>
          <cell r="BM17" t="b">
            <v>0</v>
          </cell>
        </row>
        <row r="18">
          <cell r="B18" t="str">
            <v>Accounts receivable</v>
          </cell>
          <cell r="D18">
            <v>-3980</v>
          </cell>
          <cell r="E18">
            <v>103</v>
          </cell>
          <cell r="F18">
            <v>-4484</v>
          </cell>
          <cell r="G18">
            <v>5515</v>
          </cell>
          <cell r="H18">
            <v>-2846</v>
          </cell>
          <cell r="I18">
            <v>-6273</v>
          </cell>
          <cell r="J18">
            <v>12957</v>
          </cell>
          <cell r="K18">
            <v>-3514</v>
          </cell>
          <cell r="L18">
            <v>-2049</v>
          </cell>
          <cell r="M18">
            <v>1121</v>
          </cell>
          <cell r="N18">
            <v>-130</v>
          </cell>
          <cell r="O18">
            <v>3152</v>
          </cell>
          <cell r="P18">
            <v>5511</v>
          </cell>
          <cell r="Q18">
            <v>-4863</v>
          </cell>
          <cell r="R18">
            <v>3670</v>
          </cell>
          <cell r="S18">
            <v>-4051</v>
          </cell>
          <cell r="T18">
            <v>2918</v>
          </cell>
          <cell r="U18">
            <v>-4047</v>
          </cell>
          <cell r="V18">
            <v>-3269</v>
          </cell>
          <cell r="W18">
            <v>-8449</v>
          </cell>
          <cell r="X18">
            <v>5434</v>
          </cell>
          <cell r="Y18">
            <v>369</v>
          </cell>
          <cell r="Z18">
            <v>-3381</v>
          </cell>
          <cell r="AA18">
            <v>-618</v>
          </cell>
          <cell r="AB18">
            <v>1804</v>
          </cell>
          <cell r="AC18">
            <v>-13295</v>
          </cell>
          <cell r="AD18">
            <v>-13</v>
          </cell>
          <cell r="AE18">
            <v>5237</v>
          </cell>
          <cell r="AF18">
            <v>1192</v>
          </cell>
          <cell r="AG18">
            <v>-6879</v>
          </cell>
          <cell r="AH18">
            <v>-2542</v>
          </cell>
          <cell r="AI18">
            <v>2301</v>
          </cell>
          <cell r="AJ18">
            <v>-2529</v>
          </cell>
          <cell r="AK18">
            <v>0</v>
          </cell>
          <cell r="AL18">
            <v>-2770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I18" t="str">
            <v>mstag:netDecreaseInTradeReceivables</v>
          </cell>
          <cell r="BJ18">
            <v>3</v>
          </cell>
          <cell r="BK18" t="str">
            <v>ISO4217:USD</v>
          </cell>
          <cell r="BL18" t="b">
            <v>0</v>
          </cell>
          <cell r="BM18" t="b">
            <v>0</v>
          </cell>
        </row>
        <row r="19">
          <cell r="B19" t="str">
            <v>Deferred rent receivable</v>
          </cell>
          <cell r="D19">
            <v>0</v>
          </cell>
          <cell r="E19">
            <v>0</v>
          </cell>
          <cell r="F19">
            <v>0</v>
          </cell>
          <cell r="G19">
            <v>0</v>
          </cell>
          <cell r="H19">
            <v>0</v>
          </cell>
          <cell r="I19">
            <v>0</v>
          </cell>
          <cell r="J19">
            <v>0</v>
          </cell>
          <cell r="K19">
            <v>0</v>
          </cell>
          <cell r="L19">
            <v>0</v>
          </cell>
          <cell r="M19">
            <v>0</v>
          </cell>
          <cell r="N19">
            <v>0</v>
          </cell>
          <cell r="O19">
            <v>0</v>
          </cell>
          <cell r="P19">
            <v>-6854</v>
          </cell>
          <cell r="Q19">
            <v>-2386</v>
          </cell>
          <cell r="R19">
            <v>-9240</v>
          </cell>
          <cell r="S19">
            <v>-2632</v>
          </cell>
          <cell r="T19">
            <v>-2623</v>
          </cell>
          <cell r="U19">
            <v>-3008</v>
          </cell>
          <cell r="V19">
            <v>-250</v>
          </cell>
          <cell r="W19">
            <v>-8513</v>
          </cell>
          <cell r="X19">
            <v>-2066</v>
          </cell>
          <cell r="Y19">
            <v>-1489</v>
          </cell>
          <cell r="Z19">
            <v>-1592</v>
          </cell>
          <cell r="AA19">
            <v>-1143</v>
          </cell>
          <cell r="AB19">
            <v>-6290</v>
          </cell>
          <cell r="AC19">
            <v>2674</v>
          </cell>
          <cell r="AD19">
            <v>357</v>
          </cell>
          <cell r="AE19">
            <v>-1869</v>
          </cell>
          <cell r="AF19">
            <v>-238</v>
          </cell>
          <cell r="AG19">
            <v>924</v>
          </cell>
          <cell r="AH19">
            <v>-2304</v>
          </cell>
          <cell r="AI19">
            <v>191</v>
          </cell>
          <cell r="AJ19">
            <v>-3027</v>
          </cell>
          <cell r="AK19">
            <v>0</v>
          </cell>
          <cell r="AL19">
            <v>-5140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I19" t="str">
            <v>mstag:netDecreaseInOtherReceivables</v>
          </cell>
          <cell r="BJ19">
            <v>3</v>
          </cell>
          <cell r="BK19" t="str">
            <v>ISO4217:USD</v>
          </cell>
          <cell r="BL19" t="b">
            <v>0</v>
          </cell>
          <cell r="BM19" t="b">
            <v>0</v>
          </cell>
        </row>
        <row r="20">
          <cell r="B20" t="str">
            <v>Prepaid expenses and other assets</v>
          </cell>
          <cell r="D20">
            <v>26454</v>
          </cell>
          <cell r="E20">
            <v>-4539</v>
          </cell>
          <cell r="F20">
            <v>-33886</v>
          </cell>
          <cell r="G20">
            <v>21521</v>
          </cell>
          <cell r="H20">
            <v>9550</v>
          </cell>
          <cell r="I20">
            <v>-4362</v>
          </cell>
          <cell r="J20">
            <v>-10886</v>
          </cell>
          <cell r="K20">
            <v>-18264</v>
          </cell>
          <cell r="L20">
            <v>7224</v>
          </cell>
          <cell r="M20">
            <v>-26288</v>
          </cell>
          <cell r="N20">
            <v>-4362</v>
          </cell>
          <cell r="O20">
            <v>4934</v>
          </cell>
          <cell r="P20">
            <v>-11832</v>
          </cell>
          <cell r="Q20">
            <v>7622</v>
          </cell>
          <cell r="R20">
            <v>-3638</v>
          </cell>
          <cell r="S20">
            <v>-4002</v>
          </cell>
          <cell r="T20">
            <v>3201</v>
          </cell>
          <cell r="U20">
            <v>-14677</v>
          </cell>
          <cell r="V20">
            <v>3432</v>
          </cell>
          <cell r="W20">
            <v>-12046</v>
          </cell>
          <cell r="X20">
            <v>-14551</v>
          </cell>
          <cell r="Y20">
            <v>20244</v>
          </cell>
          <cell r="Z20">
            <v>-25825</v>
          </cell>
          <cell r="AA20">
            <v>7644</v>
          </cell>
          <cell r="AB20">
            <v>-12488</v>
          </cell>
          <cell r="AC20">
            <v>-15627</v>
          </cell>
          <cell r="AD20">
            <v>-75931</v>
          </cell>
          <cell r="AE20">
            <v>63130</v>
          </cell>
          <cell r="AF20">
            <v>14034</v>
          </cell>
          <cell r="AG20">
            <v>-14394</v>
          </cell>
          <cell r="AH20">
            <v>2550</v>
          </cell>
          <cell r="AI20">
            <v>11487</v>
          </cell>
          <cell r="AJ20">
            <v>-39773</v>
          </cell>
          <cell r="AK20">
            <v>-9005</v>
          </cell>
          <cell r="AL20">
            <v>-34741</v>
          </cell>
          <cell r="AM20">
            <v>-3546.0892589090372</v>
          </cell>
          <cell r="AN20">
            <v>-3498.4184600301051</v>
          </cell>
          <cell r="AO20">
            <v>-3440.4226076913674</v>
          </cell>
          <cell r="AP20">
            <v>-3466.6418203630237</v>
          </cell>
          <cell r="AQ20">
            <v>-13951.572146993534</v>
          </cell>
          <cell r="AR20">
            <v>-3781.8458022059131</v>
          </cell>
          <cell r="AS20">
            <v>-3854.6008490695422</v>
          </cell>
          <cell r="AT20">
            <v>-3960.8530196975389</v>
          </cell>
          <cell r="AU20">
            <v>-4036.9820983099144</v>
          </cell>
          <cell r="AV20">
            <v>-15634.281769282908</v>
          </cell>
          <cell r="AW20">
            <v>-4098.4251352683223</v>
          </cell>
          <cell r="AX20">
            <v>-4175.5788618248444</v>
          </cell>
          <cell r="AY20">
            <v>-4252.9122134547479</v>
          </cell>
          <cell r="AZ20">
            <v>-4330.4256495860554</v>
          </cell>
          <cell r="BA20">
            <v>-16857.341860133973</v>
          </cell>
          <cell r="BI20" t="str">
            <v>mstag:netDecreaseInPrepaidExpenses</v>
          </cell>
          <cell r="BJ20">
            <v>3</v>
          </cell>
          <cell r="BK20" t="str">
            <v>ISO4217:USD</v>
          </cell>
          <cell r="BL20" t="b">
            <v>0</v>
          </cell>
          <cell r="BM20" t="b">
            <v>0</v>
          </cell>
        </row>
        <row r="21">
          <cell r="B21" t="str">
            <v>Accounts payable</v>
          </cell>
          <cell r="D21">
            <v>12061</v>
          </cell>
          <cell r="E21">
            <v>13727</v>
          </cell>
          <cell r="F21">
            <v>-641</v>
          </cell>
          <cell r="G21">
            <v>-21762</v>
          </cell>
          <cell r="H21">
            <v>3385</v>
          </cell>
          <cell r="I21">
            <v>-742</v>
          </cell>
          <cell r="J21">
            <v>2170</v>
          </cell>
          <cell r="K21">
            <v>15361</v>
          </cell>
          <cell r="L21">
            <v>-11730</v>
          </cell>
          <cell r="M21">
            <v>5059</v>
          </cell>
          <cell r="N21">
            <v>3404</v>
          </cell>
          <cell r="O21">
            <v>-4744</v>
          </cell>
          <cell r="P21">
            <v>-1695</v>
          </cell>
          <cell r="Q21">
            <v>-9557</v>
          </cell>
          <cell r="R21">
            <v>-12592</v>
          </cell>
          <cell r="S21">
            <v>20802</v>
          </cell>
          <cell r="T21">
            <v>-5911</v>
          </cell>
          <cell r="U21">
            <v>9589</v>
          </cell>
          <cell r="V21">
            <v>-15621</v>
          </cell>
          <cell r="W21">
            <v>8859</v>
          </cell>
          <cell r="X21">
            <v>-2427</v>
          </cell>
          <cell r="Y21">
            <v>5511</v>
          </cell>
          <cell r="Z21">
            <v>8326</v>
          </cell>
          <cell r="AA21">
            <v>-2516</v>
          </cell>
          <cell r="AB21">
            <v>8894</v>
          </cell>
          <cell r="AC21">
            <v>2787</v>
          </cell>
          <cell r="AD21">
            <v>1614</v>
          </cell>
          <cell r="AE21">
            <v>3833</v>
          </cell>
          <cell r="AF21">
            <v>-586</v>
          </cell>
          <cell r="AG21">
            <v>7648</v>
          </cell>
          <cell r="AH21">
            <v>3802</v>
          </cell>
          <cell r="AI21">
            <v>12970</v>
          </cell>
          <cell r="AJ21">
            <v>11232</v>
          </cell>
          <cell r="AK21">
            <v>0</v>
          </cell>
          <cell r="AL21">
            <v>28004</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I21" t="str">
            <v>mstag:netIncreaseInTradeAndOtherPayables</v>
          </cell>
          <cell r="BJ21">
            <v>3</v>
          </cell>
          <cell r="BK21" t="str">
            <v>ISO4217:USD</v>
          </cell>
          <cell r="BL21" t="b">
            <v>0</v>
          </cell>
          <cell r="BM21" t="b">
            <v>0</v>
          </cell>
        </row>
        <row r="22">
          <cell r="B22" t="str">
            <v>Accrued interest</v>
          </cell>
          <cell r="D22">
            <v>-9300</v>
          </cell>
          <cell r="E22">
            <v>12918</v>
          </cell>
          <cell r="F22">
            <v>-14227</v>
          </cell>
          <cell r="G22">
            <v>12523</v>
          </cell>
          <cell r="H22">
            <v>1914</v>
          </cell>
          <cell r="I22">
            <v>-12117</v>
          </cell>
          <cell r="J22">
            <v>9982</v>
          </cell>
          <cell r="K22">
            <v>-9059</v>
          </cell>
          <cell r="L22">
            <v>12373</v>
          </cell>
          <cell r="M22">
            <v>1179</v>
          </cell>
          <cell r="N22">
            <v>-12613</v>
          </cell>
          <cell r="O22">
            <v>12590</v>
          </cell>
          <cell r="P22">
            <v>-12659</v>
          </cell>
          <cell r="Q22">
            <v>11733</v>
          </cell>
          <cell r="R22">
            <v>-949</v>
          </cell>
          <cell r="S22">
            <v>-11845</v>
          </cell>
          <cell r="T22">
            <v>11883</v>
          </cell>
          <cell r="U22">
            <v>-11087</v>
          </cell>
          <cell r="V22">
            <v>13215</v>
          </cell>
          <cell r="W22">
            <v>2166</v>
          </cell>
          <cell r="X22">
            <v>-12333</v>
          </cell>
          <cell r="Y22">
            <v>12915</v>
          </cell>
          <cell r="Z22">
            <v>-8837</v>
          </cell>
          <cell r="AA22">
            <v>8153</v>
          </cell>
          <cell r="AB22">
            <v>-102</v>
          </cell>
          <cell r="AC22">
            <v>-8126</v>
          </cell>
          <cell r="AD22">
            <v>8546</v>
          </cell>
          <cell r="AE22">
            <v>-8508</v>
          </cell>
          <cell r="AF22">
            <v>9493</v>
          </cell>
          <cell r="AG22">
            <v>1405</v>
          </cell>
          <cell r="AH22">
            <v>-7352</v>
          </cell>
          <cell r="AI22">
            <v>7394</v>
          </cell>
          <cell r="AJ22">
            <v>-6516</v>
          </cell>
          <cell r="AK22">
            <v>0</v>
          </cell>
          <cell r="AL22">
            <v>-6474</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I22" t="str">
            <v>mstag:netIncreaseInOtherLiabilitiesNonOperating</v>
          </cell>
          <cell r="BJ22">
            <v>3</v>
          </cell>
          <cell r="BK22" t="str">
            <v>ISO4217:USD</v>
          </cell>
          <cell r="BL22" t="b">
            <v>0</v>
          </cell>
          <cell r="BM22" t="b">
            <v>0</v>
          </cell>
        </row>
        <row r="23">
          <cell r="B23" t="str">
            <v>Other liabilities</v>
          </cell>
          <cell r="D23">
            <v>-7332</v>
          </cell>
          <cell r="E23">
            <v>3688</v>
          </cell>
          <cell r="F23">
            <v>-1254</v>
          </cell>
          <cell r="G23">
            <v>4235</v>
          </cell>
          <cell r="H23">
            <v>-663</v>
          </cell>
          <cell r="I23">
            <v>1646</v>
          </cell>
          <cell r="J23">
            <v>5185</v>
          </cell>
          <cell r="K23">
            <v>5552</v>
          </cell>
          <cell r="L23">
            <v>-116</v>
          </cell>
          <cell r="M23">
            <v>12267</v>
          </cell>
          <cell r="N23">
            <v>-2373</v>
          </cell>
          <cell r="O23">
            <v>-4894</v>
          </cell>
          <cell r="P23">
            <v>10371</v>
          </cell>
          <cell r="Q23">
            <v>-7721</v>
          </cell>
          <cell r="R23">
            <v>-4617</v>
          </cell>
          <cell r="S23">
            <v>-5334</v>
          </cell>
          <cell r="T23">
            <v>1084</v>
          </cell>
          <cell r="U23">
            <v>118</v>
          </cell>
          <cell r="V23">
            <v>22414</v>
          </cell>
          <cell r="W23">
            <v>18282</v>
          </cell>
          <cell r="X23">
            <v>-5288</v>
          </cell>
          <cell r="Y23">
            <v>11105</v>
          </cell>
          <cell r="Z23">
            <v>31862</v>
          </cell>
          <cell r="AA23">
            <v>14674</v>
          </cell>
          <cell r="AB23">
            <v>52353</v>
          </cell>
          <cell r="AC23">
            <v>-14281</v>
          </cell>
          <cell r="AD23">
            <v>4700</v>
          </cell>
          <cell r="AE23">
            <v>1880</v>
          </cell>
          <cell r="AF23">
            <v>57113</v>
          </cell>
          <cell r="AG23">
            <v>49412</v>
          </cell>
          <cell r="AH23">
            <v>5877</v>
          </cell>
          <cell r="AI23">
            <v>21317</v>
          </cell>
          <cell r="AJ23">
            <v>2485</v>
          </cell>
          <cell r="AK23">
            <v>0</v>
          </cell>
          <cell r="AL23">
            <v>29679</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I23" t="str">
            <v>mstag:netIncreaseInOtherLiabilitiesOperating</v>
          </cell>
          <cell r="BJ23">
            <v>3</v>
          </cell>
          <cell r="BK23" t="str">
            <v>ISO4217:USD</v>
          </cell>
          <cell r="BL23" t="b">
            <v>0</v>
          </cell>
          <cell r="BM23" t="b">
            <v>0</v>
          </cell>
        </row>
        <row r="25">
          <cell r="B25" t="str">
            <v>Net cash provided by operating activities</v>
          </cell>
          <cell r="D25">
            <v>89497</v>
          </cell>
          <cell r="E25">
            <v>98710</v>
          </cell>
          <cell r="F25">
            <v>19418</v>
          </cell>
          <cell r="G25">
            <v>96072</v>
          </cell>
          <cell r="H25">
            <v>303697</v>
          </cell>
          <cell r="I25">
            <v>52817</v>
          </cell>
          <cell r="J25">
            <v>92864</v>
          </cell>
          <cell r="K25">
            <v>71130</v>
          </cell>
          <cell r="L25">
            <v>77751</v>
          </cell>
          <cell r="M25">
            <v>294562</v>
          </cell>
          <cell r="N25">
            <v>60286</v>
          </cell>
          <cell r="O25">
            <v>83772</v>
          </cell>
          <cell r="P25">
            <v>58569</v>
          </cell>
          <cell r="Q25">
            <v>58039</v>
          </cell>
          <cell r="R25">
            <v>260666</v>
          </cell>
          <cell r="S25">
            <v>62330</v>
          </cell>
          <cell r="T25">
            <v>87743</v>
          </cell>
          <cell r="U25">
            <v>55715</v>
          </cell>
          <cell r="V25">
            <v>86866</v>
          </cell>
          <cell r="W25">
            <v>292654</v>
          </cell>
          <cell r="X25">
            <v>64605</v>
          </cell>
          <cell r="Y25">
            <v>131765</v>
          </cell>
          <cell r="Z25">
            <v>80887</v>
          </cell>
          <cell r="AA25">
            <v>82440</v>
          </cell>
          <cell r="AB25">
            <v>359697</v>
          </cell>
          <cell r="AC25">
            <v>43061</v>
          </cell>
          <cell r="AD25">
            <v>27077</v>
          </cell>
          <cell r="AE25">
            <v>149146</v>
          </cell>
          <cell r="AF25">
            <v>125617</v>
          </cell>
          <cell r="AG25">
            <v>344901</v>
          </cell>
          <cell r="AH25">
            <v>110901</v>
          </cell>
          <cell r="AI25">
            <v>134447</v>
          </cell>
          <cell r="AJ25">
            <v>49879</v>
          </cell>
          <cell r="AK25">
            <v>68256.799999999988</v>
          </cell>
          <cell r="AL25">
            <v>363483.8</v>
          </cell>
          <cell r="AM25">
            <v>74628.186768481231</v>
          </cell>
          <cell r="AN25">
            <v>75642.935613863374</v>
          </cell>
          <cell r="AO25">
            <v>75379.948576759271</v>
          </cell>
          <cell r="AP25">
            <v>74785.869702193595</v>
          </cell>
          <cell r="AQ25">
            <v>300436.94066129747</v>
          </cell>
          <cell r="AR25">
            <v>74947.606130236585</v>
          </cell>
          <cell r="AS25">
            <v>75922.239007187134</v>
          </cell>
          <cell r="AT25">
            <v>77317.303790072154</v>
          </cell>
          <cell r="AU25">
            <v>78206.097720872946</v>
          </cell>
          <cell r="AV25">
            <v>306393.24664836883</v>
          </cell>
          <cell r="AW25">
            <v>78798.050085337236</v>
          </cell>
          <cell r="AX25">
            <v>79507.450329665939</v>
          </cell>
          <cell r="AY25">
            <v>80123.373829765012</v>
          </cell>
          <cell r="AZ25">
            <v>80643.208685686011</v>
          </cell>
          <cell r="BA25">
            <v>319072.08293045417</v>
          </cell>
        </row>
        <row r="27">
          <cell r="B27" t="str">
            <v>Investment in properties</v>
          </cell>
          <cell r="D27">
            <v>-27537</v>
          </cell>
          <cell r="E27">
            <v>-8107</v>
          </cell>
          <cell r="F27">
            <v>-23620</v>
          </cell>
          <cell r="G27">
            <v>1932</v>
          </cell>
          <cell r="H27">
            <v>-57332</v>
          </cell>
          <cell r="I27">
            <v>-18987</v>
          </cell>
          <cell r="J27">
            <v>-8818</v>
          </cell>
          <cell r="K27">
            <v>-58791</v>
          </cell>
          <cell r="L27">
            <v>-49244</v>
          </cell>
          <cell r="M27">
            <v>-135840</v>
          </cell>
          <cell r="N27">
            <v>-21588</v>
          </cell>
          <cell r="O27">
            <v>-15063</v>
          </cell>
          <cell r="P27">
            <v>-31673</v>
          </cell>
          <cell r="Q27">
            <v>-77673</v>
          </cell>
          <cell r="R27">
            <v>-145997</v>
          </cell>
          <cell r="S27">
            <v>-18833</v>
          </cell>
          <cell r="T27">
            <v>-33132</v>
          </cell>
          <cell r="U27">
            <v>-114729</v>
          </cell>
          <cell r="V27">
            <v>-86323</v>
          </cell>
          <cell r="W27">
            <v>-253017</v>
          </cell>
          <cell r="X27">
            <v>-65706</v>
          </cell>
          <cell r="Y27">
            <v>-126511</v>
          </cell>
          <cell r="Z27">
            <v>-26815</v>
          </cell>
          <cell r="AA27">
            <v>-105308</v>
          </cell>
          <cell r="AB27">
            <v>-324340</v>
          </cell>
          <cell r="AC27">
            <v>-47753</v>
          </cell>
          <cell r="AD27">
            <v>-31701</v>
          </cell>
          <cell r="AE27">
            <v>-140709</v>
          </cell>
          <cell r="AF27">
            <v>-152447</v>
          </cell>
          <cell r="AG27">
            <v>-372610</v>
          </cell>
          <cell r="AH27">
            <v>-125343</v>
          </cell>
          <cell r="AI27">
            <v>-82274</v>
          </cell>
          <cell r="AJ27">
            <v>-57533</v>
          </cell>
          <cell r="AK27">
            <v>-232389.5</v>
          </cell>
          <cell r="AL27">
            <v>-497539.5</v>
          </cell>
          <cell r="AM27">
            <v>-42500</v>
          </cell>
          <cell r="AN27">
            <v>-42500</v>
          </cell>
          <cell r="AO27">
            <v>-42500</v>
          </cell>
          <cell r="AP27">
            <v>-42500</v>
          </cell>
          <cell r="AQ27">
            <v>-170000</v>
          </cell>
          <cell r="AR27">
            <v>-65000</v>
          </cell>
          <cell r="AS27">
            <v>-65000</v>
          </cell>
          <cell r="AT27">
            <v>-65000</v>
          </cell>
          <cell r="AU27">
            <v>-65000</v>
          </cell>
          <cell r="AV27">
            <v>-260000</v>
          </cell>
          <cell r="AW27">
            <v>-70000</v>
          </cell>
          <cell r="AX27">
            <v>-70000</v>
          </cell>
          <cell r="AY27">
            <v>-70000</v>
          </cell>
          <cell r="AZ27">
            <v>-70000</v>
          </cell>
          <cell r="BA27">
            <v>-280000</v>
          </cell>
          <cell r="BI27" t="str">
            <v>mstag:capitalExpendituresAcquisitions</v>
          </cell>
          <cell r="BJ27">
            <v>3</v>
          </cell>
          <cell r="BK27" t="str">
            <v>ISO4217:USD</v>
          </cell>
          <cell r="BL27" t="b">
            <v>1</v>
          </cell>
          <cell r="BM27" t="b">
            <v>0</v>
          </cell>
        </row>
        <row r="28">
          <cell r="B28" t="str">
            <v>Cash paid for business, net of cash acquired</v>
          </cell>
          <cell r="D28">
            <v>0</v>
          </cell>
          <cell r="E28">
            <v>0</v>
          </cell>
          <cell r="F28">
            <v>0</v>
          </cell>
          <cell r="G28">
            <v>0</v>
          </cell>
          <cell r="H28">
            <v>0</v>
          </cell>
          <cell r="I28">
            <v>0</v>
          </cell>
          <cell r="J28">
            <v>0</v>
          </cell>
          <cell r="K28">
            <v>0</v>
          </cell>
          <cell r="L28">
            <v>0</v>
          </cell>
          <cell r="M28">
            <v>0</v>
          </cell>
          <cell r="N28">
            <v>0</v>
          </cell>
          <cell r="O28">
            <v>0</v>
          </cell>
          <cell r="P28">
            <v>16627</v>
          </cell>
          <cell r="Q28">
            <v>0</v>
          </cell>
          <cell r="R28">
            <v>16627</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I28" t="str">
            <v>mstag:otherCashFlow</v>
          </cell>
          <cell r="BJ28">
            <v>3</v>
          </cell>
          <cell r="BK28" t="str">
            <v>ISO4217:USD</v>
          </cell>
          <cell r="BL28" t="b">
            <v>0</v>
          </cell>
          <cell r="BM28" t="b">
            <v>0</v>
          </cell>
        </row>
        <row r="29">
          <cell r="B29" t="str">
            <v>Investment in unconsol. JVs</v>
          </cell>
          <cell r="D29">
            <v>0</v>
          </cell>
          <cell r="E29">
            <v>0</v>
          </cell>
          <cell r="F29">
            <v>0</v>
          </cell>
          <cell r="G29">
            <v>0</v>
          </cell>
          <cell r="H29">
            <v>0</v>
          </cell>
          <cell r="I29">
            <v>0</v>
          </cell>
          <cell r="J29">
            <v>0</v>
          </cell>
          <cell r="K29">
            <v>0</v>
          </cell>
          <cell r="L29">
            <v>-1655</v>
          </cell>
          <cell r="M29">
            <v>-1655</v>
          </cell>
          <cell r="N29">
            <v>-758</v>
          </cell>
          <cell r="O29">
            <v>-1174</v>
          </cell>
          <cell r="P29">
            <v>-1167</v>
          </cell>
          <cell r="Q29">
            <v>-1819</v>
          </cell>
          <cell r="R29">
            <v>-4918</v>
          </cell>
          <cell r="S29">
            <v>-1596</v>
          </cell>
          <cell r="T29">
            <v>76</v>
          </cell>
          <cell r="U29">
            <v>-3552</v>
          </cell>
          <cell r="V29">
            <v>-1126</v>
          </cell>
          <cell r="W29">
            <v>-6198</v>
          </cell>
          <cell r="X29">
            <v>-12780</v>
          </cell>
          <cell r="Y29">
            <v>-254</v>
          </cell>
          <cell r="Z29">
            <v>-301</v>
          </cell>
          <cell r="AA29">
            <v>-455</v>
          </cell>
          <cell r="AB29">
            <v>-13790</v>
          </cell>
          <cell r="AC29">
            <v>-673</v>
          </cell>
          <cell r="AD29">
            <v>-1266</v>
          </cell>
          <cell r="AE29">
            <v>-3545</v>
          </cell>
          <cell r="AF29">
            <v>-755</v>
          </cell>
          <cell r="AG29">
            <v>-6239</v>
          </cell>
          <cell r="AH29">
            <v>-185</v>
          </cell>
          <cell r="AI29">
            <v>-17097</v>
          </cell>
          <cell r="AJ29">
            <v>-5572</v>
          </cell>
          <cell r="AK29">
            <v>0</v>
          </cell>
          <cell r="AL29">
            <v>-22854</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I29" t="str">
            <v>mstag:capitalExpendituresAcquisitions</v>
          </cell>
          <cell r="BJ29">
            <v>3</v>
          </cell>
          <cell r="BK29" t="str">
            <v>ISO4217:USD</v>
          </cell>
          <cell r="BL29" t="b">
            <v>1</v>
          </cell>
          <cell r="BM29" t="b">
            <v>0</v>
          </cell>
        </row>
        <row r="30">
          <cell r="B30" t="str">
            <v>Distributions from unconsolidated joint ventures</v>
          </cell>
          <cell r="D30">
            <v>0</v>
          </cell>
          <cell r="E30">
            <v>0</v>
          </cell>
          <cell r="F30">
            <v>0</v>
          </cell>
          <cell r="G30">
            <v>0</v>
          </cell>
          <cell r="H30">
            <v>0</v>
          </cell>
          <cell r="I30">
            <v>0</v>
          </cell>
          <cell r="J30">
            <v>0</v>
          </cell>
          <cell r="K30">
            <v>0</v>
          </cell>
          <cell r="L30">
            <v>0</v>
          </cell>
          <cell r="M30">
            <v>0</v>
          </cell>
          <cell r="N30">
            <v>0</v>
          </cell>
          <cell r="O30">
            <v>2168</v>
          </cell>
          <cell r="P30">
            <v>539</v>
          </cell>
          <cell r="Q30">
            <v>438</v>
          </cell>
          <cell r="R30">
            <v>3145</v>
          </cell>
          <cell r="S30">
            <v>248</v>
          </cell>
          <cell r="T30">
            <v>281</v>
          </cell>
          <cell r="U30">
            <v>153</v>
          </cell>
          <cell r="V30">
            <v>0</v>
          </cell>
          <cell r="W30">
            <v>682</v>
          </cell>
          <cell r="X30">
            <v>4325</v>
          </cell>
          <cell r="Y30">
            <v>-4325</v>
          </cell>
          <cell r="Z30">
            <v>0</v>
          </cell>
          <cell r="AA30">
            <v>0</v>
          </cell>
          <cell r="AB30">
            <v>0</v>
          </cell>
          <cell r="AC30">
            <v>0</v>
          </cell>
          <cell r="AD30">
            <v>0</v>
          </cell>
          <cell r="AE30">
            <v>0</v>
          </cell>
          <cell r="AF30">
            <v>0</v>
          </cell>
          <cell r="AG30">
            <v>0</v>
          </cell>
          <cell r="AH30">
            <v>0</v>
          </cell>
          <cell r="AI30">
            <v>0</v>
          </cell>
          <cell r="AJ30">
            <v>0</v>
          </cell>
          <cell r="AK30">
            <v>3675</v>
          </cell>
          <cell r="AL30">
            <v>3675</v>
          </cell>
          <cell r="AM30">
            <v>3675</v>
          </cell>
          <cell r="AN30">
            <v>3675</v>
          </cell>
          <cell r="AO30">
            <v>3675</v>
          </cell>
          <cell r="AP30">
            <v>3675</v>
          </cell>
          <cell r="AQ30">
            <v>14700</v>
          </cell>
          <cell r="AR30">
            <v>3675</v>
          </cell>
          <cell r="AS30">
            <v>3675</v>
          </cell>
          <cell r="AT30">
            <v>3675</v>
          </cell>
          <cell r="AU30">
            <v>3675</v>
          </cell>
          <cell r="AV30">
            <v>14700</v>
          </cell>
          <cell r="AW30">
            <v>3675</v>
          </cell>
          <cell r="AX30">
            <v>3675</v>
          </cell>
          <cell r="AY30">
            <v>3675</v>
          </cell>
          <cell r="AZ30">
            <v>3675</v>
          </cell>
          <cell r="BA30">
            <v>14700</v>
          </cell>
          <cell r="BI30" t="str">
            <v>mstag:dividendsFromInvestmentsAccountedForUnderTheEquityMethodOperating</v>
          </cell>
          <cell r="BJ30">
            <v>3</v>
          </cell>
          <cell r="BK30" t="str">
            <v>ISO4217:USD</v>
          </cell>
          <cell r="BL30" t="b">
            <v>0</v>
          </cell>
          <cell r="BM30" t="b">
            <v>0</v>
          </cell>
        </row>
        <row r="31">
          <cell r="B31" t="str">
            <v>Proceeds from disposition of properties/land</v>
          </cell>
          <cell r="D31">
            <v>13271</v>
          </cell>
          <cell r="E31">
            <v>60583</v>
          </cell>
          <cell r="F31">
            <v>3444</v>
          </cell>
          <cell r="G31">
            <v>74306</v>
          </cell>
          <cell r="H31">
            <v>151604</v>
          </cell>
          <cell r="I31">
            <v>14924</v>
          </cell>
          <cell r="J31">
            <v>41546</v>
          </cell>
          <cell r="K31">
            <v>5373</v>
          </cell>
          <cell r="L31">
            <v>120060</v>
          </cell>
          <cell r="M31">
            <v>181903</v>
          </cell>
          <cell r="N31">
            <v>5040</v>
          </cell>
          <cell r="O31">
            <v>36060</v>
          </cell>
          <cell r="P31">
            <v>1233</v>
          </cell>
          <cell r="Q31">
            <v>7411</v>
          </cell>
          <cell r="R31">
            <v>49744</v>
          </cell>
          <cell r="S31">
            <v>6063</v>
          </cell>
          <cell r="T31">
            <v>2676</v>
          </cell>
          <cell r="U31">
            <v>5041</v>
          </cell>
          <cell r="V31">
            <v>40360</v>
          </cell>
          <cell r="W31">
            <v>54140</v>
          </cell>
          <cell r="X31">
            <v>28429</v>
          </cell>
          <cell r="Y31">
            <v>61320</v>
          </cell>
          <cell r="Z31">
            <v>57251</v>
          </cell>
          <cell r="AA31">
            <v>268144</v>
          </cell>
          <cell r="AB31">
            <v>415144</v>
          </cell>
          <cell r="AC31">
            <v>148531</v>
          </cell>
          <cell r="AD31">
            <v>204127</v>
          </cell>
          <cell r="AE31">
            <v>30673</v>
          </cell>
          <cell r="AF31">
            <v>109217</v>
          </cell>
          <cell r="AG31">
            <v>492548</v>
          </cell>
          <cell r="AH31">
            <v>82776</v>
          </cell>
          <cell r="AI31">
            <v>108819</v>
          </cell>
          <cell r="AJ31">
            <v>93021</v>
          </cell>
          <cell r="AK31">
            <v>96500</v>
          </cell>
          <cell r="AL31">
            <v>381116</v>
          </cell>
          <cell r="AM31">
            <v>75000</v>
          </cell>
          <cell r="AN31">
            <v>507000</v>
          </cell>
          <cell r="AO31">
            <v>50000</v>
          </cell>
          <cell r="AP31">
            <v>50000</v>
          </cell>
          <cell r="AQ31">
            <v>682000</v>
          </cell>
          <cell r="AR31">
            <v>50000</v>
          </cell>
          <cell r="AS31">
            <v>50000</v>
          </cell>
          <cell r="AT31">
            <v>50000</v>
          </cell>
          <cell r="AU31">
            <v>50000</v>
          </cell>
          <cell r="AV31">
            <v>200000</v>
          </cell>
          <cell r="AW31">
            <v>50000</v>
          </cell>
          <cell r="AX31">
            <v>50000</v>
          </cell>
          <cell r="AY31">
            <v>50000</v>
          </cell>
          <cell r="AZ31">
            <v>50000</v>
          </cell>
          <cell r="BA31">
            <v>200000</v>
          </cell>
          <cell r="BI31" t="str">
            <v>mstag:capitalExpendituresDisposals</v>
          </cell>
          <cell r="BJ31">
            <v>3</v>
          </cell>
          <cell r="BK31" t="str">
            <v>ISO4217:USD</v>
          </cell>
          <cell r="BL31" t="b">
            <v>0</v>
          </cell>
          <cell r="BM31" t="b">
            <v>0</v>
          </cell>
        </row>
        <row r="32">
          <cell r="B32" t="str">
            <v>Investment in development in progress</v>
          </cell>
          <cell r="D32">
            <v>-71065</v>
          </cell>
          <cell r="E32">
            <v>-68121</v>
          </cell>
          <cell r="F32">
            <v>-47930</v>
          </cell>
          <cell r="G32">
            <v>-68217</v>
          </cell>
          <cell r="H32">
            <v>-255333</v>
          </cell>
          <cell r="I32">
            <v>-33490</v>
          </cell>
          <cell r="J32">
            <v>-55414</v>
          </cell>
          <cell r="K32">
            <v>-44802</v>
          </cell>
          <cell r="L32">
            <v>-33697</v>
          </cell>
          <cell r="M32">
            <v>-167403</v>
          </cell>
          <cell r="N32">
            <v>-11409</v>
          </cell>
          <cell r="O32">
            <v>-13194</v>
          </cell>
          <cell r="P32">
            <v>-18819</v>
          </cell>
          <cell r="Q32">
            <v>-16531</v>
          </cell>
          <cell r="R32">
            <v>-59953</v>
          </cell>
          <cell r="S32">
            <v>-19681</v>
          </cell>
          <cell r="T32">
            <v>-29166</v>
          </cell>
          <cell r="U32">
            <v>-27451</v>
          </cell>
          <cell r="V32">
            <v>-28910</v>
          </cell>
          <cell r="W32">
            <v>-105208</v>
          </cell>
          <cell r="X32">
            <v>-25329</v>
          </cell>
          <cell r="Y32">
            <v>-47646</v>
          </cell>
          <cell r="Z32">
            <v>-94429</v>
          </cell>
          <cell r="AA32">
            <v>-67674</v>
          </cell>
          <cell r="AB32">
            <v>-235078</v>
          </cell>
          <cell r="AC32">
            <v>-68772</v>
          </cell>
          <cell r="AD32">
            <v>-107491</v>
          </cell>
          <cell r="AE32">
            <v>-79152</v>
          </cell>
          <cell r="AF32">
            <v>-104544</v>
          </cell>
          <cell r="AG32">
            <v>-359959</v>
          </cell>
          <cell r="AH32">
            <v>-114812</v>
          </cell>
          <cell r="AI32">
            <v>-150671</v>
          </cell>
          <cell r="AJ32">
            <v>-108421</v>
          </cell>
          <cell r="AK32">
            <v>-395003.8</v>
          </cell>
          <cell r="AL32">
            <v>-768907.8</v>
          </cell>
          <cell r="AM32">
            <v>-116917.53855467426</v>
          </cell>
          <cell r="AN32">
            <v>-114537.04124105359</v>
          </cell>
          <cell r="AO32">
            <v>-51287.676039141967</v>
          </cell>
          <cell r="AP32">
            <v>-87798.901312995324</v>
          </cell>
          <cell r="AQ32">
            <v>-370541.15714786516</v>
          </cell>
          <cell r="AR32">
            <v>-62440.6290851472</v>
          </cell>
          <cell r="AS32">
            <v>-172872.34129821174</v>
          </cell>
          <cell r="AT32">
            <v>-173502.81796893265</v>
          </cell>
          <cell r="AU32">
            <v>-73954.550933491351</v>
          </cell>
          <cell r="AV32">
            <v>-482770.33928578289</v>
          </cell>
          <cell r="AW32">
            <v>-124319.14020401222</v>
          </cell>
          <cell r="AX32">
            <v>-124776.95320082501</v>
          </cell>
          <cell r="AY32">
            <v>-125235.83205274056</v>
          </cell>
          <cell r="AZ32">
            <v>-125695.77948590227</v>
          </cell>
          <cell r="BA32">
            <v>-500027.70494348009</v>
          </cell>
          <cell r="BI32" t="str">
            <v>mstag:capitalExpendituresDevelopment</v>
          </cell>
          <cell r="BJ32">
            <v>3</v>
          </cell>
          <cell r="BK32" t="str">
            <v>ISO4217:USD</v>
          </cell>
          <cell r="BL32" t="b">
            <v>1</v>
          </cell>
          <cell r="BM32" t="b">
            <v>0</v>
          </cell>
        </row>
        <row r="33">
          <cell r="B33" t="str">
            <v>Investment in land held for devel</v>
          </cell>
          <cell r="D33">
            <v>-21713</v>
          </cell>
          <cell r="E33">
            <v>-13038</v>
          </cell>
          <cell r="F33">
            <v>-9737</v>
          </cell>
          <cell r="G33">
            <v>-9514</v>
          </cell>
          <cell r="H33">
            <v>-54002</v>
          </cell>
          <cell r="I33">
            <v>-9796</v>
          </cell>
          <cell r="J33">
            <v>-8365</v>
          </cell>
          <cell r="K33">
            <v>-6244</v>
          </cell>
          <cell r="L33">
            <v>-5433</v>
          </cell>
          <cell r="M33">
            <v>-29838</v>
          </cell>
          <cell r="N33">
            <v>-925</v>
          </cell>
          <cell r="O33">
            <v>-5768</v>
          </cell>
          <cell r="P33">
            <v>-5136</v>
          </cell>
          <cell r="Q33">
            <v>-15821</v>
          </cell>
          <cell r="R33">
            <v>-27650</v>
          </cell>
          <cell r="S33">
            <v>-5543</v>
          </cell>
          <cell r="T33">
            <v>-13064</v>
          </cell>
          <cell r="U33">
            <v>-3751</v>
          </cell>
          <cell r="V33">
            <v>-11774</v>
          </cell>
          <cell r="W33">
            <v>-34132</v>
          </cell>
          <cell r="X33">
            <v>-45695</v>
          </cell>
          <cell r="Y33">
            <v>-13079</v>
          </cell>
          <cell r="Z33">
            <v>-11146</v>
          </cell>
          <cell r="AA33">
            <v>-21516</v>
          </cell>
          <cell r="AB33">
            <v>-91436</v>
          </cell>
          <cell r="AC33">
            <v>-11198</v>
          </cell>
          <cell r="AD33">
            <v>-16619</v>
          </cell>
          <cell r="AE33">
            <v>-24247</v>
          </cell>
          <cell r="AF33">
            <v>-27912</v>
          </cell>
          <cell r="AG33">
            <v>-79976</v>
          </cell>
          <cell r="AH33">
            <v>-66963</v>
          </cell>
          <cell r="AI33">
            <v>-28627</v>
          </cell>
          <cell r="AJ33">
            <v>-8746</v>
          </cell>
          <cell r="AK33">
            <v>0</v>
          </cell>
          <cell r="AL33">
            <v>-104336</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I33" t="str">
            <v>mstag:capitalExpendituresDevelopment</v>
          </cell>
          <cell r="BJ33">
            <v>3</v>
          </cell>
          <cell r="BK33" t="str">
            <v>ISO4217:USD</v>
          </cell>
          <cell r="BL33" t="b">
            <v>1</v>
          </cell>
          <cell r="BM33" t="b">
            <v>0</v>
          </cell>
        </row>
        <row r="34">
          <cell r="B34" t="str">
            <v>Increase in deferred leasing costs</v>
          </cell>
          <cell r="D34">
            <v>-3979</v>
          </cell>
          <cell r="E34">
            <v>-9406</v>
          </cell>
          <cell r="F34">
            <v>-4110</v>
          </cell>
          <cell r="G34">
            <v>-640</v>
          </cell>
          <cell r="H34">
            <v>-18135</v>
          </cell>
          <cell r="I34">
            <v>-4562</v>
          </cell>
          <cell r="J34">
            <v>-3229</v>
          </cell>
          <cell r="K34">
            <v>-8338</v>
          </cell>
          <cell r="L34">
            <v>-2657</v>
          </cell>
          <cell r="M34">
            <v>-18786</v>
          </cell>
          <cell r="N34">
            <v>-5122</v>
          </cell>
          <cell r="O34">
            <v>-5487</v>
          </cell>
          <cell r="P34">
            <v>-6378</v>
          </cell>
          <cell r="Q34">
            <v>-5999</v>
          </cell>
          <cell r="R34">
            <v>-22986</v>
          </cell>
          <cell r="S34">
            <v>-4740</v>
          </cell>
          <cell r="T34">
            <v>-5721</v>
          </cell>
          <cell r="U34">
            <v>-12109</v>
          </cell>
          <cell r="V34">
            <v>-6990</v>
          </cell>
          <cell r="W34">
            <v>-29560</v>
          </cell>
          <cell r="X34">
            <v>-14376</v>
          </cell>
          <cell r="Y34">
            <v>-9856</v>
          </cell>
          <cell r="Z34">
            <v>-2930</v>
          </cell>
          <cell r="AA34">
            <v>-9971</v>
          </cell>
          <cell r="AB34">
            <v>-37133</v>
          </cell>
          <cell r="AC34">
            <v>-5244</v>
          </cell>
          <cell r="AD34">
            <v>-6067</v>
          </cell>
          <cell r="AE34">
            <v>-9485</v>
          </cell>
          <cell r="AF34">
            <v>-8238</v>
          </cell>
          <cell r="AG34">
            <v>-29034</v>
          </cell>
          <cell r="AH34">
            <v>-11301</v>
          </cell>
          <cell r="AI34">
            <v>-10683</v>
          </cell>
          <cell r="AJ34">
            <v>-14111</v>
          </cell>
          <cell r="AK34">
            <v>0</v>
          </cell>
          <cell r="AL34">
            <v>-36095</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I34" t="str">
            <v>mstag:otherCashFlow</v>
          </cell>
          <cell r="BJ34">
            <v>3</v>
          </cell>
          <cell r="BK34" t="str">
            <v>ISO4217:USD</v>
          </cell>
          <cell r="BL34" t="b">
            <v>0</v>
          </cell>
          <cell r="BM34" t="b">
            <v>0</v>
          </cell>
        </row>
        <row r="36">
          <cell r="B36" t="str">
            <v>Net cash used in investing activities</v>
          </cell>
          <cell r="D36">
            <v>-111023</v>
          </cell>
          <cell r="E36">
            <v>-38089</v>
          </cell>
          <cell r="F36">
            <v>-81953</v>
          </cell>
          <cell r="G36">
            <v>-2133</v>
          </cell>
          <cell r="H36">
            <v>-233198</v>
          </cell>
          <cell r="I36">
            <v>-51911</v>
          </cell>
          <cell r="J36">
            <v>-34280</v>
          </cell>
          <cell r="K36">
            <v>-112802</v>
          </cell>
          <cell r="L36">
            <v>27374</v>
          </cell>
          <cell r="M36">
            <v>-171619</v>
          </cell>
          <cell r="N36">
            <v>-34762</v>
          </cell>
          <cell r="O36">
            <v>-2458</v>
          </cell>
          <cell r="P36">
            <v>-44774</v>
          </cell>
          <cell r="Q36">
            <v>-109994</v>
          </cell>
          <cell r="R36">
            <v>-191988</v>
          </cell>
          <cell r="S36">
            <v>-44082</v>
          </cell>
          <cell r="T36">
            <v>-78050</v>
          </cell>
          <cell r="U36">
            <v>-156398</v>
          </cell>
          <cell r="V36">
            <v>-94763</v>
          </cell>
          <cell r="W36">
            <v>-373293</v>
          </cell>
          <cell r="X36">
            <v>-131132</v>
          </cell>
          <cell r="Y36">
            <v>-140351</v>
          </cell>
          <cell r="Z36">
            <v>-78370</v>
          </cell>
          <cell r="AA36">
            <v>63220</v>
          </cell>
          <cell r="AB36">
            <v>-286633</v>
          </cell>
          <cell r="AC36">
            <v>14891</v>
          </cell>
          <cell r="AD36">
            <v>40983</v>
          </cell>
          <cell r="AE36">
            <v>-226465</v>
          </cell>
          <cell r="AF36">
            <v>-184679</v>
          </cell>
          <cell r="AG36">
            <v>-355270</v>
          </cell>
          <cell r="AH36">
            <v>-235828</v>
          </cell>
          <cell r="AI36">
            <v>-180533</v>
          </cell>
          <cell r="AJ36">
            <v>-101362</v>
          </cell>
          <cell r="AK36">
            <v>-527218.30000000005</v>
          </cell>
          <cell r="AL36">
            <v>-1044941.3</v>
          </cell>
          <cell r="AM36">
            <v>-80742.538554674262</v>
          </cell>
          <cell r="AN36">
            <v>353637.95875894639</v>
          </cell>
          <cell r="AO36">
            <v>-40112.676039141967</v>
          </cell>
          <cell r="AP36">
            <v>-76623.901312995324</v>
          </cell>
          <cell r="AQ36">
            <v>156158.84285213487</v>
          </cell>
          <cell r="AR36">
            <v>-73765.6290851472</v>
          </cell>
          <cell r="AS36">
            <v>-184197.34129821174</v>
          </cell>
          <cell r="AT36">
            <v>-184827.81796893265</v>
          </cell>
          <cell r="AU36">
            <v>-85279.550933491351</v>
          </cell>
          <cell r="AV36">
            <v>-528070.33928578289</v>
          </cell>
          <cell r="AW36">
            <v>-140644.14020401222</v>
          </cell>
          <cell r="AX36">
            <v>-141101.95320082502</v>
          </cell>
          <cell r="AY36">
            <v>-141560.83205274056</v>
          </cell>
          <cell r="AZ36">
            <v>-142020.77948590228</v>
          </cell>
          <cell r="BA36">
            <v>-565327.70494348009</v>
          </cell>
        </row>
        <row r="38">
          <cell r="B38" t="str">
            <v>Net proceeds from issuance of common shares</v>
          </cell>
          <cell r="D38">
            <v>2182</v>
          </cell>
          <cell r="E38">
            <v>5990</v>
          </cell>
          <cell r="F38">
            <v>10006</v>
          </cell>
          <cell r="G38">
            <v>13360</v>
          </cell>
          <cell r="H38">
            <v>31538</v>
          </cell>
          <cell r="I38">
            <v>15317</v>
          </cell>
          <cell r="J38">
            <v>16567</v>
          </cell>
          <cell r="K38">
            <v>20101</v>
          </cell>
          <cell r="L38">
            <v>15643</v>
          </cell>
          <cell r="M38">
            <v>67628</v>
          </cell>
          <cell r="N38">
            <v>19841</v>
          </cell>
          <cell r="O38">
            <v>35406</v>
          </cell>
          <cell r="P38">
            <v>28454</v>
          </cell>
          <cell r="Q38">
            <v>122683</v>
          </cell>
          <cell r="R38">
            <v>206384</v>
          </cell>
          <cell r="S38">
            <v>35371</v>
          </cell>
          <cell r="T38">
            <v>16240</v>
          </cell>
          <cell r="U38">
            <v>17874</v>
          </cell>
          <cell r="V38">
            <v>15686</v>
          </cell>
          <cell r="W38">
            <v>85171</v>
          </cell>
          <cell r="X38">
            <v>22291</v>
          </cell>
          <cell r="Y38">
            <v>26990</v>
          </cell>
          <cell r="Z38">
            <v>18884</v>
          </cell>
          <cell r="AA38">
            <v>19349</v>
          </cell>
          <cell r="AB38">
            <v>87514</v>
          </cell>
          <cell r="AC38">
            <v>14855</v>
          </cell>
          <cell r="AD38">
            <v>25296</v>
          </cell>
          <cell r="AE38">
            <v>21034</v>
          </cell>
          <cell r="AF38">
            <v>25858</v>
          </cell>
          <cell r="AG38">
            <v>87043</v>
          </cell>
          <cell r="AH38">
            <v>22953</v>
          </cell>
          <cell r="AI38">
            <v>16500</v>
          </cell>
          <cell r="AJ38">
            <v>-36323</v>
          </cell>
          <cell r="AK38">
            <v>17723</v>
          </cell>
          <cell r="AL38">
            <v>20853</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I38" t="str">
            <v>mstag:proceedsFromIssuanceFundsUsedToRepurchaseCommonStock</v>
          </cell>
          <cell r="BJ38">
            <v>3</v>
          </cell>
          <cell r="BK38" t="str">
            <v>ISO4217:USD</v>
          </cell>
          <cell r="BL38" t="b">
            <v>0</v>
          </cell>
          <cell r="BM38" t="b">
            <v>0</v>
          </cell>
        </row>
        <row r="39">
          <cell r="B39" t="str">
            <v>Net proceeds from issuance of pref. units</v>
          </cell>
          <cell r="D39">
            <v>0</v>
          </cell>
          <cell r="E39">
            <v>0</v>
          </cell>
          <cell r="F39">
            <v>0</v>
          </cell>
          <cell r="G39">
            <v>0</v>
          </cell>
          <cell r="H39">
            <v>0</v>
          </cell>
          <cell r="I39">
            <v>0</v>
          </cell>
          <cell r="J39">
            <v>22979</v>
          </cell>
          <cell r="K39">
            <v>-25</v>
          </cell>
          <cell r="L39">
            <v>0</v>
          </cell>
          <cell r="M39">
            <v>22954</v>
          </cell>
          <cell r="N39">
            <v>0</v>
          </cell>
          <cell r="O39">
            <v>0</v>
          </cell>
          <cell r="P39">
            <v>0</v>
          </cell>
          <cell r="Q39">
            <v>0</v>
          </cell>
          <cell r="R39">
            <v>0</v>
          </cell>
          <cell r="S39">
            <v>0</v>
          </cell>
          <cell r="T39">
            <v>0</v>
          </cell>
          <cell r="U39">
            <v>0</v>
          </cell>
          <cell r="V39">
            <v>0</v>
          </cell>
          <cell r="W39">
            <v>0</v>
          </cell>
          <cell r="X39">
            <v>0</v>
          </cell>
          <cell r="Y39">
            <v>42889</v>
          </cell>
          <cell r="Z39">
            <v>5797</v>
          </cell>
          <cell r="AA39">
            <v>0</v>
          </cell>
          <cell r="AB39">
            <v>48686</v>
          </cell>
          <cell r="AC39">
            <v>0</v>
          </cell>
          <cell r="AD39">
            <v>0</v>
          </cell>
          <cell r="AE39">
            <v>0</v>
          </cell>
          <cell r="AF39">
            <v>26305</v>
          </cell>
          <cell r="AG39">
            <v>26305</v>
          </cell>
          <cell r="AH39">
            <v>-4</v>
          </cell>
          <cell r="AI39">
            <v>4</v>
          </cell>
          <cell r="AJ39">
            <v>76307</v>
          </cell>
          <cell r="AK39">
            <v>100000</v>
          </cell>
          <cell r="AL39">
            <v>176307</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I39" t="str">
            <v>mstag:issuancesOfPreferredStock</v>
          </cell>
          <cell r="BJ39">
            <v>3</v>
          </cell>
          <cell r="BK39" t="str">
            <v>ISO4217:USD</v>
          </cell>
          <cell r="BL39" t="b">
            <v>0</v>
          </cell>
          <cell r="BM39" t="b">
            <v>0</v>
          </cell>
        </row>
        <row r="40">
          <cell r="B40" t="str">
            <v>Retirement of convertible debentures</v>
          </cell>
          <cell r="D40">
            <v>0</v>
          </cell>
          <cell r="E40">
            <v>0</v>
          </cell>
          <cell r="F40">
            <v>-597</v>
          </cell>
          <cell r="G40">
            <v>0</v>
          </cell>
          <cell r="H40">
            <v>-597</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I40" t="str">
            <v>mstag:proceedsFromIssuanceAndCashUsedToRepayLongTermDebt</v>
          </cell>
          <cell r="BJ40">
            <v>3</v>
          </cell>
          <cell r="BK40" t="str">
            <v>ISO4217:USD</v>
          </cell>
          <cell r="BL40" t="b">
            <v>0</v>
          </cell>
          <cell r="BM40" t="b">
            <v>0</v>
          </cell>
        </row>
        <row r="41">
          <cell r="B41" t="str">
            <v>Redemption of preferred shares</v>
          </cell>
          <cell r="D41">
            <v>0</v>
          </cell>
          <cell r="E41">
            <v>0</v>
          </cell>
          <cell r="F41">
            <v>0</v>
          </cell>
          <cell r="G41">
            <v>0</v>
          </cell>
          <cell r="H41">
            <v>0</v>
          </cell>
          <cell r="I41">
            <v>0</v>
          </cell>
          <cell r="J41">
            <v>0</v>
          </cell>
          <cell r="K41">
            <v>-125063</v>
          </cell>
          <cell r="L41">
            <v>0</v>
          </cell>
          <cell r="M41">
            <v>-125063</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-74228</v>
          </cell>
          <cell r="AJ41">
            <v>74228</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I41" t="str">
            <v>mstag:redemptionsRetirementsAndRepurchasesOfPreferredStock</v>
          </cell>
          <cell r="BJ41">
            <v>3</v>
          </cell>
          <cell r="BK41" t="str">
            <v>ISO4217:USD</v>
          </cell>
          <cell r="BL41" t="b">
            <v>1</v>
          </cell>
          <cell r="BM41" t="b">
            <v>0</v>
          </cell>
        </row>
        <row r="42">
          <cell r="B42" t="str">
            <v>Proceeds from issuance of unsecured notes</v>
          </cell>
          <cell r="D42">
            <v>250000</v>
          </cell>
          <cell r="E42">
            <v>0</v>
          </cell>
          <cell r="F42">
            <v>0</v>
          </cell>
          <cell r="G42">
            <v>0</v>
          </cell>
          <cell r="H42">
            <v>250000</v>
          </cell>
          <cell r="I42">
            <v>0</v>
          </cell>
          <cell r="J42">
            <v>0</v>
          </cell>
          <cell r="K42">
            <v>150000</v>
          </cell>
          <cell r="L42">
            <v>-1938</v>
          </cell>
          <cell r="M42">
            <v>148062</v>
          </cell>
          <cell r="N42">
            <v>3683</v>
          </cell>
          <cell r="O42">
            <v>0</v>
          </cell>
          <cell r="P42">
            <v>0</v>
          </cell>
          <cell r="Q42">
            <v>0</v>
          </cell>
          <cell r="R42">
            <v>3683</v>
          </cell>
          <cell r="S42">
            <v>0</v>
          </cell>
          <cell r="T42">
            <v>0</v>
          </cell>
          <cell r="U42">
            <v>197517</v>
          </cell>
          <cell r="V42">
            <v>0</v>
          </cell>
          <cell r="W42">
            <v>197517</v>
          </cell>
          <cell r="X42">
            <v>296424</v>
          </cell>
          <cell r="Y42">
            <v>0</v>
          </cell>
          <cell r="Z42">
            <v>0</v>
          </cell>
          <cell r="AA42">
            <v>0</v>
          </cell>
          <cell r="AB42">
            <v>296424</v>
          </cell>
          <cell r="AC42">
            <v>0</v>
          </cell>
          <cell r="AD42">
            <v>0</v>
          </cell>
          <cell r="AE42">
            <v>0</v>
          </cell>
          <cell r="AF42">
            <v>295393</v>
          </cell>
          <cell r="AG42">
            <v>295393</v>
          </cell>
          <cell r="AH42">
            <v>0</v>
          </cell>
          <cell r="AI42">
            <v>0</v>
          </cell>
          <cell r="AJ42">
            <v>446205</v>
          </cell>
          <cell r="AK42">
            <v>0</v>
          </cell>
          <cell r="AL42">
            <v>446205</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I42" t="str">
            <v>mstag:proceedsFromIssuanceAndCashUsedToRepayLongTermDebt</v>
          </cell>
          <cell r="BJ42">
            <v>3</v>
          </cell>
          <cell r="BK42" t="str">
            <v>ISO4217:USD</v>
          </cell>
          <cell r="BL42" t="b">
            <v>0</v>
          </cell>
          <cell r="BM42" t="b">
            <v>0</v>
          </cell>
        </row>
        <row r="43">
          <cell r="B43" t="str">
            <v>Repayments of unsecured notes</v>
          </cell>
          <cell r="D43">
            <v>0</v>
          </cell>
          <cell r="E43">
            <v>0</v>
          </cell>
          <cell r="F43">
            <v>0</v>
          </cell>
          <cell r="G43">
            <v>0</v>
          </cell>
          <cell r="H43">
            <v>0</v>
          </cell>
          <cell r="I43">
            <v>0</v>
          </cell>
          <cell r="J43">
            <v>-100000</v>
          </cell>
          <cell r="K43">
            <v>0</v>
          </cell>
          <cell r="L43">
            <v>0</v>
          </cell>
          <cell r="M43">
            <v>-100000</v>
          </cell>
          <cell r="N43">
            <v>0</v>
          </cell>
          <cell r="O43">
            <v>-23739</v>
          </cell>
          <cell r="P43">
            <v>0</v>
          </cell>
          <cell r="Q43">
            <v>-50000</v>
          </cell>
          <cell r="R43">
            <v>-73739</v>
          </cell>
          <cell r="S43">
            <v>0</v>
          </cell>
          <cell r="T43">
            <v>0</v>
          </cell>
          <cell r="U43">
            <v>-100000</v>
          </cell>
          <cell r="V43">
            <v>0</v>
          </cell>
          <cell r="W43">
            <v>-100000</v>
          </cell>
          <cell r="X43">
            <v>0</v>
          </cell>
          <cell r="Y43">
            <v>0</v>
          </cell>
          <cell r="Z43">
            <v>0</v>
          </cell>
          <cell r="AA43">
            <v>0</v>
          </cell>
          <cell r="AB43">
            <v>0</v>
          </cell>
          <cell r="AC43">
            <v>0</v>
          </cell>
          <cell r="AD43">
            <v>0</v>
          </cell>
          <cell r="AE43">
            <v>0</v>
          </cell>
          <cell r="AF43">
            <v>-100000</v>
          </cell>
          <cell r="AG43">
            <v>-100000</v>
          </cell>
          <cell r="AH43">
            <v>0</v>
          </cell>
          <cell r="AI43">
            <v>0</v>
          </cell>
          <cell r="AJ43">
            <v>-250000</v>
          </cell>
          <cell r="AK43">
            <v>0</v>
          </cell>
          <cell r="AL43">
            <v>-250000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I43" t="str">
            <v>mstag:proceedsFromIssuanceAndCashUsedToRepayLongTermDebt</v>
          </cell>
          <cell r="BJ43">
            <v>3</v>
          </cell>
          <cell r="BK43" t="str">
            <v>ISO4217:USD</v>
          </cell>
          <cell r="BL43" t="b">
            <v>0</v>
          </cell>
          <cell r="BM43" t="b">
            <v>0</v>
          </cell>
        </row>
        <row r="44">
          <cell r="B44" t="str">
            <v>Proceeds from mortgage loans</v>
          </cell>
          <cell r="D44">
            <v>0</v>
          </cell>
          <cell r="E44">
            <v>0</v>
          </cell>
          <cell r="F44">
            <v>0</v>
          </cell>
          <cell r="G44">
            <v>0</v>
          </cell>
          <cell r="H44">
            <v>0</v>
          </cell>
          <cell r="I44">
            <v>9695</v>
          </cell>
          <cell r="J44">
            <v>-3962</v>
          </cell>
          <cell r="K44">
            <v>1388</v>
          </cell>
          <cell r="L44">
            <v>1245</v>
          </cell>
          <cell r="M44">
            <v>8366</v>
          </cell>
          <cell r="N44">
            <v>100</v>
          </cell>
          <cell r="O44">
            <v>1112</v>
          </cell>
          <cell r="P44">
            <v>-288</v>
          </cell>
          <cell r="Q44">
            <v>299</v>
          </cell>
          <cell r="R44">
            <v>1223</v>
          </cell>
          <cell r="S44">
            <v>5953</v>
          </cell>
          <cell r="T44">
            <v>1770</v>
          </cell>
          <cell r="U44">
            <v>1802</v>
          </cell>
          <cell r="V44">
            <v>93</v>
          </cell>
          <cell r="W44">
            <v>9618</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15249.048994738609</v>
          </cell>
          <cell r="AN44">
            <v>-71775.757237061975</v>
          </cell>
          <cell r="AO44">
            <v>7735.4146118515455</v>
          </cell>
          <cell r="AP44">
            <v>15213.430591535347</v>
          </cell>
          <cell r="AQ44">
            <v>-33577.86303893647</v>
          </cell>
          <cell r="AR44">
            <v>14609.428860357126</v>
          </cell>
          <cell r="AS44">
            <v>36557.799877579935</v>
          </cell>
          <cell r="AT44">
            <v>37157.295383615856</v>
          </cell>
          <cell r="AU44">
            <v>17129.686097867438</v>
          </cell>
          <cell r="AV44">
            <v>105454.21021942035</v>
          </cell>
          <cell r="AW44">
            <v>28084.213479078739</v>
          </cell>
          <cell r="AX44">
            <v>28093.698937075562</v>
          </cell>
          <cell r="AY44">
            <v>28861.294228456041</v>
          </cell>
          <cell r="AZ44">
            <v>28912.109796779187</v>
          </cell>
          <cell r="BA44">
            <v>113951.31644138953</v>
          </cell>
          <cell r="BI44" t="str">
            <v>mstag:proceedsFromIssuanceAndCashUsedToRepayLongTermDebt</v>
          </cell>
          <cell r="BJ44">
            <v>3</v>
          </cell>
          <cell r="BK44" t="str">
            <v>ISO4217:USD</v>
          </cell>
          <cell r="BL44" t="b">
            <v>0</v>
          </cell>
          <cell r="BM44" t="b">
            <v>0</v>
          </cell>
        </row>
        <row r="45">
          <cell r="B45" t="str">
            <v>Repayments of mortgage loans</v>
          </cell>
          <cell r="D45">
            <v>-5129</v>
          </cell>
          <cell r="E45">
            <v>-2260</v>
          </cell>
          <cell r="F45">
            <v>-6514</v>
          </cell>
          <cell r="G45">
            <v>-17879</v>
          </cell>
          <cell r="H45">
            <v>-31782</v>
          </cell>
          <cell r="I45">
            <v>-1896</v>
          </cell>
          <cell r="J45">
            <v>-1934</v>
          </cell>
          <cell r="K45">
            <v>-2004</v>
          </cell>
          <cell r="L45">
            <v>-3476</v>
          </cell>
          <cell r="M45">
            <v>-9310</v>
          </cell>
          <cell r="N45">
            <v>-1892</v>
          </cell>
          <cell r="O45">
            <v>-4783</v>
          </cell>
          <cell r="P45">
            <v>-1948</v>
          </cell>
          <cell r="Q45">
            <v>-6813</v>
          </cell>
          <cell r="R45">
            <v>-15436</v>
          </cell>
          <cell r="S45">
            <v>-8061</v>
          </cell>
          <cell r="T45">
            <v>-1982</v>
          </cell>
          <cell r="U45">
            <v>-4008</v>
          </cell>
          <cell r="V45">
            <v>-9541</v>
          </cell>
          <cell r="W45">
            <v>-23592</v>
          </cell>
          <cell r="X45">
            <v>-4239</v>
          </cell>
          <cell r="Y45">
            <v>-92417</v>
          </cell>
          <cell r="Z45">
            <v>-30112</v>
          </cell>
          <cell r="AA45">
            <v>-47158</v>
          </cell>
          <cell r="AB45">
            <v>-173926</v>
          </cell>
          <cell r="AC45">
            <v>-21034</v>
          </cell>
          <cell r="AD45">
            <v>-8151</v>
          </cell>
          <cell r="AE45">
            <v>-8401</v>
          </cell>
          <cell r="AF45">
            <v>-18820</v>
          </cell>
          <cell r="AG45">
            <v>-56406</v>
          </cell>
          <cell r="AH45">
            <v>-2111</v>
          </cell>
          <cell r="AI45">
            <v>-3687</v>
          </cell>
          <cell r="AJ45">
            <v>-2320</v>
          </cell>
          <cell r="AK45">
            <v>17988.999999999942</v>
          </cell>
          <cell r="AL45">
            <v>9870.9999999999418</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I45" t="str">
            <v>mstag:proceedsFromIssuanceAndCashUsedToRepayLongTermDebt</v>
          </cell>
          <cell r="BJ45">
            <v>3</v>
          </cell>
          <cell r="BK45" t="str">
            <v>ISO4217:USD</v>
          </cell>
          <cell r="BL45" t="b">
            <v>0</v>
          </cell>
          <cell r="BM45" t="b">
            <v>0</v>
          </cell>
        </row>
        <row r="46">
          <cell r="B46" t="str">
            <v>Proceeds from credit facility</v>
          </cell>
          <cell r="D46">
            <v>73000</v>
          </cell>
          <cell r="E46">
            <v>53200</v>
          </cell>
          <cell r="F46">
            <v>127000</v>
          </cell>
          <cell r="G46">
            <v>52000</v>
          </cell>
          <cell r="H46">
            <v>305200</v>
          </cell>
          <cell r="I46">
            <v>40000</v>
          </cell>
          <cell r="J46">
            <v>145100</v>
          </cell>
          <cell r="K46">
            <v>205900</v>
          </cell>
          <cell r="L46">
            <v>53000</v>
          </cell>
          <cell r="M46">
            <v>444000</v>
          </cell>
          <cell r="N46">
            <v>202000</v>
          </cell>
          <cell r="O46">
            <v>35050</v>
          </cell>
          <cell r="P46">
            <v>90800</v>
          </cell>
          <cell r="Q46">
            <v>126100</v>
          </cell>
          <cell r="R46">
            <v>453950</v>
          </cell>
          <cell r="S46">
            <v>65500</v>
          </cell>
          <cell r="T46">
            <v>86256</v>
          </cell>
          <cell r="U46">
            <v>146300</v>
          </cell>
          <cell r="V46">
            <v>179744</v>
          </cell>
          <cell r="W46">
            <v>477800</v>
          </cell>
          <cell r="X46">
            <v>136500</v>
          </cell>
          <cell r="Y46">
            <v>203050</v>
          </cell>
          <cell r="Z46">
            <v>122100</v>
          </cell>
          <cell r="AA46">
            <v>323150</v>
          </cell>
          <cell r="AB46">
            <v>784800</v>
          </cell>
          <cell r="AC46">
            <v>86050</v>
          </cell>
          <cell r="AD46">
            <v>148395</v>
          </cell>
          <cell r="AE46">
            <v>184650</v>
          </cell>
          <cell r="AF46">
            <v>305930</v>
          </cell>
          <cell r="AG46">
            <v>725025</v>
          </cell>
          <cell r="AH46">
            <v>330950</v>
          </cell>
          <cell r="AI46">
            <v>221250</v>
          </cell>
          <cell r="AJ46">
            <v>365550</v>
          </cell>
          <cell r="AK46">
            <v>394926.51818750007</v>
          </cell>
          <cell r="AL46">
            <v>1312676.5181875001</v>
          </cell>
          <cell r="AM46">
            <v>60996.195978954434</v>
          </cell>
          <cell r="AN46">
            <v>-287103.02894824784</v>
          </cell>
          <cell r="AO46">
            <v>30941.658447406186</v>
          </cell>
          <cell r="AP46">
            <v>60853.722366141403</v>
          </cell>
          <cell r="AQ46">
            <v>-134311.45215574582</v>
          </cell>
          <cell r="AR46">
            <v>58437.715441428511</v>
          </cell>
          <cell r="AS46">
            <v>146231.19951031971</v>
          </cell>
          <cell r="AT46">
            <v>148629.18153446342</v>
          </cell>
          <cell r="AU46">
            <v>68518.744391469736</v>
          </cell>
          <cell r="AV46">
            <v>421816.84087768139</v>
          </cell>
          <cell r="AW46">
            <v>112336.853916315</v>
          </cell>
          <cell r="AX46">
            <v>112374.79574830228</v>
          </cell>
          <cell r="AY46">
            <v>115445.17691382422</v>
          </cell>
          <cell r="AZ46">
            <v>115648.43918711676</v>
          </cell>
          <cell r="BA46">
            <v>455805.26576555823</v>
          </cell>
          <cell r="BI46" t="str">
            <v>mstag:proceedsFromIssuanceAndCashUsedToRepayLongTermDebt</v>
          </cell>
          <cell r="BJ46">
            <v>3</v>
          </cell>
          <cell r="BK46" t="str">
            <v>ISO4217:USD</v>
          </cell>
          <cell r="BL46" t="b">
            <v>0</v>
          </cell>
          <cell r="BM46" t="b">
            <v>0</v>
          </cell>
        </row>
        <row r="47">
          <cell r="B47" t="str">
            <v>Repayments on credit facility</v>
          </cell>
          <cell r="D47">
            <v>-249000</v>
          </cell>
          <cell r="E47">
            <v>-41200</v>
          </cell>
          <cell r="F47">
            <v>-49000</v>
          </cell>
          <cell r="G47">
            <v>-74000</v>
          </cell>
          <cell r="H47">
            <v>-413200</v>
          </cell>
          <cell r="I47">
            <v>-10000</v>
          </cell>
          <cell r="J47">
            <v>-77100</v>
          </cell>
          <cell r="K47">
            <v>-168900</v>
          </cell>
          <cell r="L47">
            <v>-124000</v>
          </cell>
          <cell r="M47">
            <v>-380000</v>
          </cell>
          <cell r="N47">
            <v>-176000</v>
          </cell>
          <cell r="O47">
            <v>-72050</v>
          </cell>
          <cell r="P47">
            <v>-59800</v>
          </cell>
          <cell r="Q47">
            <v>-111100</v>
          </cell>
          <cell r="R47">
            <v>-418950</v>
          </cell>
          <cell r="S47">
            <v>-49500</v>
          </cell>
          <cell r="T47">
            <v>-50256</v>
          </cell>
          <cell r="U47">
            <v>-120200</v>
          </cell>
          <cell r="V47">
            <v>-112844</v>
          </cell>
          <cell r="W47">
            <v>-332800</v>
          </cell>
          <cell r="X47">
            <v>-323500</v>
          </cell>
          <cell r="Y47">
            <v>-96050</v>
          </cell>
          <cell r="Z47">
            <v>-65100</v>
          </cell>
          <cell r="AA47">
            <v>-356700</v>
          </cell>
          <cell r="AB47">
            <v>-841350</v>
          </cell>
          <cell r="AC47">
            <v>-96500</v>
          </cell>
          <cell r="AD47">
            <v>-178915</v>
          </cell>
          <cell r="AE47">
            <v>-70650</v>
          </cell>
          <cell r="AF47">
            <v>-387450</v>
          </cell>
          <cell r="AG47">
            <v>-733515</v>
          </cell>
          <cell r="AH47">
            <v>-179950</v>
          </cell>
          <cell r="AI47">
            <v>-76250</v>
          </cell>
          <cell r="AJ47">
            <v>-535550</v>
          </cell>
          <cell r="AK47">
            <v>0</v>
          </cell>
          <cell r="AL47">
            <v>-791750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I47" t="str">
            <v>mstag:proceedsFromIssuanceAndCashUsedToRepayLongTermDebt</v>
          </cell>
          <cell r="BJ47">
            <v>3</v>
          </cell>
          <cell r="BK47" t="str">
            <v>ISO4217:USD</v>
          </cell>
          <cell r="BL47" t="b">
            <v>0</v>
          </cell>
          <cell r="BM47" t="b">
            <v>0</v>
          </cell>
        </row>
        <row r="48">
          <cell r="B48" t="str">
            <v>Increase in deferred financing costs</v>
          </cell>
          <cell r="D48">
            <v>-3965</v>
          </cell>
          <cell r="E48">
            <v>4107</v>
          </cell>
          <cell r="F48">
            <v>137</v>
          </cell>
          <cell r="G48">
            <v>-4037</v>
          </cell>
          <cell r="H48">
            <v>-3758</v>
          </cell>
          <cell r="I48">
            <v>0</v>
          </cell>
          <cell r="J48">
            <v>2</v>
          </cell>
          <cell r="K48">
            <v>-1825</v>
          </cell>
          <cell r="L48">
            <v>680</v>
          </cell>
          <cell r="M48">
            <v>-1143</v>
          </cell>
          <cell r="N48">
            <v>-2492</v>
          </cell>
          <cell r="O48">
            <v>-48</v>
          </cell>
          <cell r="P48">
            <v>-23</v>
          </cell>
          <cell r="Q48">
            <v>-77</v>
          </cell>
          <cell r="R48">
            <v>-2640</v>
          </cell>
          <cell r="S48">
            <v>-571</v>
          </cell>
          <cell r="T48">
            <v>65</v>
          </cell>
          <cell r="U48">
            <v>231</v>
          </cell>
          <cell r="V48">
            <v>76</v>
          </cell>
          <cell r="W48">
            <v>-199</v>
          </cell>
          <cell r="X48">
            <v>-6</v>
          </cell>
          <cell r="Y48">
            <v>1829</v>
          </cell>
          <cell r="Z48">
            <v>-1962</v>
          </cell>
          <cell r="AA48">
            <v>-3326</v>
          </cell>
          <cell r="AB48">
            <v>-3465</v>
          </cell>
          <cell r="AC48">
            <v>-213</v>
          </cell>
          <cell r="AD48">
            <v>-1600</v>
          </cell>
          <cell r="AE48">
            <v>-158</v>
          </cell>
          <cell r="AF48">
            <v>336</v>
          </cell>
          <cell r="AG48">
            <v>-1635</v>
          </cell>
          <cell r="AH48">
            <v>-36</v>
          </cell>
          <cell r="AI48">
            <v>-90</v>
          </cell>
          <cell r="AJ48">
            <v>-841</v>
          </cell>
          <cell r="AK48">
            <v>0</v>
          </cell>
          <cell r="AL48">
            <v>-967</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I48" t="str">
            <v>mstag:otherCashFlow</v>
          </cell>
          <cell r="BJ48">
            <v>3</v>
          </cell>
          <cell r="BK48" t="str">
            <v>ISO4217:USD</v>
          </cell>
          <cell r="BL48" t="b">
            <v>0</v>
          </cell>
          <cell r="BM48" t="b">
            <v>0</v>
          </cell>
        </row>
        <row r="49">
          <cell r="B49" t="str">
            <v>Distributions paid on common shares</v>
          </cell>
          <cell r="D49">
            <v>-38849</v>
          </cell>
          <cell r="E49">
            <v>-39985</v>
          </cell>
          <cell r="F49">
            <v>-40188</v>
          </cell>
          <cell r="G49">
            <v>-43096</v>
          </cell>
          <cell r="H49">
            <v>-162118</v>
          </cell>
          <cell r="I49">
            <v>-43430</v>
          </cell>
          <cell r="J49">
            <v>-43818</v>
          </cell>
          <cell r="K49">
            <v>-44221</v>
          </cell>
          <cell r="L49">
            <v>-45455</v>
          </cell>
          <cell r="M49">
            <v>-176924</v>
          </cell>
          <cell r="N49">
            <v>-45806</v>
          </cell>
          <cell r="O49">
            <v>-46289</v>
          </cell>
          <cell r="P49">
            <v>-47109</v>
          </cell>
          <cell r="Q49">
            <v>-48089</v>
          </cell>
          <cell r="R49">
            <v>-187293</v>
          </cell>
          <cell r="S49">
            <v>-50146</v>
          </cell>
          <cell r="T49">
            <v>-50942</v>
          </cell>
          <cell r="U49">
            <v>-51262</v>
          </cell>
          <cell r="V49">
            <v>-51989</v>
          </cell>
          <cell r="W49">
            <v>-204339</v>
          </cell>
          <cell r="X49">
            <v>-52248</v>
          </cell>
          <cell r="Y49">
            <v>-52787</v>
          </cell>
          <cell r="Z49">
            <v>-53273</v>
          </cell>
          <cell r="AA49">
            <v>-53997</v>
          </cell>
          <cell r="AB49">
            <v>-212305</v>
          </cell>
          <cell r="AC49">
            <v>-54326</v>
          </cell>
          <cell r="AD49">
            <v>-54609</v>
          </cell>
          <cell r="AE49">
            <v>-55070</v>
          </cell>
          <cell r="AF49">
            <v>-55868</v>
          </cell>
          <cell r="AG49">
            <v>-219873</v>
          </cell>
          <cell r="AH49">
            <v>-56364</v>
          </cell>
          <cell r="AI49">
            <v>-56816</v>
          </cell>
          <cell r="AJ49">
            <v>-56565</v>
          </cell>
          <cell r="AK49">
            <v>-62037.041062500008</v>
          </cell>
          <cell r="AL49">
            <v>-231782.04106250001</v>
          </cell>
          <cell r="AM49">
            <v>-62037.041062500008</v>
          </cell>
          <cell r="AN49">
            <v>-62308.256062500004</v>
          </cell>
          <cell r="AO49">
            <v>-65708.44461562502</v>
          </cell>
          <cell r="AP49">
            <v>-65993.22036562502</v>
          </cell>
          <cell r="AQ49">
            <v>-256046.96210625005</v>
          </cell>
          <cell r="AR49">
            <v>-65993.22036562502</v>
          </cell>
          <cell r="AS49">
            <v>-66277.996115625021</v>
          </cell>
          <cell r="AT49">
            <v>-69890.910458906277</v>
          </cell>
          <cell r="AU49">
            <v>-70189.924996406276</v>
          </cell>
          <cell r="AV49">
            <v>-272352.05193656264</v>
          </cell>
          <cell r="AW49">
            <v>-70189.924996406276</v>
          </cell>
          <cell r="AX49">
            <v>-70488.939533906276</v>
          </cell>
          <cell r="AY49">
            <v>-74327.351774976589</v>
          </cell>
          <cell r="AZ49">
            <v>-74641.31703935159</v>
          </cell>
          <cell r="BA49">
            <v>-289647.53334464075</v>
          </cell>
          <cell r="BI49" t="str">
            <v>mstag:cashDividendsPaid</v>
          </cell>
          <cell r="BJ49">
            <v>3</v>
          </cell>
          <cell r="BK49" t="str">
            <v>ISO4217:USD</v>
          </cell>
          <cell r="BL49" t="b">
            <v>1</v>
          </cell>
          <cell r="BM49" t="b">
            <v>0</v>
          </cell>
        </row>
        <row r="50">
          <cell r="B50" t="str">
            <v>Distributions paid on pref. shares</v>
          </cell>
          <cell r="D50">
            <v>-2750</v>
          </cell>
          <cell r="E50">
            <v>-2750</v>
          </cell>
          <cell r="F50">
            <v>-2750</v>
          </cell>
          <cell r="G50">
            <v>-2750</v>
          </cell>
          <cell r="H50">
            <v>-11000</v>
          </cell>
          <cell r="I50">
            <v>-2750</v>
          </cell>
          <cell r="J50">
            <v>-2750</v>
          </cell>
          <cell r="K50">
            <v>-3575</v>
          </cell>
          <cell r="L50">
            <v>0</v>
          </cell>
          <cell r="M50">
            <v>-9075</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I50" t="str">
            <v>mstag:cashDividendsPaid</v>
          </cell>
          <cell r="BJ50">
            <v>3</v>
          </cell>
          <cell r="BK50" t="str">
            <v>ISO4217:USD</v>
          </cell>
          <cell r="BL50" t="b">
            <v>1</v>
          </cell>
          <cell r="BM50" t="b">
            <v>0</v>
          </cell>
        </row>
        <row r="51">
          <cell r="B51" t="str">
            <v>Contributions from minority interests</v>
          </cell>
          <cell r="V51">
            <v>1158</v>
          </cell>
          <cell r="W51">
            <v>1158</v>
          </cell>
          <cell r="X51">
            <v>108</v>
          </cell>
          <cell r="Y51">
            <v>-3818</v>
          </cell>
          <cell r="Z51">
            <v>-222</v>
          </cell>
          <cell r="AA51">
            <v>-5</v>
          </cell>
          <cell r="AB51">
            <v>-3937</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I51" t="str">
            <v>mstag:otherCashFlow</v>
          </cell>
          <cell r="BJ51">
            <v>3</v>
          </cell>
          <cell r="BK51" t="str">
            <v>ISO4217:USD</v>
          </cell>
          <cell r="BL51" t="b">
            <v>0</v>
          </cell>
          <cell r="BM51" t="b">
            <v>0</v>
          </cell>
        </row>
        <row r="52">
          <cell r="B52" t="str">
            <v>Distributions paid on units</v>
          </cell>
          <cell r="D52">
            <v>-5191</v>
          </cell>
          <cell r="E52">
            <v>-5002</v>
          </cell>
          <cell r="F52">
            <v>-4870</v>
          </cell>
          <cell r="G52">
            <v>-4967</v>
          </cell>
          <cell r="H52">
            <v>-20030</v>
          </cell>
          <cell r="I52">
            <v>-5032</v>
          </cell>
          <cell r="J52">
            <v>-5126</v>
          </cell>
          <cell r="K52">
            <v>-5240</v>
          </cell>
          <cell r="L52">
            <v>-5359</v>
          </cell>
          <cell r="M52">
            <v>-20757</v>
          </cell>
          <cell r="N52">
            <v>-6189</v>
          </cell>
          <cell r="O52">
            <v>-9545</v>
          </cell>
          <cell r="P52">
            <v>-4845</v>
          </cell>
          <cell r="Q52">
            <v>-4714</v>
          </cell>
          <cell r="R52">
            <v>-25293</v>
          </cell>
          <cell r="S52">
            <v>-5158</v>
          </cell>
          <cell r="T52">
            <v>-5375</v>
          </cell>
          <cell r="U52">
            <v>-4877</v>
          </cell>
          <cell r="V52">
            <v>-5306</v>
          </cell>
          <cell r="W52">
            <v>-20716</v>
          </cell>
          <cell r="X52">
            <v>-4927</v>
          </cell>
          <cell r="Y52">
            <v>-4939</v>
          </cell>
          <cell r="Z52">
            <v>-5418</v>
          </cell>
          <cell r="AA52">
            <v>-5575</v>
          </cell>
          <cell r="AB52">
            <v>-20859</v>
          </cell>
          <cell r="AC52">
            <v>-5797</v>
          </cell>
          <cell r="AD52">
            <v>-5572</v>
          </cell>
          <cell r="AE52">
            <v>-5507</v>
          </cell>
          <cell r="AF52">
            <v>-5788</v>
          </cell>
          <cell r="AG52">
            <v>-22664</v>
          </cell>
          <cell r="AH52">
            <v>-6606</v>
          </cell>
          <cell r="AI52">
            <v>-6442</v>
          </cell>
          <cell r="AJ52">
            <v>-6790</v>
          </cell>
          <cell r="AK52">
            <v>-7681.9771250000003</v>
          </cell>
          <cell r="AL52">
            <v>-27519.977125000001</v>
          </cell>
          <cell r="AM52">
            <v>-8093.8521250000003</v>
          </cell>
          <cell r="AN52">
            <v>-8093.8521250000013</v>
          </cell>
          <cell r="AO52">
            <v>-8235.9009812500008</v>
          </cell>
          <cell r="AP52">
            <v>-8235.9009812500008</v>
          </cell>
          <cell r="AQ52">
            <v>-32659.506212500004</v>
          </cell>
          <cell r="AR52">
            <v>-8235.9009812500008</v>
          </cell>
          <cell r="AS52">
            <v>-8235.9009812500008</v>
          </cell>
          <cell r="AT52">
            <v>-8385.0522803125004</v>
          </cell>
          <cell r="AU52">
            <v>-8385.0522803125004</v>
          </cell>
          <cell r="AV52">
            <v>-33241.906523124999</v>
          </cell>
          <cell r="AW52">
            <v>-8385.0522803125004</v>
          </cell>
          <cell r="AX52">
            <v>-8385.0522803125004</v>
          </cell>
          <cell r="AY52">
            <v>-8541.6611443281254</v>
          </cell>
          <cell r="AZ52">
            <v>-8541.6611443281254</v>
          </cell>
          <cell r="BA52">
            <v>-33853.426849281255</v>
          </cell>
          <cell r="BI52" t="str">
            <v>mstag:cashDividendsPaid</v>
          </cell>
          <cell r="BJ52">
            <v>3</v>
          </cell>
          <cell r="BK52" t="str">
            <v>ISO4217:USD</v>
          </cell>
          <cell r="BL52" t="b">
            <v>1</v>
          </cell>
          <cell r="BM52" t="b">
            <v>0</v>
          </cell>
        </row>
        <row r="54">
          <cell r="B54" t="str">
            <v>Net cash (used) provided by financing activites</v>
          </cell>
          <cell r="D54">
            <v>20298</v>
          </cell>
          <cell r="E54">
            <v>-27900</v>
          </cell>
          <cell r="F54">
            <v>33224</v>
          </cell>
          <cell r="G54">
            <v>-81369</v>
          </cell>
          <cell r="H54">
            <v>-55747</v>
          </cell>
          <cell r="I54">
            <v>1904</v>
          </cell>
          <cell r="J54">
            <v>-50042</v>
          </cell>
          <cell r="K54">
            <v>26536</v>
          </cell>
          <cell r="L54">
            <v>-109660</v>
          </cell>
          <cell r="M54">
            <v>-131262</v>
          </cell>
          <cell r="N54">
            <v>-6755</v>
          </cell>
          <cell r="O54">
            <v>-84886</v>
          </cell>
          <cell r="P54">
            <v>5241</v>
          </cell>
          <cell r="Q54">
            <v>28289</v>
          </cell>
          <cell r="R54">
            <v>-58111</v>
          </cell>
          <cell r="S54">
            <v>-6612</v>
          </cell>
          <cell r="T54">
            <v>-4224</v>
          </cell>
          <cell r="U54">
            <v>83377</v>
          </cell>
          <cell r="V54">
            <v>17077</v>
          </cell>
          <cell r="W54">
            <v>89618</v>
          </cell>
          <cell r="X54">
            <v>70403</v>
          </cell>
          <cell r="Y54">
            <v>24747</v>
          </cell>
          <cell r="Z54">
            <v>-9306</v>
          </cell>
          <cell r="AA54">
            <v>-124262</v>
          </cell>
          <cell r="AB54">
            <v>-38418</v>
          </cell>
          <cell r="AC54">
            <v>-76965</v>
          </cell>
          <cell r="AD54">
            <v>-75156</v>
          </cell>
          <cell r="AE54">
            <v>65898</v>
          </cell>
          <cell r="AF54">
            <v>85896</v>
          </cell>
          <cell r="AG54">
            <v>-327</v>
          </cell>
          <cell r="AH54">
            <v>108832</v>
          </cell>
          <cell r="AI54">
            <v>20241</v>
          </cell>
          <cell r="AJ54">
            <v>73901</v>
          </cell>
          <cell r="AK54">
            <v>460919.50000000012</v>
          </cell>
          <cell r="AL54">
            <v>663893.50000000012</v>
          </cell>
          <cell r="AM54">
            <v>6114.351786193035</v>
          </cell>
          <cell r="AN54">
            <v>-429280.89437280979</v>
          </cell>
          <cell r="AO54">
            <v>-35267.272537617289</v>
          </cell>
          <cell r="AP54">
            <v>1838.0316108017287</v>
          </cell>
          <cell r="AQ54">
            <v>-456595.78351343237</v>
          </cell>
          <cell r="AR54">
            <v>-1181.9770450893848</v>
          </cell>
          <cell r="AS54">
            <v>108275.10229102462</v>
          </cell>
          <cell r="AT54">
            <v>107510.5141788605</v>
          </cell>
          <cell r="AU54">
            <v>7073.4532126183967</v>
          </cell>
          <cell r="AV54">
            <v>221677.09263741414</v>
          </cell>
          <cell r="AW54">
            <v>61846.090118674962</v>
          </cell>
          <cell r="AX54">
            <v>61594.502871159064</v>
          </cell>
          <cell r="AY54">
            <v>61437.458222975547</v>
          </cell>
          <cell r="AZ54">
            <v>61377.570800216228</v>
          </cell>
          <cell r="BA54">
            <v>246255.6220130258</v>
          </cell>
        </row>
        <row r="56">
          <cell r="B56" t="str">
            <v>Effect of exchange rate on cash</v>
          </cell>
          <cell r="D56">
            <v>0</v>
          </cell>
          <cell r="E56">
            <v>0</v>
          </cell>
          <cell r="F56">
            <v>0</v>
          </cell>
          <cell r="G56">
            <v>0</v>
          </cell>
          <cell r="H56">
            <v>0</v>
          </cell>
          <cell r="I56">
            <v>0</v>
          </cell>
          <cell r="J56">
            <v>0</v>
          </cell>
          <cell r="K56">
            <v>0</v>
          </cell>
          <cell r="L56">
            <v>0</v>
          </cell>
          <cell r="M56">
            <v>0</v>
          </cell>
          <cell r="N56">
            <v>0</v>
          </cell>
          <cell r="O56">
            <v>0</v>
          </cell>
          <cell r="P56">
            <v>-1554</v>
          </cell>
          <cell r="Q56">
            <v>1725</v>
          </cell>
          <cell r="R56">
            <v>171</v>
          </cell>
          <cell r="S56">
            <v>1060</v>
          </cell>
          <cell r="T56">
            <v>-690</v>
          </cell>
          <cell r="U56">
            <v>-203</v>
          </cell>
          <cell r="V56">
            <v>2712</v>
          </cell>
          <cell r="W56">
            <v>2879</v>
          </cell>
          <cell r="X56">
            <v>-760</v>
          </cell>
          <cell r="Y56">
            <v>-1953</v>
          </cell>
          <cell r="Z56">
            <v>-993</v>
          </cell>
          <cell r="AA56">
            <v>-2978</v>
          </cell>
          <cell r="AB56">
            <v>-6684</v>
          </cell>
          <cell r="AC56">
            <v>517</v>
          </cell>
          <cell r="AD56">
            <v>1725</v>
          </cell>
          <cell r="AE56">
            <v>232</v>
          </cell>
          <cell r="AF56">
            <v>330</v>
          </cell>
          <cell r="AG56">
            <v>2804</v>
          </cell>
          <cell r="AH56">
            <v>217</v>
          </cell>
          <cell r="AI56">
            <v>727</v>
          </cell>
          <cell r="AJ56">
            <v>872</v>
          </cell>
          <cell r="AK56">
            <v>0</v>
          </cell>
          <cell r="AL56">
            <v>1816</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I56" t="str">
            <v>mstag:effectOfForeignExchangeRatesOnCash</v>
          </cell>
          <cell r="BJ56">
            <v>3</v>
          </cell>
          <cell r="BK56" t="str">
            <v>ISO4217:USD</v>
          </cell>
          <cell r="BL56" t="b">
            <v>0</v>
          </cell>
          <cell r="BM56" t="b">
            <v>0</v>
          </cell>
        </row>
        <row r="58">
          <cell r="B58" t="str">
            <v>(Decrease) increase in cash</v>
          </cell>
          <cell r="D58">
            <v>-1228</v>
          </cell>
          <cell r="E58">
            <v>32721</v>
          </cell>
          <cell r="F58">
            <v>-29311</v>
          </cell>
          <cell r="G58">
            <v>12570</v>
          </cell>
          <cell r="H58">
            <v>14752</v>
          </cell>
          <cell r="I58">
            <v>2810</v>
          </cell>
          <cell r="J58">
            <v>8542</v>
          </cell>
          <cell r="K58">
            <v>-15136</v>
          </cell>
          <cell r="L58">
            <v>-4535</v>
          </cell>
          <cell r="M58">
            <v>-8319</v>
          </cell>
          <cell r="N58">
            <v>18769</v>
          </cell>
          <cell r="O58">
            <v>-3572</v>
          </cell>
          <cell r="P58">
            <v>17482</v>
          </cell>
          <cell r="Q58">
            <v>-21941</v>
          </cell>
          <cell r="R58">
            <v>10738</v>
          </cell>
          <cell r="S58">
            <v>12696</v>
          </cell>
          <cell r="T58">
            <v>4779</v>
          </cell>
          <cell r="U58">
            <v>-17509</v>
          </cell>
          <cell r="V58">
            <v>11892</v>
          </cell>
          <cell r="W58">
            <v>11858</v>
          </cell>
          <cell r="X58">
            <v>3116</v>
          </cell>
          <cell r="Y58">
            <v>14208</v>
          </cell>
          <cell r="Z58">
            <v>-7782</v>
          </cell>
          <cell r="AA58">
            <v>18420</v>
          </cell>
          <cell r="AB58">
            <v>27962</v>
          </cell>
          <cell r="AC58">
            <v>-18496</v>
          </cell>
          <cell r="AD58">
            <v>-5371</v>
          </cell>
          <cell r="AE58">
            <v>-11189</v>
          </cell>
          <cell r="AF58">
            <v>27164</v>
          </cell>
          <cell r="AG58">
            <v>-7892</v>
          </cell>
          <cell r="AH58">
            <v>-15878</v>
          </cell>
          <cell r="AI58">
            <v>-25118</v>
          </cell>
          <cell r="AJ58">
            <v>23290</v>
          </cell>
          <cell r="AK58">
            <v>1958.0000000000582</v>
          </cell>
          <cell r="AL58">
            <v>-15747.999999999942</v>
          </cell>
          <cell r="AM58">
            <v>4.5474735088646412E-12</v>
          </cell>
          <cell r="AN58">
            <v>0</v>
          </cell>
          <cell r="AO58">
            <v>1.4551915228366852E-11</v>
          </cell>
          <cell r="AP58">
            <v>0</v>
          </cell>
          <cell r="AQ58">
            <v>1.9099388737231493E-11</v>
          </cell>
          <cell r="AR58">
            <v>0</v>
          </cell>
          <cell r="AS58">
            <v>1.4551915228366852E-11</v>
          </cell>
          <cell r="AT58">
            <v>0</v>
          </cell>
          <cell r="AU58">
            <v>-9.0949470177292824E-12</v>
          </cell>
          <cell r="AV58">
            <v>5.4569682106375694E-12</v>
          </cell>
          <cell r="AW58">
            <v>-2.1827872842550278E-11</v>
          </cell>
          <cell r="AX58">
            <v>-2.1827872842550278E-11</v>
          </cell>
          <cell r="AY58">
            <v>0</v>
          </cell>
          <cell r="AZ58">
            <v>-4.3655745685100555E-11</v>
          </cell>
          <cell r="BA58">
            <v>-8.7311491370201111E-11</v>
          </cell>
        </row>
        <row r="59">
          <cell r="B59" t="str">
            <v/>
          </cell>
        </row>
        <row r="60">
          <cell r="B60" t="str">
            <v>Cash and cash equivalents at beginning</v>
          </cell>
          <cell r="D60">
            <v>4638</v>
          </cell>
          <cell r="E60">
            <v>3410</v>
          </cell>
          <cell r="F60">
            <v>36131</v>
          </cell>
          <cell r="G60">
            <v>6820</v>
          </cell>
          <cell r="H60">
            <v>4638</v>
          </cell>
          <cell r="I60">
            <v>19390</v>
          </cell>
          <cell r="J60">
            <v>22200</v>
          </cell>
          <cell r="K60">
            <v>30742</v>
          </cell>
          <cell r="L60">
            <v>15606</v>
          </cell>
          <cell r="M60">
            <v>19390</v>
          </cell>
          <cell r="N60">
            <v>11071</v>
          </cell>
          <cell r="O60">
            <v>29840</v>
          </cell>
          <cell r="P60">
            <v>26268</v>
          </cell>
          <cell r="Q60">
            <v>43750</v>
          </cell>
          <cell r="R60">
            <v>11071</v>
          </cell>
          <cell r="S60">
            <v>21809</v>
          </cell>
          <cell r="T60">
            <v>34505</v>
          </cell>
          <cell r="U60">
            <v>39284</v>
          </cell>
          <cell r="V60">
            <v>21775</v>
          </cell>
          <cell r="W60">
            <v>21809</v>
          </cell>
          <cell r="X60">
            <v>33667</v>
          </cell>
          <cell r="Y60">
            <v>36783</v>
          </cell>
          <cell r="Z60">
            <v>50991</v>
          </cell>
          <cell r="AA60">
            <v>43209</v>
          </cell>
          <cell r="AB60">
            <v>33667</v>
          </cell>
          <cell r="AC60">
            <v>61629</v>
          </cell>
          <cell r="AD60">
            <v>43133</v>
          </cell>
          <cell r="AE60">
            <v>37762</v>
          </cell>
          <cell r="AF60">
            <v>26573</v>
          </cell>
          <cell r="AG60">
            <v>61629</v>
          </cell>
          <cell r="AH60">
            <v>53737</v>
          </cell>
          <cell r="AI60">
            <v>37859</v>
          </cell>
          <cell r="AJ60">
            <v>12741</v>
          </cell>
          <cell r="AK60">
            <v>36031</v>
          </cell>
          <cell r="AL60">
            <v>53737</v>
          </cell>
          <cell r="AM60">
            <v>37989</v>
          </cell>
          <cell r="AN60">
            <v>37989.000000000007</v>
          </cell>
          <cell r="AO60">
            <v>37989.000000000007</v>
          </cell>
          <cell r="AP60">
            <v>37989.000000000022</v>
          </cell>
          <cell r="AQ60">
            <v>37989.000000000058</v>
          </cell>
          <cell r="AR60">
            <v>37989.000000000022</v>
          </cell>
          <cell r="AS60">
            <v>37989.000000000022</v>
          </cell>
          <cell r="AT60">
            <v>37989.000000000036</v>
          </cell>
          <cell r="AU60">
            <v>37989.000000000036</v>
          </cell>
          <cell r="AV60">
            <v>37989.00000000008</v>
          </cell>
          <cell r="AW60">
            <v>37989.000000000029</v>
          </cell>
          <cell r="AX60">
            <v>37989.000000000007</v>
          </cell>
          <cell r="AY60">
            <v>37988.999999999985</v>
          </cell>
          <cell r="AZ60">
            <v>37988.999999999985</v>
          </cell>
          <cell r="BA60">
            <v>37989.000000000087</v>
          </cell>
        </row>
        <row r="61">
          <cell r="B61" t="str">
            <v>Cash and cash equivalents at end</v>
          </cell>
          <cell r="D61">
            <v>3410</v>
          </cell>
          <cell r="E61">
            <v>36131</v>
          </cell>
          <cell r="F61">
            <v>6820</v>
          </cell>
          <cell r="G61">
            <v>19390</v>
          </cell>
          <cell r="H61">
            <v>19390</v>
          </cell>
          <cell r="I61">
            <v>22200</v>
          </cell>
          <cell r="J61">
            <v>30742</v>
          </cell>
          <cell r="K61">
            <v>15606</v>
          </cell>
          <cell r="L61">
            <v>11071</v>
          </cell>
          <cell r="M61">
            <v>11071</v>
          </cell>
          <cell r="N61">
            <v>29840</v>
          </cell>
          <cell r="O61">
            <v>26268</v>
          </cell>
          <cell r="P61">
            <v>43750</v>
          </cell>
          <cell r="Q61">
            <v>21809</v>
          </cell>
          <cell r="R61">
            <v>21809</v>
          </cell>
          <cell r="S61">
            <v>34505</v>
          </cell>
          <cell r="T61">
            <v>39284</v>
          </cell>
          <cell r="U61">
            <v>21775</v>
          </cell>
          <cell r="V61">
            <v>33667</v>
          </cell>
          <cell r="W61">
            <v>33667</v>
          </cell>
          <cell r="X61">
            <v>36783</v>
          </cell>
          <cell r="Y61">
            <v>50991</v>
          </cell>
          <cell r="Z61">
            <v>43209</v>
          </cell>
          <cell r="AA61">
            <v>61629</v>
          </cell>
          <cell r="AB61">
            <v>61629</v>
          </cell>
          <cell r="AC61">
            <v>43133</v>
          </cell>
          <cell r="AD61">
            <v>37762</v>
          </cell>
          <cell r="AE61">
            <v>26573</v>
          </cell>
          <cell r="AF61">
            <v>53737</v>
          </cell>
          <cell r="AG61">
            <v>53737</v>
          </cell>
          <cell r="AH61">
            <v>37859</v>
          </cell>
          <cell r="AI61">
            <v>12741</v>
          </cell>
          <cell r="AJ61">
            <v>36031</v>
          </cell>
          <cell r="AK61">
            <v>37989.000000000058</v>
          </cell>
          <cell r="AL61">
            <v>37989.000000000058</v>
          </cell>
          <cell r="AM61">
            <v>37989.000000000007</v>
          </cell>
          <cell r="AN61">
            <v>37989.000000000007</v>
          </cell>
          <cell r="AO61">
            <v>37989.000000000022</v>
          </cell>
          <cell r="AP61">
            <v>37989.000000000022</v>
          </cell>
          <cell r="AQ61">
            <v>37989.00000000008</v>
          </cell>
          <cell r="AR61">
            <v>37989.000000000022</v>
          </cell>
          <cell r="AS61">
            <v>37989.000000000036</v>
          </cell>
          <cell r="AT61">
            <v>37989.000000000036</v>
          </cell>
          <cell r="AU61">
            <v>37989.000000000029</v>
          </cell>
          <cell r="AV61">
            <v>37989.000000000087</v>
          </cell>
          <cell r="AW61">
            <v>37989.000000000007</v>
          </cell>
          <cell r="AX61">
            <v>37988.999999999985</v>
          </cell>
          <cell r="AY61">
            <v>37988.999999999985</v>
          </cell>
          <cell r="AZ61">
            <v>37988.999999999942</v>
          </cell>
          <cell r="BA61">
            <v>37989</v>
          </cell>
        </row>
        <row r="64">
          <cell r="B64" t="str">
            <v>Common dividends (for modelware)</v>
          </cell>
          <cell r="D64">
            <v>-60237</v>
          </cell>
          <cell r="E64">
            <v>-40205</v>
          </cell>
          <cell r="F64">
            <v>-43097</v>
          </cell>
          <cell r="G64">
            <v>-43431</v>
          </cell>
          <cell r="H64">
            <v>-186970</v>
          </cell>
          <cell r="I64">
            <v>-43817</v>
          </cell>
          <cell r="J64">
            <v>-44222</v>
          </cell>
          <cell r="K64">
            <v>-45424</v>
          </cell>
          <cell r="L64">
            <v>-45837</v>
          </cell>
          <cell r="M64">
            <v>-179300</v>
          </cell>
          <cell r="N64">
            <v>-46286</v>
          </cell>
          <cell r="O64">
            <v>-47109</v>
          </cell>
          <cell r="P64">
            <v>-48458</v>
          </cell>
          <cell r="Q64">
            <v>-53965</v>
          </cell>
          <cell r="R64">
            <v>-195818</v>
          </cell>
          <cell r="S64">
            <v>-46768</v>
          </cell>
          <cell r="T64">
            <v>-51250</v>
          </cell>
          <cell r="U64">
            <v>-51993</v>
          </cell>
          <cell r="V64">
            <v>-52248</v>
          </cell>
          <cell r="W64">
            <v>-202259</v>
          </cell>
          <cell r="X64">
            <v>-56973</v>
          </cell>
          <cell r="Y64">
            <v>-53291</v>
          </cell>
          <cell r="Z64">
            <v>-53976</v>
          </cell>
          <cell r="AA64">
            <v>-54329</v>
          </cell>
          <cell r="AB64">
            <v>-218569</v>
          </cell>
          <cell r="AC64">
            <v>-54606.149999999994</v>
          </cell>
          <cell r="AD64">
            <v>-55073.75</v>
          </cell>
          <cell r="AE64">
            <v>-55866.049999999996</v>
          </cell>
          <cell r="AF64">
            <v>-56362.7</v>
          </cell>
          <cell r="AG64">
            <v>-221908.64999999997</v>
          </cell>
          <cell r="AH64">
            <v>-56817.049999999996</v>
          </cell>
          <cell r="AI64">
            <v>-56567.100000000006</v>
          </cell>
          <cell r="AJ64">
            <v>-56973.8</v>
          </cell>
          <cell r="AK64">
            <v>-57226.799999999988</v>
          </cell>
          <cell r="AL64">
            <v>-227584.75</v>
          </cell>
          <cell r="AM64">
            <v>-62037.041062500008</v>
          </cell>
          <cell r="AN64">
            <v>-62308.256062500004</v>
          </cell>
          <cell r="AO64">
            <v>-65708.44461562502</v>
          </cell>
          <cell r="AP64">
            <v>-65993.22036562502</v>
          </cell>
          <cell r="AQ64">
            <v>-256046.96210625005</v>
          </cell>
          <cell r="AR64">
            <v>-65993.22036562502</v>
          </cell>
          <cell r="AS64">
            <v>-66277.996115625021</v>
          </cell>
          <cell r="AT64">
            <v>-69890.910458906277</v>
          </cell>
          <cell r="AU64">
            <v>-70189.924996406276</v>
          </cell>
          <cell r="AV64">
            <v>-272352.05193656264</v>
          </cell>
          <cell r="AW64">
            <v>-70189.924996406276</v>
          </cell>
          <cell r="AX64">
            <v>-70488.939533906276</v>
          </cell>
          <cell r="AY64">
            <v>-74327.351774976589</v>
          </cell>
          <cell r="AZ64">
            <v>-74641.31703935159</v>
          </cell>
          <cell r="BA64">
            <v>-289647.53334464075</v>
          </cell>
          <cell r="BI64" t="str">
            <v>mstag:commonDividends</v>
          </cell>
          <cell r="BJ64">
            <v>3</v>
          </cell>
          <cell r="BK64" t="str">
            <v>ISO4217:USD</v>
          </cell>
          <cell r="BL64" t="b">
            <v>1</v>
          </cell>
          <cell r="BM64" t="b">
            <v>0</v>
          </cell>
        </row>
        <row r="67">
          <cell r="B67" t="str">
            <v>CFS w/ inputs</v>
          </cell>
        </row>
        <row r="69">
          <cell r="B69" t="str">
            <v>Net income</v>
          </cell>
          <cell r="D69">
            <v>41116</v>
          </cell>
          <cell r="E69">
            <v>83521</v>
          </cell>
          <cell r="F69">
            <v>125835</v>
          </cell>
          <cell r="G69">
            <v>166537</v>
          </cell>
          <cell r="I69">
            <v>42200</v>
          </cell>
          <cell r="J69">
            <v>86704</v>
          </cell>
          <cell r="K69">
            <v>128344</v>
          </cell>
          <cell r="L69">
            <v>161665</v>
          </cell>
          <cell r="N69">
            <v>41587</v>
          </cell>
          <cell r="O69">
            <v>86616</v>
          </cell>
          <cell r="P69">
            <v>125725</v>
          </cell>
          <cell r="Q69">
            <v>163610</v>
          </cell>
          <cell r="S69">
            <v>38671</v>
          </cell>
          <cell r="T69">
            <v>76027</v>
          </cell>
          <cell r="U69">
            <v>115506</v>
          </cell>
          <cell r="V69">
            <v>161443</v>
          </cell>
          <cell r="X69">
            <v>45601</v>
          </cell>
          <cell r="Y69">
            <v>90158</v>
          </cell>
          <cell r="Z69">
            <v>142033</v>
          </cell>
          <cell r="AA69">
            <v>249351</v>
          </cell>
          <cell r="AC69">
            <v>90427</v>
          </cell>
          <cell r="AD69">
            <v>158877</v>
          </cell>
          <cell r="AE69">
            <v>205762</v>
          </cell>
          <cell r="AF69">
            <v>266574</v>
          </cell>
          <cell r="AH69">
            <v>39698</v>
          </cell>
          <cell r="AI69">
            <v>92125</v>
          </cell>
        </row>
        <row r="70">
          <cell r="B70" t="str">
            <v>Depreciation and amortization</v>
          </cell>
          <cell r="D70">
            <v>24944</v>
          </cell>
          <cell r="E70">
            <v>49748</v>
          </cell>
          <cell r="F70">
            <v>75482</v>
          </cell>
          <cell r="G70">
            <v>102626</v>
          </cell>
          <cell r="I70">
            <v>26506</v>
          </cell>
          <cell r="J70">
            <v>54189</v>
          </cell>
          <cell r="K70">
            <v>82393</v>
          </cell>
          <cell r="L70">
            <v>110891</v>
          </cell>
          <cell r="N70">
            <v>29029</v>
          </cell>
          <cell r="O70">
            <v>60331</v>
          </cell>
          <cell r="P70">
            <v>91069</v>
          </cell>
          <cell r="Q70">
            <v>123102</v>
          </cell>
          <cell r="S70">
            <v>32841</v>
          </cell>
          <cell r="T70">
            <v>67020</v>
          </cell>
          <cell r="U70">
            <v>101165</v>
          </cell>
          <cell r="V70">
            <v>136700</v>
          </cell>
          <cell r="X70">
            <v>35386</v>
          </cell>
          <cell r="Y70">
            <v>73155</v>
          </cell>
          <cell r="Z70">
            <v>110841</v>
          </cell>
          <cell r="AA70">
            <v>150722</v>
          </cell>
          <cell r="AC70">
            <v>37384</v>
          </cell>
          <cell r="AD70">
            <v>75928</v>
          </cell>
          <cell r="AE70">
            <v>113927</v>
          </cell>
          <cell r="AF70">
            <v>151966</v>
          </cell>
          <cell r="AH70">
            <v>38167</v>
          </cell>
          <cell r="AI70">
            <v>77483</v>
          </cell>
        </row>
        <row r="71">
          <cell r="B71" t="str">
            <v>Amort. of deferred financing costs</v>
          </cell>
          <cell r="D71">
            <v>1029</v>
          </cell>
          <cell r="E71">
            <v>2117</v>
          </cell>
          <cell r="F71">
            <v>3086</v>
          </cell>
          <cell r="G71">
            <v>4016</v>
          </cell>
          <cell r="I71">
            <v>908</v>
          </cell>
          <cell r="J71">
            <v>1810</v>
          </cell>
          <cell r="K71">
            <v>2881</v>
          </cell>
          <cell r="L71">
            <v>3979</v>
          </cell>
          <cell r="N71">
            <v>913</v>
          </cell>
          <cell r="O71">
            <v>1885</v>
          </cell>
          <cell r="P71">
            <v>3027</v>
          </cell>
          <cell r="Q71">
            <v>4013</v>
          </cell>
          <cell r="S71">
            <v>1041</v>
          </cell>
          <cell r="T71">
            <v>1935</v>
          </cell>
          <cell r="U71">
            <v>2928</v>
          </cell>
          <cell r="V71">
            <v>4315</v>
          </cell>
          <cell r="X71">
            <v>1152</v>
          </cell>
          <cell r="Y71">
            <v>2344</v>
          </cell>
          <cell r="Z71">
            <v>3527</v>
          </cell>
          <cell r="AA71">
            <v>4758</v>
          </cell>
          <cell r="AC71">
            <v>1083</v>
          </cell>
          <cell r="AD71">
            <v>2134</v>
          </cell>
          <cell r="AE71">
            <v>3188</v>
          </cell>
          <cell r="AF71">
            <v>4244</v>
          </cell>
          <cell r="AH71">
            <v>993</v>
          </cell>
          <cell r="AI71">
            <v>1989</v>
          </cell>
        </row>
        <row r="72">
          <cell r="B72" t="str">
            <v>Equity in earnings of unconsol. JVs</v>
          </cell>
          <cell r="D72">
            <v>0</v>
          </cell>
          <cell r="E72">
            <v>0</v>
          </cell>
          <cell r="F72">
            <v>0</v>
          </cell>
          <cell r="G72">
            <v>0</v>
          </cell>
          <cell r="I72">
            <v>0</v>
          </cell>
          <cell r="J72">
            <v>0</v>
          </cell>
          <cell r="K72">
            <v>0</v>
          </cell>
          <cell r="L72">
            <v>-255</v>
          </cell>
          <cell r="N72">
            <v>-442</v>
          </cell>
          <cell r="O72">
            <v>-915</v>
          </cell>
          <cell r="P72">
            <v>-1355</v>
          </cell>
          <cell r="Q72">
            <v>-1744</v>
          </cell>
          <cell r="S72">
            <v>405</v>
          </cell>
          <cell r="T72">
            <v>530</v>
          </cell>
          <cell r="U72">
            <v>673</v>
          </cell>
          <cell r="V72">
            <v>775</v>
          </cell>
          <cell r="X72">
            <v>-2020</v>
          </cell>
          <cell r="Y72">
            <v>-2202</v>
          </cell>
          <cell r="Z72">
            <v>-2433</v>
          </cell>
          <cell r="AA72">
            <v>-2540</v>
          </cell>
          <cell r="AC72">
            <v>-175</v>
          </cell>
          <cell r="AD72">
            <v>-916</v>
          </cell>
          <cell r="AE72">
            <v>-1250</v>
          </cell>
          <cell r="AF72">
            <v>-1432</v>
          </cell>
          <cell r="AH72">
            <v>-729</v>
          </cell>
          <cell r="AI72">
            <v>-1055</v>
          </cell>
        </row>
        <row r="73">
          <cell r="B73" t="str">
            <v>Distributions from unconsolidated joint ventures</v>
          </cell>
          <cell r="D73">
            <v>0</v>
          </cell>
          <cell r="E73">
            <v>0</v>
          </cell>
          <cell r="F73">
            <v>0</v>
          </cell>
          <cell r="G73">
            <v>0</v>
          </cell>
          <cell r="I73">
            <v>0</v>
          </cell>
          <cell r="J73">
            <v>0</v>
          </cell>
          <cell r="K73">
            <v>0</v>
          </cell>
          <cell r="L73">
            <v>0</v>
          </cell>
          <cell r="N73">
            <v>0</v>
          </cell>
          <cell r="O73">
            <v>0</v>
          </cell>
          <cell r="P73">
            <v>0</v>
          </cell>
          <cell r="Q73">
            <v>0</v>
          </cell>
          <cell r="S73">
            <v>0</v>
          </cell>
          <cell r="T73">
            <v>0</v>
          </cell>
          <cell r="U73">
            <v>0</v>
          </cell>
          <cell r="V73">
            <v>0</v>
          </cell>
          <cell r="X73">
            <v>0</v>
          </cell>
          <cell r="Y73">
            <v>4391</v>
          </cell>
          <cell r="Z73">
            <v>4544</v>
          </cell>
          <cell r="AA73">
            <v>4651</v>
          </cell>
          <cell r="AC73">
            <v>366</v>
          </cell>
          <cell r="AD73">
            <v>2937</v>
          </cell>
          <cell r="AE73">
            <v>3026</v>
          </cell>
          <cell r="AF73">
            <v>5692</v>
          </cell>
          <cell r="AH73">
            <v>405</v>
          </cell>
          <cell r="AI73">
            <v>1050</v>
          </cell>
        </row>
        <row r="74">
          <cell r="B74" t="str">
            <v>Minority interest in net income</v>
          </cell>
          <cell r="D74">
            <v>4830</v>
          </cell>
          <cell r="E74">
            <v>9724</v>
          </cell>
          <cell r="F74">
            <v>14499</v>
          </cell>
          <cell r="G74">
            <v>19171</v>
          </cell>
          <cell r="I74">
            <v>4734</v>
          </cell>
          <cell r="J74">
            <v>10865</v>
          </cell>
          <cell r="K74">
            <v>15928</v>
          </cell>
          <cell r="L74">
            <v>20657</v>
          </cell>
          <cell r="N74">
            <v>5615</v>
          </cell>
          <cell r="O74">
            <v>10836</v>
          </cell>
          <cell r="P74">
            <v>15819</v>
          </cell>
          <cell r="Q74">
            <v>20733</v>
          </cell>
          <cell r="S74">
            <v>4667</v>
          </cell>
          <cell r="T74">
            <v>9215</v>
          </cell>
          <cell r="U74">
            <v>13700</v>
          </cell>
          <cell r="V74">
            <v>18167</v>
          </cell>
          <cell r="X74">
            <v>4518</v>
          </cell>
          <cell r="Y74">
            <v>9858</v>
          </cell>
          <cell r="Z74">
            <v>15304</v>
          </cell>
          <cell r="AA74">
            <v>22965</v>
          </cell>
          <cell r="AC74">
            <v>6983</v>
          </cell>
          <cell r="AD74">
            <v>13594</v>
          </cell>
          <cell r="AE74">
            <v>19184</v>
          </cell>
          <cell r="AF74">
            <v>25469</v>
          </cell>
          <cell r="AH74">
            <v>5705</v>
          </cell>
          <cell r="AI74">
            <v>12602</v>
          </cell>
        </row>
        <row r="75">
          <cell r="B75" t="str">
            <v>Loss (gain) on property disp.</v>
          </cell>
          <cell r="D75">
            <v>-1477</v>
          </cell>
          <cell r="E75">
            <v>-2194</v>
          </cell>
          <cell r="F75">
            <v>-2334</v>
          </cell>
          <cell r="G75">
            <v>-2115</v>
          </cell>
          <cell r="I75">
            <v>-871</v>
          </cell>
          <cell r="J75">
            <v>-6911</v>
          </cell>
          <cell r="K75">
            <v>-2025</v>
          </cell>
          <cell r="L75">
            <v>2341</v>
          </cell>
          <cell r="N75">
            <v>-761</v>
          </cell>
          <cell r="O75">
            <v>-11854</v>
          </cell>
          <cell r="P75">
            <v>-11960</v>
          </cell>
          <cell r="Q75">
            <v>-12405</v>
          </cell>
          <cell r="S75">
            <v>-1767</v>
          </cell>
          <cell r="T75">
            <v>-1689</v>
          </cell>
          <cell r="U75">
            <v>-3983</v>
          </cell>
          <cell r="V75">
            <v>-12099</v>
          </cell>
          <cell r="X75">
            <v>-6771</v>
          </cell>
          <cell r="Y75">
            <v>-9491</v>
          </cell>
          <cell r="Z75">
            <v>-29041</v>
          </cell>
          <cell r="AA75">
            <v>-122210</v>
          </cell>
          <cell r="AC75">
            <v>-59575</v>
          </cell>
          <cell r="AD75">
            <v>-93563</v>
          </cell>
          <cell r="AE75">
            <v>-104845</v>
          </cell>
          <cell r="AF75">
            <v>-130248</v>
          </cell>
          <cell r="AH75">
            <v>-2953</v>
          </cell>
          <cell r="AI75">
            <v>-21682</v>
          </cell>
        </row>
        <row r="76">
          <cell r="B76" t="str">
            <v>Noncash compensation</v>
          </cell>
          <cell r="D76">
            <v>1152</v>
          </cell>
          <cell r="E76">
            <v>1491</v>
          </cell>
          <cell r="F76">
            <v>1749</v>
          </cell>
          <cell r="G76">
            <v>2122</v>
          </cell>
          <cell r="I76">
            <v>1188</v>
          </cell>
          <cell r="J76">
            <v>1464</v>
          </cell>
          <cell r="K76">
            <v>1654</v>
          </cell>
          <cell r="L76">
            <v>1946</v>
          </cell>
          <cell r="N76">
            <v>419</v>
          </cell>
          <cell r="O76">
            <v>2195</v>
          </cell>
          <cell r="P76">
            <v>2496</v>
          </cell>
          <cell r="Q76">
            <v>2877</v>
          </cell>
          <cell r="S76">
            <v>938</v>
          </cell>
          <cell r="T76">
            <v>1417</v>
          </cell>
          <cell r="U76">
            <v>1932</v>
          </cell>
          <cell r="V76">
            <v>2388</v>
          </cell>
          <cell r="X76">
            <v>1486</v>
          </cell>
          <cell r="Y76">
            <v>2214</v>
          </cell>
          <cell r="Z76">
            <v>3094</v>
          </cell>
          <cell r="AA76">
            <v>3980</v>
          </cell>
          <cell r="AC76">
            <v>2311</v>
          </cell>
          <cell r="AD76">
            <v>3775</v>
          </cell>
          <cell r="AE76">
            <v>4895</v>
          </cell>
          <cell r="AF76">
            <v>6212</v>
          </cell>
          <cell r="AH76">
            <v>3881</v>
          </cell>
          <cell r="AI76">
            <v>5433</v>
          </cell>
        </row>
        <row r="77">
          <cell r="B77" t="str">
            <v>Restricted Cash</v>
          </cell>
          <cell r="D77">
            <v>0</v>
          </cell>
          <cell r="E77">
            <v>0</v>
          </cell>
          <cell r="F77">
            <v>0</v>
          </cell>
          <cell r="G77">
            <v>0</v>
          </cell>
          <cell r="I77">
            <v>0</v>
          </cell>
          <cell r="J77">
            <v>0</v>
          </cell>
          <cell r="K77">
            <v>0</v>
          </cell>
          <cell r="L77">
            <v>0</v>
          </cell>
          <cell r="N77">
            <v>0</v>
          </cell>
          <cell r="O77">
            <v>0</v>
          </cell>
          <cell r="P77">
            <v>0</v>
          </cell>
          <cell r="Q77">
            <v>-12154</v>
          </cell>
          <cell r="S77">
            <v>-7404</v>
          </cell>
          <cell r="T77">
            <v>-7872</v>
          </cell>
          <cell r="U77">
            <v>-6511</v>
          </cell>
          <cell r="V77">
            <v>-19334</v>
          </cell>
          <cell r="X77">
            <v>16484</v>
          </cell>
          <cell r="Y77">
            <v>8519</v>
          </cell>
          <cell r="Z77">
            <v>11411</v>
          </cell>
          <cell r="AA77">
            <v>3849</v>
          </cell>
          <cell r="AC77">
            <v>10125</v>
          </cell>
          <cell r="AD77">
            <v>13967</v>
          </cell>
          <cell r="AE77">
            <v>18289</v>
          </cell>
          <cell r="AF77">
            <v>-21692</v>
          </cell>
          <cell r="AH77">
            <v>25703</v>
          </cell>
          <cell r="AI77">
            <v>21712</v>
          </cell>
        </row>
        <row r="78">
          <cell r="B78" t="str">
            <v>Accounts receivable</v>
          </cell>
          <cell r="D78">
            <v>-3980</v>
          </cell>
          <cell r="E78">
            <v>-3877</v>
          </cell>
          <cell r="F78">
            <v>-8361</v>
          </cell>
          <cell r="G78">
            <v>-2846</v>
          </cell>
          <cell r="I78">
            <v>-6273</v>
          </cell>
          <cell r="J78">
            <v>6684</v>
          </cell>
          <cell r="K78">
            <v>3170</v>
          </cell>
          <cell r="L78">
            <v>1121</v>
          </cell>
          <cell r="N78">
            <v>-130</v>
          </cell>
          <cell r="O78">
            <v>3022</v>
          </cell>
          <cell r="P78">
            <v>8533</v>
          </cell>
          <cell r="Q78">
            <v>3670</v>
          </cell>
          <cell r="S78">
            <v>-4051</v>
          </cell>
          <cell r="T78">
            <v>-1133</v>
          </cell>
          <cell r="U78">
            <v>-5180</v>
          </cell>
          <cell r="V78">
            <v>-8449</v>
          </cell>
          <cell r="X78">
            <v>5434</v>
          </cell>
          <cell r="Y78">
            <v>5803</v>
          </cell>
          <cell r="Z78">
            <v>2422</v>
          </cell>
          <cell r="AA78">
            <v>1804</v>
          </cell>
          <cell r="AC78">
            <v>-13295</v>
          </cell>
          <cell r="AD78">
            <v>-13308</v>
          </cell>
          <cell r="AE78">
            <v>-8071</v>
          </cell>
          <cell r="AF78">
            <v>-6879</v>
          </cell>
          <cell r="AH78">
            <v>-2542</v>
          </cell>
          <cell r="AI78">
            <v>-241</v>
          </cell>
        </row>
        <row r="79">
          <cell r="B79" t="str">
            <v>Deferred rent receivable</v>
          </cell>
          <cell r="D79">
            <v>0</v>
          </cell>
          <cell r="E79">
            <v>0</v>
          </cell>
          <cell r="F79">
            <v>0</v>
          </cell>
          <cell r="G79">
            <v>0</v>
          </cell>
          <cell r="I79">
            <v>0</v>
          </cell>
          <cell r="J79">
            <v>0</v>
          </cell>
          <cell r="K79">
            <v>0</v>
          </cell>
          <cell r="L79">
            <v>0</v>
          </cell>
          <cell r="N79">
            <v>0</v>
          </cell>
          <cell r="O79">
            <v>0</v>
          </cell>
          <cell r="P79">
            <v>-6854</v>
          </cell>
          <cell r="Q79">
            <v>-9240</v>
          </cell>
          <cell r="S79">
            <v>-2632</v>
          </cell>
          <cell r="T79">
            <v>-5255</v>
          </cell>
          <cell r="U79">
            <v>-8263</v>
          </cell>
          <cell r="V79">
            <v>-8513</v>
          </cell>
          <cell r="X79">
            <v>-2066</v>
          </cell>
          <cell r="Y79">
            <v>-3555</v>
          </cell>
          <cell r="Z79">
            <v>-5147</v>
          </cell>
          <cell r="AA79">
            <v>-6290</v>
          </cell>
          <cell r="AC79">
            <v>2674</v>
          </cell>
          <cell r="AD79">
            <v>3031</v>
          </cell>
          <cell r="AE79">
            <v>1162</v>
          </cell>
          <cell r="AF79">
            <v>924</v>
          </cell>
          <cell r="AH79">
            <v>-2304</v>
          </cell>
          <cell r="AI79">
            <v>-2113</v>
          </cell>
        </row>
        <row r="80">
          <cell r="B80" t="str">
            <v>Prepaid expenses and other assets</v>
          </cell>
          <cell r="D80">
            <v>26454</v>
          </cell>
          <cell r="E80">
            <v>21915</v>
          </cell>
          <cell r="F80">
            <v>-11971</v>
          </cell>
          <cell r="G80">
            <v>9550</v>
          </cell>
          <cell r="I80">
            <v>-4362</v>
          </cell>
          <cell r="J80">
            <v>-15248</v>
          </cell>
          <cell r="K80">
            <v>-33512</v>
          </cell>
          <cell r="L80">
            <v>-26288</v>
          </cell>
          <cell r="N80">
            <v>-4362</v>
          </cell>
          <cell r="O80">
            <v>572</v>
          </cell>
          <cell r="P80">
            <v>-11260</v>
          </cell>
          <cell r="Q80">
            <v>-3638</v>
          </cell>
          <cell r="S80">
            <v>-4002</v>
          </cell>
          <cell r="T80">
            <v>-801</v>
          </cell>
          <cell r="U80">
            <v>-15478</v>
          </cell>
          <cell r="V80">
            <v>-12046</v>
          </cell>
          <cell r="X80">
            <v>-14551</v>
          </cell>
          <cell r="Y80">
            <v>5693</v>
          </cell>
          <cell r="Z80">
            <v>-20132</v>
          </cell>
          <cell r="AA80">
            <v>-12488</v>
          </cell>
          <cell r="AC80">
            <v>-15627</v>
          </cell>
          <cell r="AD80">
            <v>-91558</v>
          </cell>
          <cell r="AE80">
            <v>-28428</v>
          </cell>
          <cell r="AF80">
            <v>-14394</v>
          </cell>
          <cell r="AH80">
            <v>2550</v>
          </cell>
          <cell r="AI80">
            <v>14037</v>
          </cell>
        </row>
        <row r="81">
          <cell r="B81" t="str">
            <v>Accounts payable</v>
          </cell>
          <cell r="D81">
            <v>12061</v>
          </cell>
          <cell r="E81">
            <v>25788</v>
          </cell>
          <cell r="F81">
            <v>25147</v>
          </cell>
          <cell r="G81">
            <v>3385</v>
          </cell>
          <cell r="I81">
            <v>-742</v>
          </cell>
          <cell r="J81">
            <v>1428</v>
          </cell>
          <cell r="K81">
            <v>16789</v>
          </cell>
          <cell r="L81">
            <v>5059</v>
          </cell>
          <cell r="N81">
            <v>3404</v>
          </cell>
          <cell r="O81">
            <v>-1340</v>
          </cell>
          <cell r="P81">
            <v>-3035</v>
          </cell>
          <cell r="Q81">
            <v>-12592</v>
          </cell>
          <cell r="S81">
            <v>20802</v>
          </cell>
          <cell r="T81">
            <v>14891</v>
          </cell>
          <cell r="U81">
            <v>24480</v>
          </cell>
          <cell r="V81">
            <v>8859</v>
          </cell>
          <cell r="X81">
            <v>-2427</v>
          </cell>
          <cell r="Y81">
            <v>3084</v>
          </cell>
          <cell r="Z81">
            <v>11410</v>
          </cell>
          <cell r="AA81">
            <v>8894</v>
          </cell>
          <cell r="AC81">
            <v>2787</v>
          </cell>
          <cell r="AD81">
            <v>4401</v>
          </cell>
          <cell r="AE81">
            <v>8234</v>
          </cell>
          <cell r="AF81">
            <v>7648</v>
          </cell>
          <cell r="AH81">
            <v>3802</v>
          </cell>
          <cell r="AI81">
            <v>16772</v>
          </cell>
        </row>
        <row r="82">
          <cell r="B82" t="str">
            <v>Accrued interest</v>
          </cell>
          <cell r="D82">
            <v>-9300</v>
          </cell>
          <cell r="E82">
            <v>3618</v>
          </cell>
          <cell r="F82">
            <v>-10609</v>
          </cell>
          <cell r="G82">
            <v>1914</v>
          </cell>
          <cell r="I82">
            <v>-12117</v>
          </cell>
          <cell r="J82">
            <v>-2135</v>
          </cell>
          <cell r="K82">
            <v>-11194</v>
          </cell>
          <cell r="L82">
            <v>1179</v>
          </cell>
          <cell r="N82">
            <v>-12613</v>
          </cell>
          <cell r="O82">
            <v>-23</v>
          </cell>
          <cell r="P82">
            <v>-12682</v>
          </cell>
          <cell r="Q82">
            <v>-949</v>
          </cell>
          <cell r="S82">
            <v>-11845</v>
          </cell>
          <cell r="T82">
            <v>38</v>
          </cell>
          <cell r="U82">
            <v>-11049</v>
          </cell>
          <cell r="V82">
            <v>2166</v>
          </cell>
          <cell r="X82">
            <v>-12333</v>
          </cell>
          <cell r="Y82">
            <v>582</v>
          </cell>
          <cell r="Z82">
            <v>-8255</v>
          </cell>
          <cell r="AA82">
            <v>-102</v>
          </cell>
          <cell r="AC82">
            <v>-8126</v>
          </cell>
          <cell r="AD82">
            <v>420</v>
          </cell>
          <cell r="AE82">
            <v>-8088</v>
          </cell>
          <cell r="AF82">
            <v>1405</v>
          </cell>
          <cell r="AH82">
            <v>-7352</v>
          </cell>
          <cell r="AI82">
            <v>42</v>
          </cell>
        </row>
        <row r="83">
          <cell r="B83" t="str">
            <v>Other liabilities</v>
          </cell>
          <cell r="D83">
            <v>-7332</v>
          </cell>
          <cell r="E83">
            <v>-3644</v>
          </cell>
          <cell r="F83">
            <v>-4898</v>
          </cell>
          <cell r="G83">
            <v>-663</v>
          </cell>
          <cell r="I83">
            <v>1646</v>
          </cell>
          <cell r="J83">
            <v>6831</v>
          </cell>
          <cell r="K83">
            <v>12383</v>
          </cell>
          <cell r="L83">
            <v>12267</v>
          </cell>
          <cell r="N83">
            <v>-2373</v>
          </cell>
          <cell r="O83">
            <v>-7267</v>
          </cell>
          <cell r="P83">
            <v>3104</v>
          </cell>
          <cell r="Q83">
            <v>-4617</v>
          </cell>
          <cell r="S83">
            <v>-5334</v>
          </cell>
          <cell r="T83">
            <v>-4250</v>
          </cell>
          <cell r="U83">
            <v>-4132</v>
          </cell>
          <cell r="V83">
            <v>18282</v>
          </cell>
          <cell r="X83">
            <v>-5288</v>
          </cell>
          <cell r="Y83">
            <v>5817</v>
          </cell>
          <cell r="Z83">
            <v>37679</v>
          </cell>
          <cell r="AA83">
            <v>52353</v>
          </cell>
          <cell r="AC83">
            <v>-14281</v>
          </cell>
          <cell r="AD83">
            <v>-9581</v>
          </cell>
          <cell r="AE83">
            <v>-7701</v>
          </cell>
          <cell r="AF83">
            <v>49412</v>
          </cell>
          <cell r="AH83">
            <v>5877</v>
          </cell>
          <cell r="AI83">
            <v>27194</v>
          </cell>
        </row>
        <row r="85">
          <cell r="B85" t="str">
            <v>Net cash provided by operating activities</v>
          </cell>
          <cell r="D85">
            <v>89497</v>
          </cell>
          <cell r="E85">
            <v>188207</v>
          </cell>
          <cell r="F85">
            <v>207625</v>
          </cell>
          <cell r="G85">
            <v>303697</v>
          </cell>
          <cell r="I85">
            <v>52817</v>
          </cell>
          <cell r="J85">
            <v>145681</v>
          </cell>
          <cell r="K85">
            <v>216811</v>
          </cell>
          <cell r="L85">
            <v>294562</v>
          </cell>
          <cell r="N85">
            <v>60286</v>
          </cell>
          <cell r="O85">
            <v>144058</v>
          </cell>
          <cell r="P85">
            <v>202627</v>
          </cell>
          <cell r="Q85">
            <v>260666</v>
          </cell>
          <cell r="S85">
            <v>62330</v>
          </cell>
          <cell r="T85">
            <v>150073</v>
          </cell>
          <cell r="U85">
            <v>205788</v>
          </cell>
          <cell r="V85">
            <v>292654</v>
          </cell>
          <cell r="X85">
            <v>64605</v>
          </cell>
          <cell r="Y85">
            <v>196370</v>
          </cell>
          <cell r="Z85">
            <v>277257</v>
          </cell>
          <cell r="AA85">
            <v>359697</v>
          </cell>
          <cell r="AC85">
            <v>43061</v>
          </cell>
          <cell r="AD85">
            <v>70138</v>
          </cell>
          <cell r="AE85">
            <v>219284</v>
          </cell>
          <cell r="AF85">
            <v>344901</v>
          </cell>
          <cell r="AH85">
            <v>110901</v>
          </cell>
          <cell r="AI85">
            <v>245348</v>
          </cell>
        </row>
        <row r="87">
          <cell r="B87" t="str">
            <v>Investment in properties</v>
          </cell>
          <cell r="D87">
            <v>-27537</v>
          </cell>
          <cell r="E87">
            <v>-35644</v>
          </cell>
          <cell r="F87">
            <v>-59264</v>
          </cell>
          <cell r="G87">
            <v>-57332</v>
          </cell>
          <cell r="I87">
            <v>-18987</v>
          </cell>
          <cell r="J87">
            <v>-27805</v>
          </cell>
          <cell r="K87">
            <v>-86596</v>
          </cell>
          <cell r="L87">
            <v>-135840</v>
          </cell>
          <cell r="N87">
            <v>-21588</v>
          </cell>
          <cell r="O87">
            <v>-36651</v>
          </cell>
          <cell r="P87">
            <v>-68324</v>
          </cell>
          <cell r="Q87">
            <v>-145997</v>
          </cell>
          <cell r="S87">
            <v>-18833</v>
          </cell>
          <cell r="T87">
            <v>-51965</v>
          </cell>
          <cell r="U87">
            <v>-166694</v>
          </cell>
          <cell r="V87">
            <v>-253017</v>
          </cell>
          <cell r="X87">
            <v>-65706</v>
          </cell>
          <cell r="Y87">
            <v>-192217</v>
          </cell>
          <cell r="Z87">
            <v>-219032</v>
          </cell>
          <cell r="AA87">
            <v>-324340</v>
          </cell>
          <cell r="AC87">
            <v>-47753</v>
          </cell>
          <cell r="AD87">
            <v>-79454</v>
          </cell>
          <cell r="AE87">
            <v>-220163</v>
          </cell>
          <cell r="AF87">
            <v>-372610</v>
          </cell>
          <cell r="AH87">
            <v>-125343</v>
          </cell>
          <cell r="AI87">
            <v>-207617</v>
          </cell>
        </row>
        <row r="88">
          <cell r="B88" t="str">
            <v>Cash paid for business, net of cash acquired</v>
          </cell>
          <cell r="D88">
            <v>0</v>
          </cell>
          <cell r="E88">
            <v>0</v>
          </cell>
          <cell r="F88">
            <v>0</v>
          </cell>
          <cell r="G88">
            <v>0</v>
          </cell>
          <cell r="I88">
            <v>0</v>
          </cell>
          <cell r="J88">
            <v>0</v>
          </cell>
          <cell r="K88">
            <v>0</v>
          </cell>
          <cell r="L88">
            <v>0</v>
          </cell>
          <cell r="N88">
            <v>0</v>
          </cell>
          <cell r="O88">
            <v>0</v>
          </cell>
          <cell r="P88">
            <v>16627</v>
          </cell>
          <cell r="Q88">
            <v>16627</v>
          </cell>
          <cell r="S88">
            <v>0</v>
          </cell>
          <cell r="T88">
            <v>0</v>
          </cell>
          <cell r="U88">
            <v>0</v>
          </cell>
          <cell r="V88">
            <v>0</v>
          </cell>
          <cell r="X88">
            <v>0</v>
          </cell>
          <cell r="Y88">
            <v>0</v>
          </cell>
        </row>
        <row r="89">
          <cell r="B89" t="str">
            <v>Investment in unconsol. JVs</v>
          </cell>
          <cell r="D89">
            <v>0</v>
          </cell>
          <cell r="E89">
            <v>0</v>
          </cell>
          <cell r="F89">
            <v>0</v>
          </cell>
          <cell r="G89">
            <v>0</v>
          </cell>
          <cell r="I89">
            <v>0</v>
          </cell>
          <cell r="J89">
            <v>0</v>
          </cell>
          <cell r="K89">
            <v>0</v>
          </cell>
          <cell r="L89">
            <v>-1655</v>
          </cell>
          <cell r="N89">
            <v>-758</v>
          </cell>
          <cell r="O89">
            <v>-1932</v>
          </cell>
          <cell r="P89">
            <v>-3099</v>
          </cell>
          <cell r="Q89">
            <v>-4918</v>
          </cell>
          <cell r="S89">
            <v>-1596</v>
          </cell>
          <cell r="T89">
            <v>-1520</v>
          </cell>
          <cell r="U89">
            <v>-5072</v>
          </cell>
          <cell r="V89">
            <v>-6198</v>
          </cell>
          <cell r="X89">
            <v>-12780</v>
          </cell>
          <cell r="Y89">
            <v>-13034</v>
          </cell>
          <cell r="Z89">
            <v>-13335</v>
          </cell>
          <cell r="AA89">
            <v>-13790</v>
          </cell>
          <cell r="AC89">
            <v>-673</v>
          </cell>
          <cell r="AD89">
            <v>-1939</v>
          </cell>
          <cell r="AE89">
            <v>-5484</v>
          </cell>
          <cell r="AF89">
            <v>-6239</v>
          </cell>
          <cell r="AH89">
            <v>-185</v>
          </cell>
          <cell r="AI89">
            <v>-17282</v>
          </cell>
        </row>
        <row r="90">
          <cell r="B90" t="str">
            <v>Distributions from unconsolidated joint ventures</v>
          </cell>
          <cell r="D90">
            <v>0</v>
          </cell>
          <cell r="E90">
            <v>0</v>
          </cell>
          <cell r="F90">
            <v>0</v>
          </cell>
          <cell r="G90">
            <v>0</v>
          </cell>
          <cell r="I90">
            <v>0</v>
          </cell>
          <cell r="J90">
            <v>0</v>
          </cell>
          <cell r="K90">
            <v>0</v>
          </cell>
          <cell r="L90">
            <v>0</v>
          </cell>
          <cell r="N90">
            <v>0</v>
          </cell>
          <cell r="O90">
            <v>2168</v>
          </cell>
          <cell r="P90">
            <v>2707</v>
          </cell>
          <cell r="Q90">
            <v>3145</v>
          </cell>
          <cell r="S90">
            <v>248</v>
          </cell>
          <cell r="T90">
            <v>529</v>
          </cell>
          <cell r="U90">
            <v>682</v>
          </cell>
          <cell r="V90">
            <v>682</v>
          </cell>
          <cell r="X90">
            <v>4325</v>
          </cell>
          <cell r="Y90">
            <v>0</v>
          </cell>
        </row>
        <row r="91">
          <cell r="B91" t="str">
            <v>Proceeds from disposition of properties/land</v>
          </cell>
          <cell r="D91">
            <v>13271</v>
          </cell>
          <cell r="E91">
            <v>73854</v>
          </cell>
          <cell r="F91">
            <v>77298</v>
          </cell>
          <cell r="G91">
            <v>151604</v>
          </cell>
          <cell r="I91">
            <v>14924</v>
          </cell>
          <cell r="J91">
            <v>56470</v>
          </cell>
          <cell r="K91">
            <v>61843</v>
          </cell>
          <cell r="L91">
            <v>181903</v>
          </cell>
          <cell r="N91">
            <v>5040</v>
          </cell>
          <cell r="O91">
            <v>41100</v>
          </cell>
          <cell r="P91">
            <v>42333</v>
          </cell>
          <cell r="Q91">
            <v>49744</v>
          </cell>
          <cell r="S91">
            <v>6063</v>
          </cell>
          <cell r="T91">
            <v>8739</v>
          </cell>
          <cell r="U91">
            <v>13780</v>
          </cell>
          <cell r="V91">
            <v>54140</v>
          </cell>
          <cell r="X91">
            <v>28429</v>
          </cell>
          <cell r="Y91">
            <v>89749</v>
          </cell>
          <cell r="Z91">
            <v>147000</v>
          </cell>
          <cell r="AA91">
            <v>415144</v>
          </cell>
          <cell r="AC91">
            <v>148531</v>
          </cell>
          <cell r="AD91">
            <v>352658</v>
          </cell>
          <cell r="AE91">
            <v>383331</v>
          </cell>
          <cell r="AF91">
            <v>492548</v>
          </cell>
          <cell r="AH91">
            <v>82776</v>
          </cell>
          <cell r="AI91">
            <v>191595</v>
          </cell>
        </row>
        <row r="92">
          <cell r="B92" t="str">
            <v>Investment in development in progress</v>
          </cell>
          <cell r="D92">
            <v>-71065</v>
          </cell>
          <cell r="E92">
            <v>-139186</v>
          </cell>
          <cell r="F92">
            <v>-187116</v>
          </cell>
          <cell r="G92">
            <v>-255333</v>
          </cell>
          <cell r="I92">
            <v>-33490</v>
          </cell>
          <cell r="J92">
            <v>-88904</v>
          </cell>
          <cell r="K92">
            <v>-133706</v>
          </cell>
          <cell r="L92">
            <v>-167403</v>
          </cell>
          <cell r="N92">
            <v>-11409</v>
          </cell>
          <cell r="O92">
            <v>-24603</v>
          </cell>
          <cell r="P92">
            <v>-43422</v>
          </cell>
          <cell r="Q92">
            <v>-59953</v>
          </cell>
          <cell r="S92">
            <v>-19681</v>
          </cell>
          <cell r="T92">
            <v>-48847</v>
          </cell>
          <cell r="U92">
            <v>-76298</v>
          </cell>
          <cell r="V92">
            <v>-105208</v>
          </cell>
          <cell r="X92">
            <v>-25329</v>
          </cell>
          <cell r="Y92">
            <v>-72975</v>
          </cell>
          <cell r="Z92">
            <v>-167404</v>
          </cell>
          <cell r="AA92">
            <v>-235078</v>
          </cell>
          <cell r="AC92">
            <v>-68772</v>
          </cell>
          <cell r="AD92">
            <v>-176263</v>
          </cell>
          <cell r="AE92">
            <v>-255415</v>
          </cell>
          <cell r="AF92">
            <v>-359959</v>
          </cell>
          <cell r="AH92">
            <v>-114812</v>
          </cell>
          <cell r="AI92">
            <v>-265483</v>
          </cell>
        </row>
        <row r="93">
          <cell r="B93" t="str">
            <v>Investment in land held for devel</v>
          </cell>
          <cell r="D93">
            <v>-21713</v>
          </cell>
          <cell r="E93">
            <v>-34751</v>
          </cell>
          <cell r="F93">
            <v>-44488</v>
          </cell>
          <cell r="G93">
            <v>-54002</v>
          </cell>
          <cell r="I93">
            <v>-9796</v>
          </cell>
          <cell r="J93">
            <v>-18161</v>
          </cell>
          <cell r="K93">
            <v>-24405</v>
          </cell>
          <cell r="L93">
            <v>-29838</v>
          </cell>
          <cell r="N93">
            <v>-925</v>
          </cell>
          <cell r="O93">
            <v>-6693</v>
          </cell>
          <cell r="P93">
            <v>-11829</v>
          </cell>
          <cell r="Q93">
            <v>-27650</v>
          </cell>
          <cell r="S93">
            <v>-5543</v>
          </cell>
          <cell r="T93">
            <v>-18607</v>
          </cell>
          <cell r="U93">
            <v>-22358</v>
          </cell>
          <cell r="V93">
            <v>-34132</v>
          </cell>
          <cell r="X93">
            <v>-45695</v>
          </cell>
          <cell r="Y93">
            <v>-58774</v>
          </cell>
          <cell r="Z93">
            <v>-69920</v>
          </cell>
          <cell r="AA93">
            <v>-91436</v>
          </cell>
          <cell r="AC93">
            <v>-11198</v>
          </cell>
          <cell r="AD93">
            <v>-27817</v>
          </cell>
          <cell r="AE93">
            <v>-52064</v>
          </cell>
          <cell r="AF93">
            <v>-79976</v>
          </cell>
          <cell r="AH93">
            <v>-66963</v>
          </cell>
          <cell r="AI93">
            <v>-95590</v>
          </cell>
        </row>
        <row r="94">
          <cell r="B94" t="str">
            <v>Increase in deferred leasing costs</v>
          </cell>
          <cell r="D94">
            <v>-3979</v>
          </cell>
          <cell r="E94">
            <v>-13385</v>
          </cell>
          <cell r="F94">
            <v>-17495</v>
          </cell>
          <cell r="G94">
            <v>-18135</v>
          </cell>
          <cell r="I94">
            <v>-4562</v>
          </cell>
          <cell r="J94">
            <v>-7791</v>
          </cell>
          <cell r="K94">
            <v>-16129</v>
          </cell>
          <cell r="L94">
            <v>-18786</v>
          </cell>
          <cell r="N94">
            <v>-5122</v>
          </cell>
          <cell r="O94">
            <v>-10609</v>
          </cell>
          <cell r="P94">
            <v>-16987</v>
          </cell>
          <cell r="Q94">
            <v>-22986</v>
          </cell>
          <cell r="S94">
            <v>-4740</v>
          </cell>
          <cell r="T94">
            <v>-10461</v>
          </cell>
          <cell r="U94">
            <v>-22570</v>
          </cell>
          <cell r="V94">
            <v>-29560</v>
          </cell>
          <cell r="X94">
            <v>-14376</v>
          </cell>
          <cell r="Y94">
            <v>-24232</v>
          </cell>
          <cell r="Z94">
            <v>-27162</v>
          </cell>
          <cell r="AA94">
            <v>-37133</v>
          </cell>
          <cell r="AC94">
            <v>-5244</v>
          </cell>
          <cell r="AD94">
            <v>-11311</v>
          </cell>
          <cell r="AE94">
            <v>-20796</v>
          </cell>
          <cell r="AF94">
            <v>-29034</v>
          </cell>
          <cell r="AH94">
            <v>-11301</v>
          </cell>
          <cell r="AI94">
            <v>-21984</v>
          </cell>
        </row>
        <row r="96">
          <cell r="B96" t="str">
            <v>Net cash used in investing activities</v>
          </cell>
          <cell r="D96">
            <v>-111023</v>
          </cell>
          <cell r="E96">
            <v>-149112</v>
          </cell>
          <cell r="F96">
            <v>-231065</v>
          </cell>
          <cell r="G96">
            <v>-233198</v>
          </cell>
          <cell r="I96">
            <v>-51911</v>
          </cell>
          <cell r="J96">
            <v>-86191</v>
          </cell>
          <cell r="K96">
            <v>-198993</v>
          </cell>
          <cell r="L96">
            <v>-171619</v>
          </cell>
          <cell r="N96">
            <v>-34762</v>
          </cell>
          <cell r="O96">
            <v>-37220</v>
          </cell>
          <cell r="P96">
            <v>-81994</v>
          </cell>
          <cell r="Q96">
            <v>-191988</v>
          </cell>
          <cell r="S96">
            <v>-44082</v>
          </cell>
          <cell r="T96">
            <v>-122132</v>
          </cell>
          <cell r="U96">
            <v>-278530</v>
          </cell>
          <cell r="V96">
            <v>-373293</v>
          </cell>
          <cell r="X96">
            <v>-131132</v>
          </cell>
          <cell r="Y96">
            <v>-271483</v>
          </cell>
          <cell r="Z96">
            <v>-349853</v>
          </cell>
          <cell r="AA96">
            <v>-286633</v>
          </cell>
          <cell r="AC96">
            <v>14891</v>
          </cell>
          <cell r="AD96">
            <v>55874</v>
          </cell>
          <cell r="AE96">
            <v>-170591</v>
          </cell>
          <cell r="AF96">
            <v>-355270</v>
          </cell>
          <cell r="AH96">
            <v>-235828</v>
          </cell>
          <cell r="AI96">
            <v>-416361</v>
          </cell>
        </row>
        <row r="98">
          <cell r="B98" t="str">
            <v>Net proceeds from issuance of common shares</v>
          </cell>
          <cell r="D98">
            <v>2182</v>
          </cell>
          <cell r="E98">
            <v>8172</v>
          </cell>
          <cell r="F98">
            <v>18178</v>
          </cell>
          <cell r="G98">
            <v>31538</v>
          </cell>
          <cell r="I98">
            <v>15317</v>
          </cell>
          <cell r="J98">
            <v>31884</v>
          </cell>
          <cell r="K98">
            <v>51985</v>
          </cell>
          <cell r="L98">
            <v>67628</v>
          </cell>
          <cell r="N98">
            <v>19841</v>
          </cell>
          <cell r="O98">
            <v>55247</v>
          </cell>
          <cell r="P98">
            <v>83701</v>
          </cell>
          <cell r="Q98">
            <v>206384</v>
          </cell>
          <cell r="S98">
            <v>35371</v>
          </cell>
          <cell r="T98">
            <v>51611</v>
          </cell>
          <cell r="U98">
            <v>69485</v>
          </cell>
          <cell r="V98">
            <v>85171</v>
          </cell>
          <cell r="X98">
            <v>22291</v>
          </cell>
          <cell r="Y98">
            <v>49281</v>
          </cell>
          <cell r="Z98">
            <v>68165</v>
          </cell>
          <cell r="AA98">
            <v>87514</v>
          </cell>
          <cell r="AC98">
            <v>14855</v>
          </cell>
          <cell r="AD98">
            <v>40151</v>
          </cell>
          <cell r="AE98">
            <v>61185</v>
          </cell>
          <cell r="AF98">
            <v>87043</v>
          </cell>
          <cell r="AH98">
            <v>22953</v>
          </cell>
          <cell r="AI98">
            <v>39453</v>
          </cell>
        </row>
        <row r="99">
          <cell r="B99" t="str">
            <v>Net proceeds from issuance of pref. units</v>
          </cell>
          <cell r="D99">
            <v>0</v>
          </cell>
          <cell r="E99">
            <v>0</v>
          </cell>
          <cell r="F99">
            <v>0</v>
          </cell>
          <cell r="G99">
            <v>0</v>
          </cell>
          <cell r="I99">
            <v>0</v>
          </cell>
          <cell r="J99">
            <v>22979</v>
          </cell>
          <cell r="K99">
            <v>22954</v>
          </cell>
          <cell r="L99">
            <v>22954</v>
          </cell>
          <cell r="N99">
            <v>0</v>
          </cell>
          <cell r="O99">
            <v>0</v>
          </cell>
          <cell r="P99">
            <v>0</v>
          </cell>
          <cell r="Q99">
            <v>0</v>
          </cell>
          <cell r="S99">
            <v>0</v>
          </cell>
          <cell r="T99">
            <v>0</v>
          </cell>
          <cell r="U99">
            <v>0</v>
          </cell>
          <cell r="V99">
            <v>0</v>
          </cell>
          <cell r="X99">
            <v>0</v>
          </cell>
          <cell r="Y99">
            <v>42889</v>
          </cell>
          <cell r="Z99">
            <v>48686</v>
          </cell>
          <cell r="AA99">
            <v>48686</v>
          </cell>
          <cell r="AF99">
            <v>26305</v>
          </cell>
          <cell r="AH99">
            <v>-4</v>
          </cell>
        </row>
        <row r="100">
          <cell r="B100" t="str">
            <v>Retirement of convertible debentures</v>
          </cell>
          <cell r="D100">
            <v>0</v>
          </cell>
          <cell r="E100">
            <v>0</v>
          </cell>
          <cell r="F100">
            <v>-597</v>
          </cell>
          <cell r="G100">
            <v>-597</v>
          </cell>
          <cell r="I100">
            <v>0</v>
          </cell>
          <cell r="J100">
            <v>0</v>
          </cell>
          <cell r="K100">
            <v>0</v>
          </cell>
          <cell r="L100">
            <v>0</v>
          </cell>
          <cell r="N100">
            <v>0</v>
          </cell>
          <cell r="O100">
            <v>0</v>
          </cell>
          <cell r="P100">
            <v>0</v>
          </cell>
          <cell r="Q100">
            <v>0</v>
          </cell>
          <cell r="S100">
            <v>0</v>
          </cell>
          <cell r="T100">
            <v>0</v>
          </cell>
          <cell r="U100">
            <v>0</v>
          </cell>
          <cell r="V100">
            <v>0</v>
          </cell>
          <cell r="X100">
            <v>0</v>
          </cell>
          <cell r="Y100">
            <v>0</v>
          </cell>
        </row>
        <row r="101">
          <cell r="B101" t="str">
            <v>Redemption of preferred shares</v>
          </cell>
          <cell r="D101">
            <v>0</v>
          </cell>
          <cell r="E101">
            <v>0</v>
          </cell>
          <cell r="F101">
            <v>0</v>
          </cell>
          <cell r="G101">
            <v>0</v>
          </cell>
          <cell r="I101">
            <v>0</v>
          </cell>
          <cell r="J101">
            <v>0</v>
          </cell>
          <cell r="K101">
            <v>-125063</v>
          </cell>
          <cell r="L101">
            <v>-125063</v>
          </cell>
          <cell r="N101">
            <v>0</v>
          </cell>
          <cell r="O101">
            <v>0</v>
          </cell>
          <cell r="P101">
            <v>0</v>
          </cell>
          <cell r="Q101">
            <v>0</v>
          </cell>
          <cell r="S101">
            <v>0</v>
          </cell>
          <cell r="T101">
            <v>0</v>
          </cell>
          <cell r="U101">
            <v>0</v>
          </cell>
          <cell r="V101">
            <v>0</v>
          </cell>
          <cell r="X101">
            <v>0</v>
          </cell>
          <cell r="Y101">
            <v>0</v>
          </cell>
          <cell r="AI101">
            <v>-74228</v>
          </cell>
        </row>
        <row r="102">
          <cell r="B102" t="str">
            <v>Proceeds from issuance of unsecured notes</v>
          </cell>
          <cell r="D102">
            <v>250000</v>
          </cell>
          <cell r="E102">
            <v>250000</v>
          </cell>
          <cell r="F102">
            <v>250000</v>
          </cell>
          <cell r="G102">
            <v>250000</v>
          </cell>
          <cell r="I102">
            <v>0</v>
          </cell>
          <cell r="J102">
            <v>0</v>
          </cell>
          <cell r="K102">
            <v>150000</v>
          </cell>
          <cell r="L102">
            <v>148062</v>
          </cell>
          <cell r="N102">
            <v>3683</v>
          </cell>
          <cell r="O102">
            <v>3683</v>
          </cell>
          <cell r="P102">
            <v>3683</v>
          </cell>
          <cell r="Q102">
            <v>3683</v>
          </cell>
          <cell r="S102">
            <v>0</v>
          </cell>
          <cell r="T102">
            <v>0</v>
          </cell>
          <cell r="U102">
            <v>197517</v>
          </cell>
          <cell r="V102">
            <v>197517</v>
          </cell>
          <cell r="X102">
            <v>296424</v>
          </cell>
          <cell r="Y102">
            <v>296424</v>
          </cell>
          <cell r="Z102">
            <v>296424</v>
          </cell>
          <cell r="AA102">
            <v>296424</v>
          </cell>
          <cell r="AF102">
            <v>295393</v>
          </cell>
        </row>
        <row r="103">
          <cell r="B103" t="str">
            <v>Repayments of unsecured notes</v>
          </cell>
          <cell r="D103">
            <v>0</v>
          </cell>
          <cell r="E103">
            <v>0</v>
          </cell>
          <cell r="F103">
            <v>0</v>
          </cell>
          <cell r="G103">
            <v>0</v>
          </cell>
          <cell r="I103">
            <v>0</v>
          </cell>
          <cell r="J103">
            <v>-100000</v>
          </cell>
          <cell r="K103">
            <v>-100000</v>
          </cell>
          <cell r="L103">
            <v>-100000</v>
          </cell>
          <cell r="N103">
            <v>0</v>
          </cell>
          <cell r="O103">
            <v>-23739</v>
          </cell>
          <cell r="P103">
            <v>-23739</v>
          </cell>
          <cell r="Q103">
            <v>-73739</v>
          </cell>
          <cell r="S103">
            <v>0</v>
          </cell>
          <cell r="T103">
            <v>0</v>
          </cell>
          <cell r="U103">
            <v>-100000</v>
          </cell>
          <cell r="V103">
            <v>-100000</v>
          </cell>
          <cell r="X103">
            <v>0</v>
          </cell>
          <cell r="Y103">
            <v>0</v>
          </cell>
          <cell r="AF103">
            <v>-100000</v>
          </cell>
        </row>
        <row r="104">
          <cell r="B104" t="str">
            <v>Proceeds from mortgage loans</v>
          </cell>
          <cell r="D104">
            <v>0</v>
          </cell>
          <cell r="E104">
            <v>0</v>
          </cell>
          <cell r="F104">
            <v>0</v>
          </cell>
          <cell r="G104">
            <v>0</v>
          </cell>
          <cell r="I104">
            <v>9695</v>
          </cell>
          <cell r="J104">
            <v>5733</v>
          </cell>
          <cell r="K104">
            <v>7121</v>
          </cell>
          <cell r="L104">
            <v>8366</v>
          </cell>
          <cell r="N104">
            <v>100</v>
          </cell>
          <cell r="O104">
            <v>1212</v>
          </cell>
          <cell r="P104">
            <v>924</v>
          </cell>
          <cell r="Q104">
            <v>1223</v>
          </cell>
          <cell r="S104">
            <v>5953</v>
          </cell>
          <cell r="T104">
            <v>7723</v>
          </cell>
          <cell r="U104">
            <v>9525</v>
          </cell>
          <cell r="V104">
            <v>9618</v>
          </cell>
          <cell r="X104">
            <v>0</v>
          </cell>
          <cell r="Y104">
            <v>0</v>
          </cell>
        </row>
        <row r="105">
          <cell r="B105" t="str">
            <v>Repayments of mortgage loans</v>
          </cell>
          <cell r="D105">
            <v>-5129</v>
          </cell>
          <cell r="E105">
            <v>-7389</v>
          </cell>
          <cell r="F105">
            <v>-13903</v>
          </cell>
          <cell r="G105">
            <v>-31782</v>
          </cell>
          <cell r="I105">
            <v>-1896</v>
          </cell>
          <cell r="J105">
            <v>-3830</v>
          </cell>
          <cell r="K105">
            <v>-5834</v>
          </cell>
          <cell r="L105">
            <v>-9310</v>
          </cell>
          <cell r="N105">
            <v>-1892</v>
          </cell>
          <cell r="O105">
            <v>-6675</v>
          </cell>
          <cell r="P105">
            <v>-8623</v>
          </cell>
          <cell r="Q105">
            <v>-15436</v>
          </cell>
          <cell r="S105">
            <v>-8061</v>
          </cell>
          <cell r="T105">
            <v>-10043</v>
          </cell>
          <cell r="U105">
            <v>-14051</v>
          </cell>
          <cell r="V105">
            <v>-23592</v>
          </cell>
          <cell r="X105">
            <v>-4239</v>
          </cell>
          <cell r="Y105">
            <v>-96656</v>
          </cell>
          <cell r="Z105">
            <v>-126768</v>
          </cell>
          <cell r="AA105">
            <v>-173926</v>
          </cell>
          <cell r="AC105">
            <v>-21034</v>
          </cell>
          <cell r="AD105">
            <v>-29185</v>
          </cell>
          <cell r="AE105">
            <v>-37586</v>
          </cell>
          <cell r="AF105">
            <v>-56406</v>
          </cell>
          <cell r="AH105">
            <v>-2111</v>
          </cell>
          <cell r="AI105">
            <v>-5798</v>
          </cell>
        </row>
        <row r="106">
          <cell r="B106" t="str">
            <v>Proceeds from credit facility</v>
          </cell>
          <cell r="D106">
            <v>73000</v>
          </cell>
          <cell r="E106">
            <v>126200</v>
          </cell>
          <cell r="F106">
            <v>253200</v>
          </cell>
          <cell r="G106">
            <v>305200</v>
          </cell>
          <cell r="I106">
            <v>40000</v>
          </cell>
          <cell r="J106">
            <v>185100</v>
          </cell>
          <cell r="K106">
            <v>391000</v>
          </cell>
          <cell r="L106">
            <v>444000</v>
          </cell>
          <cell r="N106">
            <v>202000</v>
          </cell>
          <cell r="O106">
            <v>237050</v>
          </cell>
          <cell r="P106">
            <v>327850</v>
          </cell>
          <cell r="Q106">
            <v>453950</v>
          </cell>
          <cell r="S106">
            <v>65500</v>
          </cell>
          <cell r="T106">
            <v>151756</v>
          </cell>
          <cell r="U106">
            <v>298056</v>
          </cell>
          <cell r="V106">
            <v>477800</v>
          </cell>
          <cell r="X106">
            <v>136500</v>
          </cell>
          <cell r="Y106">
            <v>339550</v>
          </cell>
          <cell r="Z106">
            <v>461650</v>
          </cell>
          <cell r="AA106">
            <v>784800</v>
          </cell>
          <cell r="AC106">
            <v>86050</v>
          </cell>
          <cell r="AD106">
            <v>234445</v>
          </cell>
          <cell r="AE106">
            <v>419095</v>
          </cell>
          <cell r="AF106">
            <v>725025</v>
          </cell>
          <cell r="AH106">
            <v>330950</v>
          </cell>
          <cell r="AI106">
            <v>552200</v>
          </cell>
        </row>
        <row r="107">
          <cell r="B107" t="str">
            <v>Repayments on credit facility</v>
          </cell>
          <cell r="D107">
            <v>-249000</v>
          </cell>
          <cell r="E107">
            <v>-290200</v>
          </cell>
          <cell r="F107">
            <v>-339200</v>
          </cell>
          <cell r="G107">
            <v>-413200</v>
          </cell>
          <cell r="I107">
            <v>-10000</v>
          </cell>
          <cell r="J107">
            <v>-87100</v>
          </cell>
          <cell r="K107">
            <v>-256000</v>
          </cell>
          <cell r="L107">
            <v>-380000</v>
          </cell>
          <cell r="N107">
            <v>-176000</v>
          </cell>
          <cell r="O107">
            <v>-248050</v>
          </cell>
          <cell r="P107">
            <v>-307850</v>
          </cell>
          <cell r="Q107">
            <v>-418950</v>
          </cell>
          <cell r="S107">
            <v>-49500</v>
          </cell>
          <cell r="T107">
            <v>-99756</v>
          </cell>
          <cell r="U107">
            <v>-219956</v>
          </cell>
          <cell r="V107">
            <v>-332800</v>
          </cell>
          <cell r="X107">
            <v>-323500</v>
          </cell>
          <cell r="Y107">
            <v>-419550</v>
          </cell>
          <cell r="Z107">
            <v>-484650</v>
          </cell>
          <cell r="AA107">
            <v>-841350</v>
          </cell>
          <cell r="AC107">
            <v>-96500</v>
          </cell>
          <cell r="AD107">
            <v>-275415</v>
          </cell>
          <cell r="AE107">
            <v>-346065</v>
          </cell>
          <cell r="AF107">
            <v>-733515</v>
          </cell>
          <cell r="AH107">
            <v>-179950</v>
          </cell>
          <cell r="AI107">
            <v>-256200</v>
          </cell>
        </row>
        <row r="108">
          <cell r="B108" t="str">
            <v>Increase in deferred financing costs</v>
          </cell>
          <cell r="D108">
            <v>-3965</v>
          </cell>
          <cell r="E108">
            <v>142</v>
          </cell>
          <cell r="F108">
            <v>279</v>
          </cell>
          <cell r="G108">
            <v>-3758</v>
          </cell>
          <cell r="I108">
            <v>0</v>
          </cell>
          <cell r="J108">
            <v>2</v>
          </cell>
          <cell r="K108">
            <v>-1823</v>
          </cell>
          <cell r="L108">
            <v>-1143</v>
          </cell>
          <cell r="N108">
            <v>-2492</v>
          </cell>
          <cell r="O108">
            <v>-2540</v>
          </cell>
          <cell r="P108">
            <v>-2563</v>
          </cell>
          <cell r="Q108">
            <v>-2640</v>
          </cell>
          <cell r="S108">
            <v>-571</v>
          </cell>
          <cell r="T108">
            <v>-506</v>
          </cell>
          <cell r="U108">
            <v>-275</v>
          </cell>
          <cell r="V108">
            <v>-199</v>
          </cell>
          <cell r="X108">
            <v>-6</v>
          </cell>
          <cell r="Y108">
            <v>1823</v>
          </cell>
          <cell r="Z108">
            <v>-139</v>
          </cell>
          <cell r="AA108">
            <v>-3465</v>
          </cell>
          <cell r="AC108">
            <v>-213</v>
          </cell>
          <cell r="AD108">
            <v>-1813</v>
          </cell>
          <cell r="AE108">
            <v>-1971</v>
          </cell>
          <cell r="AF108">
            <v>-1635</v>
          </cell>
          <cell r="AH108">
            <v>-36</v>
          </cell>
          <cell r="AI108">
            <v>-126</v>
          </cell>
        </row>
        <row r="109">
          <cell r="B109" t="str">
            <v>Distributions paid on common shares</v>
          </cell>
          <cell r="D109">
            <v>-38849</v>
          </cell>
          <cell r="E109">
            <v>-78834</v>
          </cell>
          <cell r="F109">
            <v>-119022</v>
          </cell>
          <cell r="G109">
            <v>-162118</v>
          </cell>
          <cell r="I109">
            <v>-43430</v>
          </cell>
          <cell r="J109">
            <v>-87248</v>
          </cell>
          <cell r="K109">
            <v>-131469</v>
          </cell>
          <cell r="L109">
            <v>-176924</v>
          </cell>
          <cell r="N109">
            <v>-45806</v>
          </cell>
          <cell r="O109">
            <v>-92095</v>
          </cell>
          <cell r="P109">
            <v>-139204</v>
          </cell>
          <cell r="Q109">
            <v>-187293</v>
          </cell>
          <cell r="S109">
            <v>-50146</v>
          </cell>
          <cell r="T109">
            <v>-101088</v>
          </cell>
          <cell r="U109">
            <v>-152350</v>
          </cell>
          <cell r="V109">
            <v>-204339</v>
          </cell>
          <cell r="X109">
            <v>-52248</v>
          </cell>
          <cell r="Y109">
            <v>-105035</v>
          </cell>
          <cell r="Z109">
            <v>-158308</v>
          </cell>
          <cell r="AA109">
            <v>-212305</v>
          </cell>
          <cell r="AC109">
            <v>-54326</v>
          </cell>
          <cell r="AD109">
            <v>-108935</v>
          </cell>
          <cell r="AE109">
            <v>-164005</v>
          </cell>
          <cell r="AF109">
            <v>-219873</v>
          </cell>
          <cell r="AH109">
            <v>-56364</v>
          </cell>
          <cell r="AI109">
            <v>-113180</v>
          </cell>
        </row>
        <row r="110">
          <cell r="B110" t="str">
            <v>Distributions paid on pref. shares</v>
          </cell>
          <cell r="D110">
            <v>-2750</v>
          </cell>
          <cell r="E110">
            <v>-5500</v>
          </cell>
          <cell r="F110">
            <v>-8250</v>
          </cell>
          <cell r="G110">
            <v>-11000</v>
          </cell>
          <cell r="I110">
            <v>-2750</v>
          </cell>
          <cell r="J110">
            <v>-5500</v>
          </cell>
          <cell r="K110">
            <v>-9075</v>
          </cell>
          <cell r="L110">
            <v>-9075</v>
          </cell>
          <cell r="N110">
            <v>0</v>
          </cell>
          <cell r="O110">
            <v>0</v>
          </cell>
          <cell r="P110">
            <v>0</v>
          </cell>
          <cell r="Q110">
            <v>0</v>
          </cell>
          <cell r="S110">
            <v>0</v>
          </cell>
          <cell r="T110">
            <v>0</v>
          </cell>
          <cell r="U110">
            <v>0</v>
          </cell>
          <cell r="V110">
            <v>0</v>
          </cell>
          <cell r="X110">
            <v>0</v>
          </cell>
          <cell r="Y110">
            <v>0</v>
          </cell>
        </row>
        <row r="111">
          <cell r="B111" t="str">
            <v>Contributions from minority interests</v>
          </cell>
          <cell r="V111">
            <v>1158</v>
          </cell>
          <cell r="X111">
            <v>108</v>
          </cell>
          <cell r="Y111">
            <v>-3710</v>
          </cell>
          <cell r="Z111">
            <v>-3932</v>
          </cell>
          <cell r="AA111">
            <v>-3937</v>
          </cell>
        </row>
        <row r="112">
          <cell r="B112" t="str">
            <v>Distributions paid on units</v>
          </cell>
          <cell r="D112">
            <v>-5191</v>
          </cell>
          <cell r="E112">
            <v>-10193</v>
          </cell>
          <cell r="F112">
            <v>-15063</v>
          </cell>
          <cell r="G112">
            <v>-20030</v>
          </cell>
          <cell r="I112">
            <v>-5032</v>
          </cell>
          <cell r="J112">
            <v>-10158</v>
          </cell>
          <cell r="K112">
            <v>-15398</v>
          </cell>
          <cell r="L112">
            <v>-20757</v>
          </cell>
          <cell r="N112">
            <v>-6189</v>
          </cell>
          <cell r="O112">
            <v>-15734</v>
          </cell>
          <cell r="P112">
            <v>-20579</v>
          </cell>
          <cell r="Q112">
            <v>-25293</v>
          </cell>
          <cell r="S112">
            <v>-5158</v>
          </cell>
          <cell r="T112">
            <v>-10533</v>
          </cell>
          <cell r="U112">
            <v>-15410</v>
          </cell>
          <cell r="V112">
            <v>-20716</v>
          </cell>
          <cell r="X112">
            <v>-4927</v>
          </cell>
          <cell r="Y112">
            <v>-9866</v>
          </cell>
          <cell r="Z112">
            <v>-15284</v>
          </cell>
          <cell r="AA112">
            <v>-20859</v>
          </cell>
          <cell r="AC112">
            <v>-5797</v>
          </cell>
          <cell r="AD112">
            <v>-11369</v>
          </cell>
          <cell r="AE112">
            <v>-16876</v>
          </cell>
          <cell r="AF112">
            <v>-22664</v>
          </cell>
          <cell r="AH112">
            <v>-6606</v>
          </cell>
          <cell r="AI112">
            <v>-13048</v>
          </cell>
        </row>
        <row r="114">
          <cell r="B114" t="str">
            <v>Net cash (used) provided by financing activites</v>
          </cell>
          <cell r="D114">
            <v>20298</v>
          </cell>
          <cell r="E114">
            <v>-7602</v>
          </cell>
          <cell r="F114">
            <v>25622</v>
          </cell>
          <cell r="G114">
            <v>-55747</v>
          </cell>
          <cell r="I114">
            <v>1904</v>
          </cell>
          <cell r="J114">
            <v>-48138</v>
          </cell>
          <cell r="K114">
            <v>-21602</v>
          </cell>
          <cell r="L114">
            <v>-131262</v>
          </cell>
          <cell r="N114">
            <v>-6755</v>
          </cell>
          <cell r="O114">
            <v>-91641</v>
          </cell>
          <cell r="P114">
            <v>-86400</v>
          </cell>
          <cell r="Q114">
            <v>-58111</v>
          </cell>
          <cell r="S114">
            <v>-6612</v>
          </cell>
          <cell r="T114">
            <v>-10836</v>
          </cell>
          <cell r="U114">
            <v>72541</v>
          </cell>
          <cell r="V114">
            <v>89618</v>
          </cell>
          <cell r="X114">
            <v>70403</v>
          </cell>
          <cell r="Y114">
            <v>95150</v>
          </cell>
          <cell r="Z114">
            <v>85844</v>
          </cell>
          <cell r="AA114">
            <v>-38418</v>
          </cell>
          <cell r="AC114">
            <v>-76965</v>
          </cell>
          <cell r="AD114">
            <v>-152121</v>
          </cell>
          <cell r="AE114">
            <v>-86223</v>
          </cell>
          <cell r="AF114">
            <v>-327</v>
          </cell>
          <cell r="AH114">
            <v>108832</v>
          </cell>
          <cell r="AI114">
            <v>129073</v>
          </cell>
        </row>
        <row r="116">
          <cell r="B116" t="str">
            <v>Effect of exchange rate on cash</v>
          </cell>
          <cell r="D116">
            <v>0</v>
          </cell>
          <cell r="E116">
            <v>0</v>
          </cell>
          <cell r="F116">
            <v>0</v>
          </cell>
          <cell r="G116">
            <v>0</v>
          </cell>
          <cell r="I116">
            <v>0</v>
          </cell>
          <cell r="J116">
            <v>0</v>
          </cell>
          <cell r="K116">
            <v>0</v>
          </cell>
          <cell r="L116">
            <v>0</v>
          </cell>
          <cell r="N116">
            <v>0</v>
          </cell>
          <cell r="O116">
            <v>0</v>
          </cell>
          <cell r="P116">
            <v>-1554</v>
          </cell>
          <cell r="Q116">
            <v>3309</v>
          </cell>
          <cell r="S116">
            <v>1060</v>
          </cell>
          <cell r="T116">
            <v>370</v>
          </cell>
          <cell r="U116">
            <v>167</v>
          </cell>
          <cell r="V116">
            <v>2879</v>
          </cell>
          <cell r="X116">
            <v>-760</v>
          </cell>
          <cell r="Y116">
            <v>-2713</v>
          </cell>
          <cell r="Z116">
            <v>-3706</v>
          </cell>
          <cell r="AA116">
            <v>-6684</v>
          </cell>
          <cell r="AC116">
            <v>517</v>
          </cell>
          <cell r="AD116">
            <v>2242</v>
          </cell>
          <cell r="AE116">
            <v>2474</v>
          </cell>
          <cell r="AF116">
            <v>2804</v>
          </cell>
          <cell r="AH116">
            <v>217</v>
          </cell>
          <cell r="AI116">
            <v>944</v>
          </cell>
        </row>
        <row r="118">
          <cell r="B118" t="str">
            <v>(Decrease) increase in cash</v>
          </cell>
          <cell r="D118">
            <v>-1228</v>
          </cell>
          <cell r="E118">
            <v>31493</v>
          </cell>
          <cell r="F118">
            <v>2182</v>
          </cell>
          <cell r="G118">
            <v>14752</v>
          </cell>
          <cell r="I118">
            <v>2810</v>
          </cell>
          <cell r="J118">
            <v>11352</v>
          </cell>
          <cell r="K118">
            <v>-3784</v>
          </cell>
          <cell r="L118">
            <v>-8319</v>
          </cell>
          <cell r="N118">
            <v>18769</v>
          </cell>
          <cell r="O118">
            <v>15197</v>
          </cell>
          <cell r="P118">
            <v>32679</v>
          </cell>
          <cell r="Q118">
            <v>13876</v>
          </cell>
          <cell r="S118">
            <v>12696</v>
          </cell>
          <cell r="T118">
            <v>17475</v>
          </cell>
          <cell r="U118">
            <v>-34</v>
          </cell>
          <cell r="V118">
            <v>11858</v>
          </cell>
          <cell r="X118">
            <v>3116</v>
          </cell>
          <cell r="Y118">
            <v>17324</v>
          </cell>
          <cell r="Z118">
            <v>9542</v>
          </cell>
          <cell r="AA118">
            <v>27962</v>
          </cell>
          <cell r="AC118">
            <v>-18496</v>
          </cell>
          <cell r="AD118">
            <v>-23867</v>
          </cell>
          <cell r="AE118">
            <v>-35056</v>
          </cell>
          <cell r="AF118">
            <v>-7892</v>
          </cell>
          <cell r="AH118">
            <v>-15878</v>
          </cell>
          <cell r="AI118">
            <v>-40996</v>
          </cell>
        </row>
        <row r="119">
          <cell r="B119" t="str">
            <v/>
          </cell>
        </row>
        <row r="120">
          <cell r="B120" t="str">
            <v>Cash and cash equivalents at beginning</v>
          </cell>
          <cell r="D120">
            <v>4638</v>
          </cell>
          <cell r="E120">
            <v>4638</v>
          </cell>
          <cell r="F120">
            <v>4638</v>
          </cell>
          <cell r="G120">
            <v>4638</v>
          </cell>
          <cell r="I120">
            <v>19390</v>
          </cell>
          <cell r="J120">
            <v>19390</v>
          </cell>
          <cell r="K120">
            <v>19390</v>
          </cell>
          <cell r="L120">
            <v>19390</v>
          </cell>
          <cell r="N120">
            <v>11071</v>
          </cell>
          <cell r="O120">
            <v>11071</v>
          </cell>
          <cell r="P120">
            <v>11071</v>
          </cell>
          <cell r="Q120">
            <v>7933</v>
          </cell>
          <cell r="S120">
            <v>21809</v>
          </cell>
          <cell r="T120">
            <v>21809</v>
          </cell>
          <cell r="U120">
            <v>21809</v>
          </cell>
          <cell r="V120">
            <v>21809</v>
          </cell>
          <cell r="X120">
            <v>33667</v>
          </cell>
          <cell r="Y120">
            <v>33667</v>
          </cell>
          <cell r="Z120">
            <v>33667</v>
          </cell>
          <cell r="AA120">
            <v>33667</v>
          </cell>
          <cell r="AC120">
            <v>61629</v>
          </cell>
          <cell r="AD120">
            <v>61629</v>
          </cell>
          <cell r="AE120">
            <v>61629</v>
          </cell>
          <cell r="AF120">
            <v>61629</v>
          </cell>
          <cell r="AH120">
            <v>53737</v>
          </cell>
          <cell r="AI120">
            <v>53737</v>
          </cell>
        </row>
        <row r="121">
          <cell r="B121" t="str">
            <v>Cash and cash equivalents at end</v>
          </cell>
          <cell r="D121">
            <v>3410</v>
          </cell>
          <cell r="E121">
            <v>36131</v>
          </cell>
          <cell r="F121">
            <v>6820</v>
          </cell>
          <cell r="G121">
            <v>19390</v>
          </cell>
          <cell r="I121">
            <v>22200</v>
          </cell>
          <cell r="J121">
            <v>30742</v>
          </cell>
          <cell r="K121">
            <v>15606</v>
          </cell>
          <cell r="L121">
            <v>11071</v>
          </cell>
          <cell r="N121">
            <v>29840</v>
          </cell>
          <cell r="O121">
            <v>26268</v>
          </cell>
          <cell r="P121">
            <v>43750</v>
          </cell>
          <cell r="Q121">
            <v>21809</v>
          </cell>
          <cell r="S121">
            <v>34505</v>
          </cell>
          <cell r="T121">
            <v>39284</v>
          </cell>
          <cell r="U121">
            <v>21775</v>
          </cell>
          <cell r="V121">
            <v>33667</v>
          </cell>
          <cell r="X121">
            <v>36783</v>
          </cell>
          <cell r="Y121">
            <v>50991</v>
          </cell>
          <cell r="Z121">
            <v>43209</v>
          </cell>
          <cell r="AA121">
            <v>61629</v>
          </cell>
          <cell r="AC121">
            <v>43133</v>
          </cell>
          <cell r="AD121">
            <v>37762</v>
          </cell>
          <cell r="AE121">
            <v>26573</v>
          </cell>
          <cell r="AF121">
            <v>53737</v>
          </cell>
          <cell r="AH121">
            <v>37859</v>
          </cell>
          <cell r="AI121">
            <v>12741</v>
          </cell>
        </row>
        <row r="124">
          <cell r="B124" t="str">
            <v/>
          </cell>
        </row>
      </sheetData>
      <sheetData sheetId="15" refreshError="1"/>
      <sheetData sheetId="16" refreshError="1">
        <row r="3">
          <cell r="A3" t="str">
            <v>Liberty Property Trust</v>
          </cell>
        </row>
        <row r="4">
          <cell r="A4" t="str">
            <v>Acquisitions &amp; Developments</v>
          </cell>
        </row>
        <row r="5">
          <cell r="A5" t="str">
            <v>(Dollars In Thousands, Except Per-Share)</v>
          </cell>
        </row>
        <row r="9">
          <cell r="B9">
            <v>1999</v>
          </cell>
          <cell r="G9">
            <v>2000</v>
          </cell>
          <cell r="L9">
            <v>2001</v>
          </cell>
          <cell r="Q9">
            <v>2002</v>
          </cell>
          <cell r="V9">
            <v>2003</v>
          </cell>
          <cell r="AA9">
            <v>2004</v>
          </cell>
          <cell r="AF9">
            <v>2005</v>
          </cell>
          <cell r="AK9">
            <v>2006</v>
          </cell>
          <cell r="AP9">
            <v>2007</v>
          </cell>
          <cell r="AU9">
            <v>2008</v>
          </cell>
          <cell r="AZ9">
            <v>2009</v>
          </cell>
          <cell r="BE9">
            <v>2010</v>
          </cell>
        </row>
        <row r="10">
          <cell r="A10" t="str">
            <v>Year Ends December 31</v>
          </cell>
          <cell r="B10" t="str">
            <v>1QA</v>
          </cell>
          <cell r="C10" t="str">
            <v>2QA</v>
          </cell>
          <cell r="D10" t="str">
            <v>3QA</v>
          </cell>
          <cell r="E10" t="str">
            <v>4QA</v>
          </cell>
          <cell r="F10" t="str">
            <v>1999A</v>
          </cell>
          <cell r="G10" t="str">
            <v>1QA</v>
          </cell>
          <cell r="H10" t="str">
            <v>2QA</v>
          </cell>
          <cell r="I10" t="str">
            <v>3QA</v>
          </cell>
          <cell r="J10" t="str">
            <v>4QA</v>
          </cell>
          <cell r="K10" t="str">
            <v>2000A</v>
          </cell>
          <cell r="L10" t="str">
            <v>1QA</v>
          </cell>
          <cell r="M10" t="str">
            <v>2QA</v>
          </cell>
          <cell r="N10" t="str">
            <v>3QA</v>
          </cell>
          <cell r="O10" t="str">
            <v>4QA</v>
          </cell>
          <cell r="P10" t="str">
            <v>2001A</v>
          </cell>
          <cell r="Q10" t="str">
            <v>1QA</v>
          </cell>
          <cell r="R10" t="str">
            <v>2QA</v>
          </cell>
          <cell r="S10" t="str">
            <v>3QA</v>
          </cell>
          <cell r="T10" t="str">
            <v>4QA</v>
          </cell>
          <cell r="U10" t="str">
            <v>2002A</v>
          </cell>
          <cell r="V10" t="str">
            <v>1QA</v>
          </cell>
          <cell r="W10" t="str">
            <v>2QA</v>
          </cell>
          <cell r="X10" t="str">
            <v>3QA</v>
          </cell>
          <cell r="Y10" t="str">
            <v>4QA</v>
          </cell>
          <cell r="Z10" t="str">
            <v>2003A</v>
          </cell>
          <cell r="AA10" t="str">
            <v>1QA</v>
          </cell>
          <cell r="AB10" t="str">
            <v>2QA</v>
          </cell>
          <cell r="AC10" t="str">
            <v>3QA</v>
          </cell>
          <cell r="AD10" t="str">
            <v>4QA</v>
          </cell>
          <cell r="AE10" t="str">
            <v>2004A</v>
          </cell>
          <cell r="AF10" t="str">
            <v>1QA</v>
          </cell>
          <cell r="AG10" t="str">
            <v>2QA</v>
          </cell>
          <cell r="AH10" t="str">
            <v>3QA</v>
          </cell>
          <cell r="AI10" t="str">
            <v>4QA</v>
          </cell>
          <cell r="AJ10" t="str">
            <v>2005A</v>
          </cell>
          <cell r="AK10" t="str">
            <v>1QA</v>
          </cell>
          <cell r="AL10" t="str">
            <v>2QA</v>
          </cell>
          <cell r="AM10" t="str">
            <v>3QA</v>
          </cell>
          <cell r="AN10" t="str">
            <v>4QA</v>
          </cell>
          <cell r="AO10" t="str">
            <v>2006E</v>
          </cell>
          <cell r="AP10" t="str">
            <v>1QA</v>
          </cell>
          <cell r="AQ10" t="str">
            <v>2QA</v>
          </cell>
          <cell r="AR10" t="str">
            <v>3QA</v>
          </cell>
          <cell r="AS10" t="str">
            <v>4QE</v>
          </cell>
          <cell r="AT10" t="str">
            <v>2007E</v>
          </cell>
          <cell r="AU10" t="str">
            <v>1QE</v>
          </cell>
          <cell r="AV10" t="str">
            <v>2QE</v>
          </cell>
          <cell r="AW10" t="str">
            <v>3QE</v>
          </cell>
          <cell r="AX10" t="str">
            <v>4QE</v>
          </cell>
          <cell r="AY10" t="str">
            <v>2008E</v>
          </cell>
          <cell r="AZ10" t="str">
            <v>1QE</v>
          </cell>
          <cell r="BA10" t="str">
            <v>2QE</v>
          </cell>
          <cell r="BB10" t="str">
            <v>3QE</v>
          </cell>
          <cell r="BC10" t="str">
            <v>4QE</v>
          </cell>
          <cell r="BD10" t="str">
            <v>2009E</v>
          </cell>
          <cell r="BE10" t="str">
            <v>1QE</v>
          </cell>
          <cell r="BF10" t="str">
            <v>2QE</v>
          </cell>
          <cell r="BG10" t="str">
            <v>3QE</v>
          </cell>
          <cell r="BH10" t="str">
            <v>4QE</v>
          </cell>
          <cell r="BI10" t="str">
            <v>2010E</v>
          </cell>
        </row>
        <row r="12">
          <cell r="A12" t="str">
            <v>Acquisitions</v>
          </cell>
          <cell r="C12">
            <v>12100</v>
          </cell>
          <cell r="E12">
            <v>36827</v>
          </cell>
          <cell r="X12">
            <v>33454.578999999998</v>
          </cell>
          <cell r="Y12">
            <v>73502</v>
          </cell>
          <cell r="AA12">
            <v>24872</v>
          </cell>
          <cell r="AB12">
            <v>23152</v>
          </cell>
          <cell r="AC12">
            <v>98454.75</v>
          </cell>
          <cell r="AD12">
            <v>84146</v>
          </cell>
          <cell r="AF12">
            <v>64566</v>
          </cell>
          <cell r="AG12">
            <v>123533</v>
          </cell>
          <cell r="AH12">
            <v>12436</v>
          </cell>
          <cell r="AI12">
            <v>99547</v>
          </cell>
          <cell r="AJ12">
            <v>300082</v>
          </cell>
          <cell r="AK12">
            <v>33842</v>
          </cell>
          <cell r="AL12">
            <v>27624</v>
          </cell>
          <cell r="AM12">
            <v>141419</v>
          </cell>
          <cell r="AN12">
            <v>117458</v>
          </cell>
          <cell r="AO12">
            <v>317500</v>
          </cell>
          <cell r="AP12">
            <v>131602</v>
          </cell>
          <cell r="AQ12">
            <v>75973.25</v>
          </cell>
          <cell r="AR12">
            <v>155560.35</v>
          </cell>
          <cell r="AS12">
            <v>232389.5</v>
          </cell>
          <cell r="AT12">
            <v>595525.1</v>
          </cell>
          <cell r="AU12">
            <v>42500</v>
          </cell>
          <cell r="AV12">
            <v>42500</v>
          </cell>
          <cell r="AW12">
            <v>42500</v>
          </cell>
          <cell r="AX12">
            <v>42500</v>
          </cell>
          <cell r="AY12">
            <v>170000</v>
          </cell>
          <cell r="AZ12">
            <v>65000</v>
          </cell>
          <cell r="BA12">
            <v>65000</v>
          </cell>
          <cell r="BB12">
            <v>65000</v>
          </cell>
          <cell r="BC12">
            <v>65000</v>
          </cell>
          <cell r="BD12">
            <v>260000</v>
          </cell>
          <cell r="BE12">
            <v>70000</v>
          </cell>
          <cell r="BF12">
            <v>70000</v>
          </cell>
          <cell r="BG12">
            <v>70000</v>
          </cell>
          <cell r="BH12">
            <v>70000</v>
          </cell>
          <cell r="BI12">
            <v>280000</v>
          </cell>
        </row>
        <row r="13">
          <cell r="A13" t="str">
            <v>Dispositions</v>
          </cell>
          <cell r="C13">
            <v>-51300</v>
          </cell>
          <cell r="D13">
            <v>-20000</v>
          </cell>
          <cell r="E13">
            <v>-31300</v>
          </cell>
          <cell r="H13">
            <v>-18400</v>
          </cell>
          <cell r="I13">
            <v>-18400</v>
          </cell>
          <cell r="J13">
            <v>-18400</v>
          </cell>
          <cell r="L13">
            <v>-13000</v>
          </cell>
          <cell r="M13">
            <v>-63200</v>
          </cell>
          <cell r="N13">
            <v>-37000</v>
          </cell>
          <cell r="O13">
            <v>-76600</v>
          </cell>
          <cell r="Q13">
            <v>-15500</v>
          </cell>
          <cell r="R13">
            <v>-15900</v>
          </cell>
          <cell r="W13">
            <v>-36000</v>
          </cell>
          <cell r="X13">
            <v>-2200</v>
          </cell>
          <cell r="Y13">
            <v>-9</v>
          </cell>
          <cell r="AA13">
            <v>-6400</v>
          </cell>
          <cell r="AB13">
            <v>0</v>
          </cell>
          <cell r="AC13">
            <v>-6300</v>
          </cell>
          <cell r="AD13">
            <v>-44100</v>
          </cell>
          <cell r="AF13">
            <v>-34575</v>
          </cell>
          <cell r="AG13">
            <v>-63700</v>
          </cell>
          <cell r="AH13">
            <v>-58900</v>
          </cell>
          <cell r="AI13">
            <v>-271700</v>
          </cell>
          <cell r="AJ13">
            <v>-428875</v>
          </cell>
          <cell r="AK13">
            <v>-157000</v>
          </cell>
          <cell r="AL13">
            <v>-197700</v>
          </cell>
          <cell r="AM13">
            <v>-32800</v>
          </cell>
          <cell r="AN13">
            <v>-106600</v>
          </cell>
          <cell r="AO13">
            <v>-700000</v>
          </cell>
          <cell r="AP13">
            <v>-84200</v>
          </cell>
          <cell r="AQ13">
            <v>-111000</v>
          </cell>
          <cell r="AR13">
            <v>-67000</v>
          </cell>
          <cell r="AS13">
            <v>-96500</v>
          </cell>
          <cell r="AT13">
            <v>-358700</v>
          </cell>
          <cell r="AU13">
            <v>-75000</v>
          </cell>
          <cell r="AV13">
            <v>-507000</v>
          </cell>
          <cell r="AW13">
            <v>-50000</v>
          </cell>
          <cell r="AX13">
            <v>-50000</v>
          </cell>
          <cell r="AY13">
            <v>-682000</v>
          </cell>
          <cell r="AZ13">
            <v>-50000</v>
          </cell>
          <cell r="BA13">
            <v>-50000</v>
          </cell>
          <cell r="BB13">
            <v>-50000</v>
          </cell>
          <cell r="BC13">
            <v>-50000</v>
          </cell>
          <cell r="BD13">
            <v>-200000</v>
          </cell>
          <cell r="BE13">
            <v>-50000</v>
          </cell>
          <cell r="BF13">
            <v>-50000</v>
          </cell>
          <cell r="BG13">
            <v>-50000</v>
          </cell>
          <cell r="BH13">
            <v>-50000</v>
          </cell>
          <cell r="BI13">
            <v>-200000</v>
          </cell>
        </row>
        <row r="14">
          <cell r="A14" t="str">
            <v>Net Acquisitions</v>
          </cell>
          <cell r="B14">
            <v>26300</v>
          </cell>
          <cell r="C14">
            <v>-39200</v>
          </cell>
          <cell r="D14">
            <v>-20000</v>
          </cell>
          <cell r="E14">
            <v>5527</v>
          </cell>
          <cell r="F14">
            <v>-27373</v>
          </cell>
          <cell r="G14">
            <v>55400</v>
          </cell>
          <cell r="H14">
            <v>-18400</v>
          </cell>
          <cell r="I14">
            <v>-18400</v>
          </cell>
          <cell r="J14">
            <v>-18400</v>
          </cell>
          <cell r="K14">
            <v>200</v>
          </cell>
          <cell r="L14">
            <v>-13000</v>
          </cell>
          <cell r="M14">
            <v>-63200</v>
          </cell>
          <cell r="N14">
            <v>-37000</v>
          </cell>
          <cell r="O14">
            <v>-76600</v>
          </cell>
          <cell r="P14">
            <v>-189800</v>
          </cell>
          <cell r="Q14">
            <v>-15500</v>
          </cell>
          <cell r="R14">
            <v>-15900</v>
          </cell>
          <cell r="S14">
            <v>45942.158000000003</v>
          </cell>
          <cell r="T14">
            <v>-60450</v>
          </cell>
          <cell r="U14">
            <v>-45907.841999999997</v>
          </cell>
          <cell r="V14">
            <v>0</v>
          </cell>
          <cell r="W14">
            <v>-36000</v>
          </cell>
          <cell r="X14">
            <v>31254.578999999998</v>
          </cell>
          <cell r="Y14">
            <v>73493</v>
          </cell>
          <cell r="Z14">
            <v>68747.578999999998</v>
          </cell>
          <cell r="AA14">
            <v>18472</v>
          </cell>
          <cell r="AB14">
            <v>23152</v>
          </cell>
          <cell r="AC14">
            <v>92154.75</v>
          </cell>
          <cell r="AD14">
            <v>40046</v>
          </cell>
          <cell r="AE14">
            <v>173824.75</v>
          </cell>
          <cell r="AF14">
            <v>29991</v>
          </cell>
          <cell r="AG14">
            <v>59833</v>
          </cell>
          <cell r="AH14">
            <v>-46464</v>
          </cell>
          <cell r="AI14">
            <v>-172153</v>
          </cell>
          <cell r="AJ14">
            <v>-128793</v>
          </cell>
          <cell r="AK14">
            <v>-123158</v>
          </cell>
          <cell r="AL14">
            <v>-170076</v>
          </cell>
          <cell r="AM14">
            <v>108619</v>
          </cell>
          <cell r="AN14">
            <v>10858</v>
          </cell>
          <cell r="AO14">
            <v>-173757</v>
          </cell>
          <cell r="AP14">
            <v>47402</v>
          </cell>
          <cell r="AQ14">
            <v>-35026.75</v>
          </cell>
          <cell r="AR14">
            <v>88560.35</v>
          </cell>
          <cell r="AS14">
            <v>135889.5</v>
          </cell>
          <cell r="AT14">
            <v>236825.1</v>
          </cell>
          <cell r="AU14">
            <v>-32500</v>
          </cell>
          <cell r="AV14">
            <v>-464500</v>
          </cell>
          <cell r="AW14">
            <v>-7500</v>
          </cell>
          <cell r="AX14">
            <v>-7500</v>
          </cell>
          <cell r="AY14">
            <v>-512000</v>
          </cell>
          <cell r="AZ14">
            <v>15000</v>
          </cell>
          <cell r="BA14">
            <v>15000</v>
          </cell>
          <cell r="BB14">
            <v>15000</v>
          </cell>
          <cell r="BC14">
            <v>15000</v>
          </cell>
          <cell r="BD14">
            <v>60000</v>
          </cell>
          <cell r="BE14">
            <v>20000</v>
          </cell>
          <cell r="BF14">
            <v>20000</v>
          </cell>
          <cell r="BG14">
            <v>20000</v>
          </cell>
          <cell r="BH14">
            <v>20000</v>
          </cell>
          <cell r="BI14">
            <v>80000</v>
          </cell>
        </row>
        <row r="15">
          <cell r="A15" t="str">
            <v>Cap Rate</v>
          </cell>
          <cell r="B15">
            <v>0.1075</v>
          </cell>
          <cell r="C15">
            <v>0.1075</v>
          </cell>
          <cell r="D15">
            <v>0.1075</v>
          </cell>
          <cell r="E15">
            <v>0.1075</v>
          </cell>
          <cell r="G15">
            <v>0.1075</v>
          </cell>
          <cell r="H15">
            <v>0.1</v>
          </cell>
          <cell r="I15">
            <v>0.1075</v>
          </cell>
          <cell r="J15">
            <v>0.1075</v>
          </cell>
          <cell r="L15">
            <v>0.105</v>
          </cell>
          <cell r="M15">
            <v>0.105</v>
          </cell>
          <cell r="N15">
            <v>0.105</v>
          </cell>
          <cell r="O15">
            <v>0.105</v>
          </cell>
          <cell r="Q15">
            <v>0.11</v>
          </cell>
          <cell r="R15">
            <v>0.11</v>
          </cell>
          <cell r="S15">
            <v>8.7999999999999995E-2</v>
          </cell>
          <cell r="T15">
            <v>8.7999999999999995E-2</v>
          </cell>
          <cell r="V15">
            <v>8.7999999999999995E-2</v>
          </cell>
          <cell r="W15">
            <v>8.7999999999999995E-2</v>
          </cell>
          <cell r="X15">
            <v>9.1999999999999998E-2</v>
          </cell>
          <cell r="Y15">
            <v>9.5000000000000001E-2</v>
          </cell>
          <cell r="AA15">
            <v>9.1999999999999998E-2</v>
          </cell>
          <cell r="AB15">
            <v>8.5000000000000006E-2</v>
          </cell>
          <cell r="AC15">
            <v>6.683782442033645E-2</v>
          </cell>
          <cell r="AD15">
            <v>5.4785197023423084E-2</v>
          </cell>
          <cell r="AF15">
            <v>9.9986996098829675E-2</v>
          </cell>
          <cell r="AG15">
            <v>7.4999999999999997E-2</v>
          </cell>
          <cell r="AH15">
            <v>7.7985278925619836E-2</v>
          </cell>
          <cell r="AI15">
            <v>7.7985278925619836E-2</v>
          </cell>
          <cell r="AK15">
            <v>7.4999999999999997E-2</v>
          </cell>
          <cell r="AL15">
            <v>7.3923097406401447E-2</v>
          </cell>
          <cell r="AM15">
            <v>7.3923097406401447E-2</v>
          </cell>
          <cell r="AN15">
            <v>7.8325969168697399E-2</v>
          </cell>
          <cell r="AP15">
            <v>5.1945005143603853E-2</v>
          </cell>
          <cell r="AQ15">
            <v>7.1591037755400835E-2</v>
          </cell>
          <cell r="AR15">
            <v>5.3131366350742754E-2</v>
          </cell>
          <cell r="AS15">
            <v>7.59921356565047E-2</v>
          </cell>
          <cell r="AU15">
            <v>7.4999999999999997E-2</v>
          </cell>
          <cell r="AV15">
            <v>6.8000000000000005E-2</v>
          </cell>
          <cell r="AW15">
            <v>6.8000000000000005E-2</v>
          </cell>
          <cell r="AX15">
            <v>6.8000000000000005E-2</v>
          </cell>
          <cell r="AZ15">
            <v>7.4999999999999997E-2</v>
          </cell>
          <cell r="BA15">
            <v>7.4999999999999997E-2</v>
          </cell>
          <cell r="BB15">
            <v>7.4999999999999997E-2</v>
          </cell>
          <cell r="BC15">
            <v>7.4999999999999997E-2</v>
          </cell>
          <cell r="BE15">
            <v>7.4999999999999997E-2</v>
          </cell>
          <cell r="BF15">
            <v>7.4999999999999997E-2</v>
          </cell>
          <cell r="BG15">
            <v>7.4999999999999997E-2</v>
          </cell>
          <cell r="BH15">
            <v>7.4999999999999997E-2</v>
          </cell>
        </row>
        <row r="16">
          <cell r="A16" t="str">
            <v>Quarter or Year</v>
          </cell>
          <cell r="B16">
            <v>0.25</v>
          </cell>
          <cell r="C16">
            <v>0.25</v>
          </cell>
          <cell r="D16">
            <v>0.25</v>
          </cell>
          <cell r="E16">
            <v>0.25</v>
          </cell>
          <cell r="G16">
            <v>0.25</v>
          </cell>
          <cell r="H16">
            <v>0.25</v>
          </cell>
          <cell r="I16">
            <v>0.25</v>
          </cell>
          <cell r="J16">
            <v>0.25</v>
          </cell>
          <cell r="L16">
            <v>0.25</v>
          </cell>
          <cell r="M16">
            <v>0.25</v>
          </cell>
          <cell r="N16">
            <v>0.25</v>
          </cell>
          <cell r="O16">
            <v>0.25</v>
          </cell>
          <cell r="Q16">
            <v>0.25</v>
          </cell>
          <cell r="R16">
            <v>0.25</v>
          </cell>
          <cell r="S16">
            <v>0.25</v>
          </cell>
          <cell r="T16">
            <v>0.25</v>
          </cell>
          <cell r="V16">
            <v>0.25</v>
          </cell>
          <cell r="W16">
            <v>0.25</v>
          </cell>
          <cell r="X16">
            <v>0.25</v>
          </cell>
          <cell r="Y16">
            <v>0.25</v>
          </cell>
          <cell r="AA16">
            <v>0.25</v>
          </cell>
          <cell r="AB16">
            <v>0.25</v>
          </cell>
          <cell r="AC16">
            <v>0.25</v>
          </cell>
          <cell r="AD16">
            <v>0.75</v>
          </cell>
          <cell r="AF16">
            <v>0.25</v>
          </cell>
          <cell r="AG16">
            <v>0.25</v>
          </cell>
          <cell r="AH16">
            <v>0.25</v>
          </cell>
          <cell r="AI16">
            <v>0.25</v>
          </cell>
          <cell r="AK16">
            <v>0.25</v>
          </cell>
          <cell r="AL16">
            <v>0.25</v>
          </cell>
          <cell r="AM16">
            <v>0.25</v>
          </cell>
          <cell r="AN16">
            <v>0.25</v>
          </cell>
          <cell r="AP16">
            <v>0.25</v>
          </cell>
          <cell r="AQ16">
            <v>0.25</v>
          </cell>
          <cell r="AR16">
            <v>0.25</v>
          </cell>
          <cell r="AS16">
            <v>0.25</v>
          </cell>
          <cell r="AU16">
            <v>0.25</v>
          </cell>
          <cell r="AV16">
            <v>0.25</v>
          </cell>
          <cell r="AW16">
            <v>0.25</v>
          </cell>
          <cell r="AX16">
            <v>0.25</v>
          </cell>
          <cell r="AZ16">
            <v>0.25</v>
          </cell>
          <cell r="BA16">
            <v>0.25</v>
          </cell>
          <cell r="BB16">
            <v>0.25</v>
          </cell>
          <cell r="BC16">
            <v>0.25</v>
          </cell>
          <cell r="BE16">
            <v>0.25</v>
          </cell>
          <cell r="BF16">
            <v>0.25</v>
          </cell>
          <cell r="BG16">
            <v>0.25</v>
          </cell>
          <cell r="BH16">
            <v>0.25</v>
          </cell>
        </row>
        <row r="17">
          <cell r="A17" t="str">
            <v>Timing of Transaction</v>
          </cell>
          <cell r="B17">
            <v>0.5</v>
          </cell>
          <cell r="C17">
            <v>0.5</v>
          </cell>
          <cell r="D17">
            <v>0.5</v>
          </cell>
          <cell r="E17">
            <v>0.5</v>
          </cell>
          <cell r="G17">
            <v>0.5</v>
          </cell>
          <cell r="H17">
            <v>0.5</v>
          </cell>
          <cell r="I17">
            <v>0.5</v>
          </cell>
          <cell r="J17">
            <v>0.5</v>
          </cell>
          <cell r="L17">
            <v>0.5</v>
          </cell>
          <cell r="M17">
            <v>0.5</v>
          </cell>
          <cell r="N17">
            <v>0.5</v>
          </cell>
          <cell r="O17">
            <v>0.5</v>
          </cell>
          <cell r="Q17">
            <v>0.5</v>
          </cell>
          <cell r="R17">
            <v>0.5</v>
          </cell>
          <cell r="S17">
            <v>0.5</v>
          </cell>
          <cell r="T17">
            <v>0.5</v>
          </cell>
          <cell r="V17">
            <v>0.5</v>
          </cell>
          <cell r="W17">
            <v>0.5</v>
          </cell>
          <cell r="X17">
            <v>0.5</v>
          </cell>
          <cell r="Y17">
            <v>0.5</v>
          </cell>
          <cell r="AA17">
            <v>0.5</v>
          </cell>
          <cell r="AB17">
            <v>0.5</v>
          </cell>
          <cell r="AC17">
            <v>0.5</v>
          </cell>
          <cell r="AD17">
            <v>0.5</v>
          </cell>
          <cell r="AF17">
            <v>0.5</v>
          </cell>
          <cell r="AG17">
            <v>0.5</v>
          </cell>
          <cell r="AH17">
            <v>0.5</v>
          </cell>
          <cell r="AI17">
            <v>0.5</v>
          </cell>
          <cell r="AK17">
            <v>0.95</v>
          </cell>
          <cell r="AL17">
            <v>0.5</v>
          </cell>
          <cell r="AM17">
            <v>0.5</v>
          </cell>
          <cell r="AN17">
            <v>0.95</v>
          </cell>
          <cell r="AP17">
            <v>0.5</v>
          </cell>
          <cell r="AQ17">
            <v>0.5</v>
          </cell>
          <cell r="AR17">
            <v>0.54161766881892626</v>
          </cell>
          <cell r="AS17">
            <v>0.5</v>
          </cell>
          <cell r="AU17">
            <v>0.5</v>
          </cell>
          <cell r="AV17">
            <v>0.5</v>
          </cell>
          <cell r="AW17">
            <v>0.5</v>
          </cell>
          <cell r="AX17">
            <v>0.5</v>
          </cell>
          <cell r="AZ17">
            <v>0.5</v>
          </cell>
          <cell r="BA17">
            <v>0.5</v>
          </cell>
          <cell r="BB17">
            <v>0.5</v>
          </cell>
          <cell r="BC17">
            <v>0.5</v>
          </cell>
          <cell r="BE17">
            <v>0.5</v>
          </cell>
          <cell r="BF17">
            <v>0.5</v>
          </cell>
          <cell r="BG17">
            <v>0.5</v>
          </cell>
          <cell r="BH17">
            <v>0.5</v>
          </cell>
        </row>
        <row r="18">
          <cell r="A18" t="str">
            <v>NOI Contribution - Partial Quarter</v>
          </cell>
          <cell r="B18">
            <v>353.40625</v>
          </cell>
          <cell r="C18">
            <v>-526.75</v>
          </cell>
          <cell r="D18">
            <v>-268.75</v>
          </cell>
          <cell r="E18">
            <v>74.269062500000004</v>
          </cell>
          <cell r="G18">
            <v>744.4375</v>
          </cell>
          <cell r="H18">
            <v>-230</v>
          </cell>
          <cell r="I18">
            <v>-247.25</v>
          </cell>
          <cell r="J18">
            <v>-247.25</v>
          </cell>
          <cell r="L18">
            <v>-170.625</v>
          </cell>
          <cell r="M18">
            <v>-829.5</v>
          </cell>
          <cell r="N18">
            <v>-485.625</v>
          </cell>
          <cell r="O18">
            <v>-1005.375</v>
          </cell>
          <cell r="Q18">
            <v>-213.125</v>
          </cell>
          <cell r="R18">
            <v>-218.625</v>
          </cell>
          <cell r="S18">
            <v>505.36373800000001</v>
          </cell>
          <cell r="T18">
            <v>-664.94999999999993</v>
          </cell>
          <cell r="V18">
            <v>0</v>
          </cell>
          <cell r="W18">
            <v>-396</v>
          </cell>
          <cell r="X18">
            <v>359.42765849999995</v>
          </cell>
          <cell r="Y18">
            <v>872.729375</v>
          </cell>
          <cell r="AA18">
            <v>212.428</v>
          </cell>
          <cell r="AB18">
            <v>245.99</v>
          </cell>
          <cell r="AC18">
            <v>769.92787500000009</v>
          </cell>
          <cell r="AD18">
            <v>822.7230000000003</v>
          </cell>
          <cell r="AF18">
            <v>374.83875000000012</v>
          </cell>
          <cell r="AG18">
            <v>560.93437499999993</v>
          </cell>
          <cell r="AH18">
            <v>-452.93850000000003</v>
          </cell>
          <cell r="AI18">
            <v>-1678.174965360279</v>
          </cell>
          <cell r="AK18">
            <v>-2193.7518749999999</v>
          </cell>
          <cell r="AL18">
            <v>-1571.5680893113915</v>
          </cell>
          <cell r="AM18">
            <v>1003.6816146482398</v>
          </cell>
          <cell r="AN18">
            <v>201.98505114300764</v>
          </cell>
          <cell r="AP18">
            <v>307.78714172713876</v>
          </cell>
          <cell r="AQ18">
            <v>-313.45017271237327</v>
          </cell>
          <cell r="AR18">
            <v>637.12279137654104</v>
          </cell>
          <cell r="AS18">
            <v>1290.8166647868245</v>
          </cell>
          <cell r="AU18">
            <v>-304.6875</v>
          </cell>
          <cell r="AV18">
            <v>-3948.2500000000005</v>
          </cell>
          <cell r="AW18">
            <v>-63.750000000000007</v>
          </cell>
          <cell r="AX18">
            <v>-63.750000000000007</v>
          </cell>
          <cell r="AZ18">
            <v>140.625</v>
          </cell>
          <cell r="BA18">
            <v>140.625</v>
          </cell>
          <cell r="BB18">
            <v>140.625</v>
          </cell>
          <cell r="BC18">
            <v>140.625</v>
          </cell>
          <cell r="BE18">
            <v>187.5</v>
          </cell>
          <cell r="BF18">
            <v>187.5</v>
          </cell>
          <cell r="BG18">
            <v>187.5</v>
          </cell>
          <cell r="BH18">
            <v>187.5</v>
          </cell>
        </row>
        <row r="19">
          <cell r="A19" t="str">
            <v>NOI Contribution - Full Quarter</v>
          </cell>
          <cell r="B19">
            <v>706.8125</v>
          </cell>
          <cell r="C19">
            <v>-1053.5</v>
          </cell>
          <cell r="D19">
            <v>-537.5</v>
          </cell>
          <cell r="E19">
            <v>148.53812500000001</v>
          </cell>
          <cell r="G19">
            <v>1488.875</v>
          </cell>
          <cell r="H19">
            <v>-460</v>
          </cell>
          <cell r="I19">
            <v>-494.5</v>
          </cell>
          <cell r="J19">
            <v>-494.5</v>
          </cell>
          <cell r="L19">
            <v>-341.25</v>
          </cell>
          <cell r="M19">
            <v>-1659</v>
          </cell>
          <cell r="N19">
            <v>-971.25</v>
          </cell>
          <cell r="O19">
            <v>-2010.75</v>
          </cell>
          <cell r="Q19">
            <v>-426.25</v>
          </cell>
          <cell r="R19">
            <v>-437.25</v>
          </cell>
          <cell r="S19">
            <v>1010.727476</v>
          </cell>
          <cell r="T19">
            <v>-1329.8999999999999</v>
          </cell>
          <cell r="V19">
            <v>0</v>
          </cell>
          <cell r="W19">
            <v>-792</v>
          </cell>
          <cell r="X19">
            <v>718.8553169999999</v>
          </cell>
          <cell r="Y19">
            <v>1745.45875</v>
          </cell>
          <cell r="AA19">
            <v>424.85599999999999</v>
          </cell>
          <cell r="AB19">
            <v>491.98</v>
          </cell>
          <cell r="AC19">
            <v>1539.8557500000002</v>
          </cell>
          <cell r="AD19">
            <v>1645.4460000000006</v>
          </cell>
          <cell r="AF19">
            <v>749.67750000000024</v>
          </cell>
          <cell r="AG19">
            <v>1121.8687499999999</v>
          </cell>
          <cell r="AH19">
            <v>-905.87700000000007</v>
          </cell>
          <cell r="AI19">
            <v>-3356.3499307205579</v>
          </cell>
          <cell r="AK19">
            <v>-2309.2125000000001</v>
          </cell>
          <cell r="AL19">
            <v>-3143.1361786227831</v>
          </cell>
          <cell r="AM19">
            <v>2007.3632292964796</v>
          </cell>
          <cell r="AN19">
            <v>212.61584330842908</v>
          </cell>
          <cell r="AP19">
            <v>615.57428345427752</v>
          </cell>
          <cell r="AQ19">
            <v>-626.90034542474655</v>
          </cell>
          <cell r="AR19">
            <v>1176.3331000000003</v>
          </cell>
          <cell r="AS19">
            <v>2581.633329573649</v>
          </cell>
          <cell r="AU19">
            <v>-609.375</v>
          </cell>
          <cell r="AV19">
            <v>-7896.5000000000009</v>
          </cell>
          <cell r="AW19">
            <v>-127.50000000000001</v>
          </cell>
          <cell r="AX19">
            <v>-127.50000000000001</v>
          </cell>
          <cell r="AZ19">
            <v>281.25</v>
          </cell>
          <cell r="BA19">
            <v>281.25</v>
          </cell>
          <cell r="BB19">
            <v>281.25</v>
          </cell>
          <cell r="BC19">
            <v>281.25</v>
          </cell>
          <cell r="BE19">
            <v>375</v>
          </cell>
          <cell r="BF19">
            <v>375</v>
          </cell>
          <cell r="BG19">
            <v>375</v>
          </cell>
          <cell r="BH19">
            <v>375</v>
          </cell>
        </row>
        <row r="20">
          <cell r="A20" t="str">
            <v>Growth Rate for Acquisitions</v>
          </cell>
          <cell r="B20">
            <v>2.5000000000000001E-3</v>
          </cell>
          <cell r="C20">
            <v>2.5000000000000001E-3</v>
          </cell>
          <cell r="D20">
            <v>2.5000000000000001E-3</v>
          </cell>
          <cell r="E20">
            <v>2.5000000000000001E-3</v>
          </cell>
          <cell r="G20">
            <v>2.5000000000000001E-3</v>
          </cell>
          <cell r="H20">
            <v>2.5000000000000001E-3</v>
          </cell>
          <cell r="I20">
            <v>2.5000000000000001E-3</v>
          </cell>
          <cell r="J20">
            <v>2.5000000000000001E-3</v>
          </cell>
          <cell r="L20">
            <v>2.5000000000000001E-3</v>
          </cell>
          <cell r="M20">
            <v>2.5000000000000001E-3</v>
          </cell>
          <cell r="N20">
            <v>2.5000000000000001E-3</v>
          </cell>
          <cell r="O20">
            <v>2.5000000000000001E-3</v>
          </cell>
          <cell r="Q20">
            <v>2.5000000000000001E-3</v>
          </cell>
          <cell r="R20">
            <v>2.5000000000000001E-3</v>
          </cell>
          <cell r="S20">
            <v>2.5000000000000001E-3</v>
          </cell>
          <cell r="T20">
            <v>2.5000000000000001E-3</v>
          </cell>
          <cell r="V20">
            <v>2.5000000000000001E-3</v>
          </cell>
          <cell r="W20">
            <v>2.5000000000000001E-3</v>
          </cell>
          <cell r="X20">
            <v>2.5000000000000001E-3</v>
          </cell>
          <cell r="Y20">
            <v>2.5000000000000001E-3</v>
          </cell>
          <cell r="AA20">
            <v>2.5000000000000001E-3</v>
          </cell>
          <cell r="AB20">
            <v>2.5000000000000001E-3</v>
          </cell>
          <cell r="AC20">
            <v>2.5000000000000001E-3</v>
          </cell>
          <cell r="AD20">
            <v>2.5000000000000001E-3</v>
          </cell>
          <cell r="AF20">
            <v>2.5000000000000001E-3</v>
          </cell>
          <cell r="AG20">
            <v>2.5000000000000001E-3</v>
          </cell>
          <cell r="AH20">
            <v>2.5000000000000001E-3</v>
          </cell>
          <cell r="AI20">
            <v>2.5000000000000001E-3</v>
          </cell>
          <cell r="AK20">
            <v>2.5000000000000001E-3</v>
          </cell>
          <cell r="AL20">
            <v>2.5000000000000001E-3</v>
          </cell>
          <cell r="AM20">
            <v>2.5000000000000001E-3</v>
          </cell>
          <cell r="AN20">
            <v>2.5000000000000001E-3</v>
          </cell>
          <cell r="AP20">
            <v>2.5000000000000001E-3</v>
          </cell>
          <cell r="AQ20">
            <v>2.5000000000000001E-3</v>
          </cell>
          <cell r="AR20">
            <v>2.5000000000000001E-3</v>
          </cell>
          <cell r="AS20">
            <v>2.5000000000000001E-3</v>
          </cell>
          <cell r="AU20">
            <v>2.5000000000000001E-3</v>
          </cell>
          <cell r="AV20">
            <v>2.5000000000000001E-3</v>
          </cell>
          <cell r="AW20">
            <v>2.5000000000000001E-3</v>
          </cell>
          <cell r="AX20">
            <v>2.5000000000000001E-3</v>
          </cell>
          <cell r="AZ20">
            <v>2.5000000000000001E-3</v>
          </cell>
          <cell r="BA20">
            <v>2.5000000000000001E-3</v>
          </cell>
          <cell r="BB20">
            <v>2.5000000000000001E-3</v>
          </cell>
          <cell r="BC20">
            <v>2.5000000000000001E-3</v>
          </cell>
          <cell r="BE20">
            <v>2.5000000000000001E-3</v>
          </cell>
          <cell r="BF20">
            <v>2.5000000000000001E-3</v>
          </cell>
          <cell r="BG20">
            <v>2.5000000000000001E-3</v>
          </cell>
          <cell r="BH20">
            <v>2.5000000000000001E-3</v>
          </cell>
        </row>
        <row r="22">
          <cell r="A22" t="str">
            <v>1Q98</v>
          </cell>
          <cell r="B22">
            <v>0</v>
          </cell>
          <cell r="C22">
            <v>0</v>
          </cell>
          <cell r="D22">
            <v>0</v>
          </cell>
          <cell r="E22">
            <v>0</v>
          </cell>
          <cell r="G22">
            <v>0</v>
          </cell>
          <cell r="H22">
            <v>0</v>
          </cell>
          <cell r="I22">
            <v>0</v>
          </cell>
          <cell r="J22">
            <v>0</v>
          </cell>
          <cell r="L22">
            <v>0</v>
          </cell>
          <cell r="M22">
            <v>0</v>
          </cell>
          <cell r="N22">
            <v>0</v>
          </cell>
          <cell r="O22">
            <v>0</v>
          </cell>
          <cell r="Q22">
            <v>0</v>
          </cell>
          <cell r="R22">
            <v>0</v>
          </cell>
          <cell r="S22">
            <v>0</v>
          </cell>
          <cell r="T22">
            <v>0</v>
          </cell>
          <cell r="V22">
            <v>0</v>
          </cell>
          <cell r="W22">
            <v>0</v>
          </cell>
          <cell r="X22">
            <v>0</v>
          </cell>
          <cell r="Y22">
            <v>0</v>
          </cell>
          <cell r="AA22">
            <v>0</v>
          </cell>
          <cell r="AB22">
            <v>0</v>
          </cell>
          <cell r="AC22">
            <v>0</v>
          </cell>
          <cell r="AD22">
            <v>0</v>
          </cell>
          <cell r="AF22">
            <v>0</v>
          </cell>
          <cell r="AG22">
            <v>0</v>
          </cell>
          <cell r="AH22">
            <v>0</v>
          </cell>
          <cell r="AI22">
            <v>0</v>
          </cell>
          <cell r="AK22">
            <v>0</v>
          </cell>
          <cell r="AL22">
            <v>0</v>
          </cell>
          <cell r="AM22">
            <v>0</v>
          </cell>
          <cell r="AN22">
            <v>0</v>
          </cell>
          <cell r="AP22">
            <v>0</v>
          </cell>
          <cell r="AQ22">
            <v>0</v>
          </cell>
          <cell r="AR22">
            <v>0</v>
          </cell>
          <cell r="AS22">
            <v>0</v>
          </cell>
          <cell r="AU22">
            <v>0</v>
          </cell>
          <cell r="AV22">
            <v>0</v>
          </cell>
          <cell r="AW22">
            <v>0</v>
          </cell>
          <cell r="AX22">
            <v>0</v>
          </cell>
          <cell r="AZ22">
            <v>0</v>
          </cell>
          <cell r="BA22">
            <v>0</v>
          </cell>
          <cell r="BB22">
            <v>0</v>
          </cell>
          <cell r="BC22">
            <v>0</v>
          </cell>
          <cell r="BE22">
            <v>0</v>
          </cell>
          <cell r="BF22">
            <v>0</v>
          </cell>
          <cell r="BG22">
            <v>0</v>
          </cell>
          <cell r="BH22">
            <v>0</v>
          </cell>
        </row>
        <row r="23">
          <cell r="A23" t="str">
            <v>2Q98</v>
          </cell>
          <cell r="B23">
            <v>0</v>
          </cell>
          <cell r="C23">
            <v>0</v>
          </cell>
          <cell r="D23">
            <v>0</v>
          </cell>
          <cell r="E23">
            <v>0</v>
          </cell>
          <cell r="G23">
            <v>0</v>
          </cell>
          <cell r="H23">
            <v>0</v>
          </cell>
          <cell r="I23">
            <v>0</v>
          </cell>
          <cell r="J23">
            <v>0</v>
          </cell>
          <cell r="L23">
            <v>0</v>
          </cell>
          <cell r="M23">
            <v>0</v>
          </cell>
          <cell r="N23">
            <v>0</v>
          </cell>
          <cell r="O23">
            <v>0</v>
          </cell>
          <cell r="Q23">
            <v>0</v>
          </cell>
          <cell r="R23">
            <v>0</v>
          </cell>
          <cell r="S23">
            <v>0</v>
          </cell>
          <cell r="T23">
            <v>0</v>
          </cell>
          <cell r="V23">
            <v>0</v>
          </cell>
          <cell r="W23">
            <v>0</v>
          </cell>
          <cell r="X23">
            <v>0</v>
          </cell>
          <cell r="Y23">
            <v>0</v>
          </cell>
          <cell r="AA23">
            <v>0</v>
          </cell>
          <cell r="AB23">
            <v>0</v>
          </cell>
          <cell r="AC23">
            <v>0</v>
          </cell>
          <cell r="AD23">
            <v>0</v>
          </cell>
          <cell r="AF23">
            <v>0</v>
          </cell>
          <cell r="AG23">
            <v>0</v>
          </cell>
          <cell r="AH23">
            <v>0</v>
          </cell>
          <cell r="AI23">
            <v>0</v>
          </cell>
          <cell r="AK23">
            <v>0</v>
          </cell>
          <cell r="AL23">
            <v>0</v>
          </cell>
          <cell r="AM23">
            <v>0</v>
          </cell>
          <cell r="AN23">
            <v>0</v>
          </cell>
          <cell r="AP23">
            <v>0</v>
          </cell>
          <cell r="AQ23">
            <v>0</v>
          </cell>
          <cell r="AR23">
            <v>0</v>
          </cell>
          <cell r="AS23">
            <v>0</v>
          </cell>
          <cell r="AU23">
            <v>0</v>
          </cell>
          <cell r="AV23">
            <v>0</v>
          </cell>
          <cell r="AW23">
            <v>0</v>
          </cell>
          <cell r="AX23">
            <v>0</v>
          </cell>
          <cell r="AZ23">
            <v>0</v>
          </cell>
          <cell r="BA23">
            <v>0</v>
          </cell>
          <cell r="BB23">
            <v>0</v>
          </cell>
          <cell r="BC23">
            <v>0</v>
          </cell>
          <cell r="BE23">
            <v>0</v>
          </cell>
          <cell r="BF23">
            <v>0</v>
          </cell>
          <cell r="BG23">
            <v>0</v>
          </cell>
          <cell r="BH23">
            <v>0</v>
          </cell>
        </row>
        <row r="24">
          <cell r="A24" t="str">
            <v>3Q98</v>
          </cell>
          <cell r="B24">
            <v>0</v>
          </cell>
          <cell r="C24">
            <v>0</v>
          </cell>
          <cell r="D24">
            <v>0</v>
          </cell>
          <cell r="E24">
            <v>0</v>
          </cell>
          <cell r="G24">
            <v>0</v>
          </cell>
          <cell r="H24">
            <v>0</v>
          </cell>
          <cell r="I24">
            <v>0</v>
          </cell>
          <cell r="J24">
            <v>0</v>
          </cell>
          <cell r="L24">
            <v>0</v>
          </cell>
          <cell r="M24">
            <v>0</v>
          </cell>
          <cell r="N24">
            <v>0</v>
          </cell>
          <cell r="O24">
            <v>0</v>
          </cell>
          <cell r="Q24">
            <v>0</v>
          </cell>
          <cell r="R24">
            <v>0</v>
          </cell>
          <cell r="S24">
            <v>0</v>
          </cell>
          <cell r="T24">
            <v>0</v>
          </cell>
          <cell r="V24">
            <v>0</v>
          </cell>
          <cell r="W24">
            <v>0</v>
          </cell>
          <cell r="X24">
            <v>0</v>
          </cell>
          <cell r="Y24">
            <v>0</v>
          </cell>
          <cell r="AA24">
            <v>0</v>
          </cell>
          <cell r="AB24">
            <v>0</v>
          </cell>
          <cell r="AC24">
            <v>0</v>
          </cell>
          <cell r="AD24">
            <v>0</v>
          </cell>
          <cell r="AF24">
            <v>0</v>
          </cell>
          <cell r="AG24">
            <v>0</v>
          </cell>
          <cell r="AH24">
            <v>0</v>
          </cell>
          <cell r="AI24">
            <v>0</v>
          </cell>
          <cell r="AK24">
            <v>0</v>
          </cell>
          <cell r="AL24">
            <v>0</v>
          </cell>
          <cell r="AM24">
            <v>0</v>
          </cell>
          <cell r="AN24">
            <v>0</v>
          </cell>
          <cell r="AP24">
            <v>0</v>
          </cell>
          <cell r="AQ24">
            <v>0</v>
          </cell>
          <cell r="AR24">
            <v>0</v>
          </cell>
          <cell r="AS24">
            <v>0</v>
          </cell>
          <cell r="AU24">
            <v>0</v>
          </cell>
          <cell r="AV24">
            <v>0</v>
          </cell>
          <cell r="AW24">
            <v>0</v>
          </cell>
          <cell r="AX24">
            <v>0</v>
          </cell>
          <cell r="AZ24">
            <v>0</v>
          </cell>
          <cell r="BA24">
            <v>0</v>
          </cell>
          <cell r="BB24">
            <v>0</v>
          </cell>
          <cell r="BC24">
            <v>0</v>
          </cell>
          <cell r="BE24">
            <v>0</v>
          </cell>
          <cell r="BF24">
            <v>0</v>
          </cell>
          <cell r="BG24">
            <v>0</v>
          </cell>
          <cell r="BH24">
            <v>0</v>
          </cell>
        </row>
        <row r="25">
          <cell r="A25" t="str">
            <v>4Q98</v>
          </cell>
          <cell r="B25">
            <v>0</v>
          </cell>
          <cell r="C25">
            <v>0</v>
          </cell>
          <cell r="D25">
            <v>0</v>
          </cell>
          <cell r="E25">
            <v>0</v>
          </cell>
          <cell r="G25">
            <v>0</v>
          </cell>
          <cell r="H25">
            <v>0</v>
          </cell>
          <cell r="I25">
            <v>0</v>
          </cell>
          <cell r="J25">
            <v>0</v>
          </cell>
          <cell r="L25">
            <v>0</v>
          </cell>
          <cell r="M25">
            <v>0</v>
          </cell>
          <cell r="N25">
            <v>0</v>
          </cell>
          <cell r="O25">
            <v>0</v>
          </cell>
          <cell r="Q25">
            <v>0</v>
          </cell>
          <cell r="R25">
            <v>0</v>
          </cell>
          <cell r="S25">
            <v>0</v>
          </cell>
          <cell r="T25">
            <v>0</v>
          </cell>
          <cell r="V25">
            <v>0</v>
          </cell>
          <cell r="W25">
            <v>0</v>
          </cell>
          <cell r="X25">
            <v>0</v>
          </cell>
          <cell r="Y25">
            <v>0</v>
          </cell>
          <cell r="AA25">
            <v>0</v>
          </cell>
          <cell r="AB25">
            <v>0</v>
          </cell>
          <cell r="AC25">
            <v>0</v>
          </cell>
          <cell r="AD25">
            <v>0</v>
          </cell>
          <cell r="AF25">
            <v>0</v>
          </cell>
          <cell r="AG25">
            <v>0</v>
          </cell>
          <cell r="AH25">
            <v>0</v>
          </cell>
          <cell r="AI25">
            <v>0</v>
          </cell>
          <cell r="AK25">
            <v>0</v>
          </cell>
          <cell r="AL25">
            <v>0</v>
          </cell>
          <cell r="AM25">
            <v>0</v>
          </cell>
          <cell r="AN25">
            <v>0</v>
          </cell>
          <cell r="AP25">
            <v>0</v>
          </cell>
          <cell r="AQ25">
            <v>0</v>
          </cell>
          <cell r="AR25">
            <v>0</v>
          </cell>
          <cell r="AS25">
            <v>0</v>
          </cell>
          <cell r="AU25">
            <v>0</v>
          </cell>
          <cell r="AV25">
            <v>0</v>
          </cell>
          <cell r="AW25">
            <v>0</v>
          </cell>
          <cell r="AX25">
            <v>0</v>
          </cell>
          <cell r="AZ25">
            <v>0</v>
          </cell>
          <cell r="BA25">
            <v>0</v>
          </cell>
          <cell r="BB25">
            <v>0</v>
          </cell>
          <cell r="BC25">
            <v>0</v>
          </cell>
          <cell r="BE25">
            <v>0</v>
          </cell>
          <cell r="BF25">
            <v>0</v>
          </cell>
          <cell r="BG25">
            <v>0</v>
          </cell>
          <cell r="BH25">
            <v>0</v>
          </cell>
        </row>
        <row r="26">
          <cell r="A26" t="str">
            <v>1Q99</v>
          </cell>
          <cell r="B26">
            <v>0</v>
          </cell>
          <cell r="C26">
            <v>0</v>
          </cell>
          <cell r="D26">
            <v>0</v>
          </cell>
          <cell r="E26">
            <v>0</v>
          </cell>
          <cell r="G26">
            <v>0</v>
          </cell>
          <cell r="H26">
            <v>0</v>
          </cell>
          <cell r="I26">
            <v>0</v>
          </cell>
          <cell r="J26">
            <v>0</v>
          </cell>
          <cell r="L26">
            <v>0</v>
          </cell>
          <cell r="M26">
            <v>0</v>
          </cell>
          <cell r="N26">
            <v>0</v>
          </cell>
          <cell r="O26">
            <v>0</v>
          </cell>
          <cell r="Q26">
            <v>0</v>
          </cell>
          <cell r="R26">
            <v>0</v>
          </cell>
          <cell r="S26">
            <v>0</v>
          </cell>
          <cell r="T26">
            <v>0</v>
          </cell>
          <cell r="V26">
            <v>0</v>
          </cell>
          <cell r="W26">
            <v>0</v>
          </cell>
          <cell r="X26">
            <v>0</v>
          </cell>
          <cell r="Y26">
            <v>0</v>
          </cell>
          <cell r="AA26">
            <v>0</v>
          </cell>
          <cell r="AB26">
            <v>0</v>
          </cell>
          <cell r="AC26">
            <v>0</v>
          </cell>
          <cell r="AD26">
            <v>0</v>
          </cell>
          <cell r="AF26">
            <v>0</v>
          </cell>
          <cell r="AG26">
            <v>0</v>
          </cell>
          <cell r="AH26">
            <v>0</v>
          </cell>
          <cell r="AI26">
            <v>0</v>
          </cell>
          <cell r="AK26">
            <v>0</v>
          </cell>
          <cell r="AL26">
            <v>0</v>
          </cell>
          <cell r="AM26">
            <v>0</v>
          </cell>
          <cell r="AN26">
            <v>0</v>
          </cell>
          <cell r="AP26">
            <v>0</v>
          </cell>
          <cell r="AQ26">
            <v>0</v>
          </cell>
          <cell r="AR26">
            <v>0</v>
          </cell>
          <cell r="AS26">
            <v>0</v>
          </cell>
          <cell r="AU26">
            <v>0</v>
          </cell>
          <cell r="AV26">
            <v>0</v>
          </cell>
          <cell r="AW26">
            <v>0</v>
          </cell>
          <cell r="AX26">
            <v>0</v>
          </cell>
          <cell r="AZ26">
            <v>0</v>
          </cell>
          <cell r="BA26">
            <v>0</v>
          </cell>
          <cell r="BB26">
            <v>0</v>
          </cell>
          <cell r="BC26">
            <v>0</v>
          </cell>
          <cell r="BE26">
            <v>0</v>
          </cell>
          <cell r="BF26">
            <v>0</v>
          </cell>
          <cell r="BG26">
            <v>0</v>
          </cell>
          <cell r="BH26">
            <v>0</v>
          </cell>
        </row>
        <row r="27">
          <cell r="A27" t="str">
            <v>2Q99</v>
          </cell>
          <cell r="C27">
            <v>0</v>
          </cell>
          <cell r="D27">
            <v>0</v>
          </cell>
          <cell r="E27">
            <v>0</v>
          </cell>
          <cell r="G27">
            <v>0</v>
          </cell>
          <cell r="H27">
            <v>0</v>
          </cell>
          <cell r="I27">
            <v>0</v>
          </cell>
          <cell r="J27">
            <v>0</v>
          </cell>
          <cell r="L27">
            <v>0</v>
          </cell>
          <cell r="M27">
            <v>0</v>
          </cell>
          <cell r="N27">
            <v>0</v>
          </cell>
          <cell r="O27">
            <v>0</v>
          </cell>
          <cell r="Q27">
            <v>0</v>
          </cell>
          <cell r="R27">
            <v>0</v>
          </cell>
          <cell r="S27">
            <v>0</v>
          </cell>
          <cell r="T27">
            <v>0</v>
          </cell>
          <cell r="V27">
            <v>0</v>
          </cell>
          <cell r="W27">
            <v>0</v>
          </cell>
          <cell r="X27">
            <v>0</v>
          </cell>
          <cell r="Y27">
            <v>0</v>
          </cell>
          <cell r="AA27">
            <v>0</v>
          </cell>
          <cell r="AB27">
            <v>0</v>
          </cell>
          <cell r="AC27">
            <v>0</v>
          </cell>
          <cell r="AD27">
            <v>0</v>
          </cell>
          <cell r="AF27">
            <v>0</v>
          </cell>
          <cell r="AG27">
            <v>0</v>
          </cell>
          <cell r="AH27">
            <v>0</v>
          </cell>
          <cell r="AI27">
            <v>0</v>
          </cell>
          <cell r="AK27">
            <v>0</v>
          </cell>
          <cell r="AL27">
            <v>0</v>
          </cell>
          <cell r="AM27">
            <v>0</v>
          </cell>
          <cell r="AN27">
            <v>0</v>
          </cell>
          <cell r="AP27">
            <v>0</v>
          </cell>
          <cell r="AQ27">
            <v>0</v>
          </cell>
          <cell r="AR27">
            <v>0</v>
          </cell>
          <cell r="AS27">
            <v>0</v>
          </cell>
          <cell r="AU27">
            <v>0</v>
          </cell>
          <cell r="AV27">
            <v>0</v>
          </cell>
          <cell r="AW27">
            <v>0</v>
          </cell>
          <cell r="AX27">
            <v>0</v>
          </cell>
          <cell r="AZ27">
            <v>0</v>
          </cell>
          <cell r="BA27">
            <v>0</v>
          </cell>
          <cell r="BB27">
            <v>0</v>
          </cell>
          <cell r="BC27">
            <v>0</v>
          </cell>
          <cell r="BE27">
            <v>0</v>
          </cell>
          <cell r="BF27">
            <v>0</v>
          </cell>
          <cell r="BG27">
            <v>0</v>
          </cell>
          <cell r="BH27">
            <v>0</v>
          </cell>
        </row>
        <row r="28">
          <cell r="A28" t="str">
            <v>3Q99</v>
          </cell>
          <cell r="D28">
            <v>0</v>
          </cell>
          <cell r="E28">
            <v>0</v>
          </cell>
          <cell r="G28">
            <v>0</v>
          </cell>
          <cell r="H28">
            <v>0</v>
          </cell>
          <cell r="I28">
            <v>0</v>
          </cell>
          <cell r="J28">
            <v>0</v>
          </cell>
          <cell r="L28">
            <v>0</v>
          </cell>
          <cell r="M28">
            <v>0</v>
          </cell>
          <cell r="N28">
            <v>0</v>
          </cell>
          <cell r="O28">
            <v>0</v>
          </cell>
          <cell r="Q28">
            <v>0</v>
          </cell>
          <cell r="R28">
            <v>0</v>
          </cell>
          <cell r="S28">
            <v>0</v>
          </cell>
          <cell r="T28">
            <v>0</v>
          </cell>
          <cell r="V28">
            <v>0</v>
          </cell>
          <cell r="W28">
            <v>0</v>
          </cell>
          <cell r="X28">
            <v>0</v>
          </cell>
          <cell r="Y28">
            <v>0</v>
          </cell>
          <cell r="AA28">
            <v>0</v>
          </cell>
          <cell r="AB28">
            <v>0</v>
          </cell>
          <cell r="AC28">
            <v>0</v>
          </cell>
          <cell r="AD28">
            <v>0</v>
          </cell>
          <cell r="AF28">
            <v>0</v>
          </cell>
          <cell r="AG28">
            <v>0</v>
          </cell>
          <cell r="AH28">
            <v>0</v>
          </cell>
          <cell r="AI28">
            <v>0</v>
          </cell>
          <cell r="AK28">
            <v>0</v>
          </cell>
          <cell r="AL28">
            <v>0</v>
          </cell>
          <cell r="AM28">
            <v>0</v>
          </cell>
          <cell r="AN28">
            <v>0</v>
          </cell>
          <cell r="AP28">
            <v>0</v>
          </cell>
          <cell r="AQ28">
            <v>0</v>
          </cell>
          <cell r="AR28">
            <v>0</v>
          </cell>
          <cell r="AS28">
            <v>0</v>
          </cell>
          <cell r="AU28">
            <v>0</v>
          </cell>
          <cell r="AV28">
            <v>0</v>
          </cell>
          <cell r="AW28">
            <v>0</v>
          </cell>
          <cell r="AX28">
            <v>0</v>
          </cell>
          <cell r="AZ28">
            <v>0</v>
          </cell>
          <cell r="BA28">
            <v>0</v>
          </cell>
          <cell r="BB28">
            <v>0</v>
          </cell>
          <cell r="BC28">
            <v>0</v>
          </cell>
          <cell r="BE28">
            <v>0</v>
          </cell>
          <cell r="BF28">
            <v>0</v>
          </cell>
          <cell r="BG28">
            <v>0</v>
          </cell>
          <cell r="BH28">
            <v>0</v>
          </cell>
        </row>
        <row r="29">
          <cell r="A29" t="str">
            <v>4Q99</v>
          </cell>
          <cell r="E29">
            <v>0</v>
          </cell>
          <cell r="G29">
            <v>0</v>
          </cell>
          <cell r="H29">
            <v>0</v>
          </cell>
          <cell r="I29">
            <v>0</v>
          </cell>
          <cell r="J29">
            <v>0</v>
          </cell>
          <cell r="L29">
            <v>0</v>
          </cell>
          <cell r="M29">
            <v>0</v>
          </cell>
          <cell r="N29">
            <v>0</v>
          </cell>
          <cell r="O29">
            <v>0</v>
          </cell>
          <cell r="Q29">
            <v>0</v>
          </cell>
          <cell r="R29">
            <v>0</v>
          </cell>
          <cell r="S29">
            <v>0</v>
          </cell>
          <cell r="T29">
            <v>0</v>
          </cell>
          <cell r="V29">
            <v>0</v>
          </cell>
          <cell r="W29">
            <v>0</v>
          </cell>
          <cell r="X29">
            <v>0</v>
          </cell>
          <cell r="Y29">
            <v>0</v>
          </cell>
          <cell r="AA29">
            <v>0</v>
          </cell>
          <cell r="AB29">
            <v>0</v>
          </cell>
          <cell r="AC29">
            <v>0</v>
          </cell>
          <cell r="AD29">
            <v>0</v>
          </cell>
          <cell r="AF29">
            <v>0</v>
          </cell>
          <cell r="AG29">
            <v>0</v>
          </cell>
          <cell r="AH29">
            <v>0</v>
          </cell>
          <cell r="AI29">
            <v>0</v>
          </cell>
          <cell r="AK29">
            <v>0</v>
          </cell>
          <cell r="AL29">
            <v>0</v>
          </cell>
          <cell r="AM29">
            <v>0</v>
          </cell>
          <cell r="AN29">
            <v>0</v>
          </cell>
          <cell r="AP29">
            <v>0</v>
          </cell>
          <cell r="AQ29">
            <v>0</v>
          </cell>
          <cell r="AR29">
            <v>0</v>
          </cell>
          <cell r="AS29">
            <v>0</v>
          </cell>
          <cell r="AU29">
            <v>0</v>
          </cell>
          <cell r="AV29">
            <v>0</v>
          </cell>
          <cell r="AW29">
            <v>0</v>
          </cell>
          <cell r="AX29">
            <v>0</v>
          </cell>
          <cell r="AZ29">
            <v>0</v>
          </cell>
          <cell r="BA29">
            <v>0</v>
          </cell>
          <cell r="BB29">
            <v>0</v>
          </cell>
          <cell r="BC29">
            <v>0</v>
          </cell>
          <cell r="BE29">
            <v>0</v>
          </cell>
          <cell r="BF29">
            <v>0</v>
          </cell>
          <cell r="BG29">
            <v>0</v>
          </cell>
          <cell r="BH29">
            <v>0</v>
          </cell>
        </row>
        <row r="30">
          <cell r="A30" t="str">
            <v>1Q00</v>
          </cell>
          <cell r="G30">
            <v>0</v>
          </cell>
          <cell r="H30">
            <v>0</v>
          </cell>
          <cell r="I30">
            <v>0</v>
          </cell>
          <cell r="J30">
            <v>0</v>
          </cell>
          <cell r="L30">
            <v>0</v>
          </cell>
          <cell r="M30">
            <v>0</v>
          </cell>
          <cell r="N30">
            <v>0</v>
          </cell>
          <cell r="O30">
            <v>0</v>
          </cell>
          <cell r="Q30">
            <v>0</v>
          </cell>
          <cell r="R30">
            <v>0</v>
          </cell>
          <cell r="S30">
            <v>0</v>
          </cell>
          <cell r="T30">
            <v>0</v>
          </cell>
          <cell r="V30">
            <v>0</v>
          </cell>
          <cell r="W30">
            <v>0</v>
          </cell>
          <cell r="X30">
            <v>0</v>
          </cell>
          <cell r="Y30">
            <v>0</v>
          </cell>
          <cell r="AA30">
            <v>0</v>
          </cell>
          <cell r="AB30">
            <v>0</v>
          </cell>
          <cell r="AC30">
            <v>0</v>
          </cell>
          <cell r="AD30">
            <v>0</v>
          </cell>
          <cell r="AF30">
            <v>0</v>
          </cell>
          <cell r="AG30">
            <v>0</v>
          </cell>
          <cell r="AH30">
            <v>0</v>
          </cell>
          <cell r="AI30">
            <v>0</v>
          </cell>
          <cell r="AK30">
            <v>0</v>
          </cell>
          <cell r="AL30">
            <v>0</v>
          </cell>
          <cell r="AM30">
            <v>0</v>
          </cell>
          <cell r="AN30">
            <v>0</v>
          </cell>
          <cell r="AP30">
            <v>0</v>
          </cell>
          <cell r="AQ30">
            <v>0</v>
          </cell>
          <cell r="AR30">
            <v>0</v>
          </cell>
          <cell r="AS30">
            <v>0</v>
          </cell>
          <cell r="AU30">
            <v>0</v>
          </cell>
          <cell r="AV30">
            <v>0</v>
          </cell>
          <cell r="AW30">
            <v>0</v>
          </cell>
          <cell r="AX30">
            <v>0</v>
          </cell>
          <cell r="AZ30">
            <v>0</v>
          </cell>
          <cell r="BA30">
            <v>0</v>
          </cell>
          <cell r="BB30">
            <v>0</v>
          </cell>
          <cell r="BC30">
            <v>0</v>
          </cell>
          <cell r="BE30">
            <v>0</v>
          </cell>
          <cell r="BF30">
            <v>0</v>
          </cell>
          <cell r="BG30">
            <v>0</v>
          </cell>
          <cell r="BH30">
            <v>0</v>
          </cell>
        </row>
        <row r="31">
          <cell r="A31" t="str">
            <v>2Q00</v>
          </cell>
          <cell r="H31">
            <v>0</v>
          </cell>
          <cell r="I31">
            <v>0</v>
          </cell>
          <cell r="J31">
            <v>0</v>
          </cell>
          <cell r="L31">
            <v>0</v>
          </cell>
          <cell r="M31">
            <v>0</v>
          </cell>
          <cell r="N31">
            <v>0</v>
          </cell>
          <cell r="O31">
            <v>0</v>
          </cell>
          <cell r="Q31">
            <v>0</v>
          </cell>
          <cell r="R31">
            <v>0</v>
          </cell>
          <cell r="S31">
            <v>0</v>
          </cell>
          <cell r="T31">
            <v>0</v>
          </cell>
          <cell r="V31">
            <v>0</v>
          </cell>
          <cell r="W31">
            <v>0</v>
          </cell>
          <cell r="X31">
            <v>0</v>
          </cell>
          <cell r="Y31">
            <v>0</v>
          </cell>
          <cell r="AA31">
            <v>0</v>
          </cell>
          <cell r="AB31">
            <v>0</v>
          </cell>
          <cell r="AC31">
            <v>0</v>
          </cell>
          <cell r="AD31">
            <v>0</v>
          </cell>
          <cell r="AF31">
            <v>0</v>
          </cell>
          <cell r="AG31">
            <v>0</v>
          </cell>
          <cell r="AH31">
            <v>0</v>
          </cell>
          <cell r="AI31">
            <v>0</v>
          </cell>
          <cell r="AK31">
            <v>0</v>
          </cell>
          <cell r="AL31">
            <v>0</v>
          </cell>
          <cell r="AM31">
            <v>0</v>
          </cell>
          <cell r="AN31">
            <v>0</v>
          </cell>
          <cell r="AP31">
            <v>0</v>
          </cell>
          <cell r="AQ31">
            <v>0</v>
          </cell>
          <cell r="AR31">
            <v>0</v>
          </cell>
          <cell r="AS31">
            <v>0</v>
          </cell>
          <cell r="AU31">
            <v>0</v>
          </cell>
          <cell r="AV31">
            <v>0</v>
          </cell>
          <cell r="AW31">
            <v>0</v>
          </cell>
          <cell r="AX31">
            <v>0</v>
          </cell>
          <cell r="AZ31">
            <v>0</v>
          </cell>
          <cell r="BA31">
            <v>0</v>
          </cell>
          <cell r="BB31">
            <v>0</v>
          </cell>
          <cell r="BC31">
            <v>0</v>
          </cell>
          <cell r="BE31">
            <v>0</v>
          </cell>
          <cell r="BF31">
            <v>0</v>
          </cell>
          <cell r="BG31">
            <v>0</v>
          </cell>
          <cell r="BH31">
            <v>0</v>
          </cell>
        </row>
        <row r="32">
          <cell r="A32" t="str">
            <v>3Q00</v>
          </cell>
          <cell r="I32">
            <v>0</v>
          </cell>
          <cell r="J32">
            <v>0</v>
          </cell>
          <cell r="L32">
            <v>0</v>
          </cell>
          <cell r="M32">
            <v>0</v>
          </cell>
          <cell r="N32">
            <v>0</v>
          </cell>
          <cell r="O32">
            <v>0</v>
          </cell>
          <cell r="Q32">
            <v>0</v>
          </cell>
          <cell r="R32">
            <v>0</v>
          </cell>
          <cell r="S32">
            <v>0</v>
          </cell>
          <cell r="T32">
            <v>0</v>
          </cell>
          <cell r="V32">
            <v>0</v>
          </cell>
          <cell r="W32">
            <v>0</v>
          </cell>
          <cell r="X32">
            <v>0</v>
          </cell>
          <cell r="Y32">
            <v>0</v>
          </cell>
          <cell r="AA32">
            <v>0</v>
          </cell>
          <cell r="AB32">
            <v>0</v>
          </cell>
          <cell r="AC32">
            <v>0</v>
          </cell>
          <cell r="AD32">
            <v>0</v>
          </cell>
          <cell r="AF32">
            <v>0</v>
          </cell>
          <cell r="AG32">
            <v>0</v>
          </cell>
          <cell r="AH32">
            <v>0</v>
          </cell>
          <cell r="AI32">
            <v>0</v>
          </cell>
          <cell r="AK32">
            <v>0</v>
          </cell>
          <cell r="AL32">
            <v>0</v>
          </cell>
          <cell r="AM32">
            <v>0</v>
          </cell>
          <cell r="AN32">
            <v>0</v>
          </cell>
          <cell r="AP32">
            <v>0</v>
          </cell>
          <cell r="AQ32">
            <v>0</v>
          </cell>
          <cell r="AR32">
            <v>0</v>
          </cell>
          <cell r="AS32">
            <v>0</v>
          </cell>
          <cell r="AU32">
            <v>0</v>
          </cell>
          <cell r="AV32">
            <v>0</v>
          </cell>
          <cell r="AW32">
            <v>0</v>
          </cell>
          <cell r="AX32">
            <v>0</v>
          </cell>
          <cell r="AZ32">
            <v>0</v>
          </cell>
          <cell r="BA32">
            <v>0</v>
          </cell>
          <cell r="BB32">
            <v>0</v>
          </cell>
          <cell r="BC32">
            <v>0</v>
          </cell>
          <cell r="BE32">
            <v>0</v>
          </cell>
          <cell r="BF32">
            <v>0</v>
          </cell>
          <cell r="BG32">
            <v>0</v>
          </cell>
          <cell r="BH32">
            <v>0</v>
          </cell>
        </row>
        <row r="33">
          <cell r="A33" t="str">
            <v>4Q00</v>
          </cell>
          <cell r="J33">
            <v>0</v>
          </cell>
          <cell r="L33">
            <v>0</v>
          </cell>
          <cell r="M33">
            <v>0</v>
          </cell>
          <cell r="N33">
            <v>0</v>
          </cell>
          <cell r="O33">
            <v>0</v>
          </cell>
          <cell r="Q33">
            <v>0</v>
          </cell>
          <cell r="R33">
            <v>0</v>
          </cell>
          <cell r="S33">
            <v>0</v>
          </cell>
          <cell r="T33">
            <v>0</v>
          </cell>
          <cell r="V33">
            <v>0</v>
          </cell>
          <cell r="W33">
            <v>0</v>
          </cell>
          <cell r="X33">
            <v>0</v>
          </cell>
          <cell r="Y33">
            <v>0</v>
          </cell>
          <cell r="AA33">
            <v>0</v>
          </cell>
          <cell r="AB33">
            <v>0</v>
          </cell>
          <cell r="AC33">
            <v>0</v>
          </cell>
          <cell r="AD33">
            <v>0</v>
          </cell>
          <cell r="AF33">
            <v>0</v>
          </cell>
          <cell r="AG33">
            <v>0</v>
          </cell>
          <cell r="AH33">
            <v>0</v>
          </cell>
          <cell r="AI33">
            <v>0</v>
          </cell>
          <cell r="AK33">
            <v>0</v>
          </cell>
          <cell r="AL33">
            <v>0</v>
          </cell>
          <cell r="AM33">
            <v>0</v>
          </cell>
          <cell r="AN33">
            <v>0</v>
          </cell>
          <cell r="AP33">
            <v>0</v>
          </cell>
          <cell r="AQ33">
            <v>0</v>
          </cell>
          <cell r="AR33">
            <v>0</v>
          </cell>
          <cell r="AS33">
            <v>0</v>
          </cell>
          <cell r="AU33">
            <v>0</v>
          </cell>
          <cell r="AV33">
            <v>0</v>
          </cell>
          <cell r="AW33">
            <v>0</v>
          </cell>
          <cell r="AX33">
            <v>0</v>
          </cell>
          <cell r="AZ33">
            <v>0</v>
          </cell>
          <cell r="BA33">
            <v>0</v>
          </cell>
          <cell r="BB33">
            <v>0</v>
          </cell>
          <cell r="BC33">
            <v>0</v>
          </cell>
          <cell r="BE33">
            <v>0</v>
          </cell>
          <cell r="BF33">
            <v>0</v>
          </cell>
          <cell r="BG33">
            <v>0</v>
          </cell>
          <cell r="BH33">
            <v>0</v>
          </cell>
        </row>
        <row r="34">
          <cell r="A34" t="str">
            <v>1Q01</v>
          </cell>
          <cell r="L34">
            <v>0</v>
          </cell>
          <cell r="M34">
            <v>0</v>
          </cell>
          <cell r="N34">
            <v>0</v>
          </cell>
          <cell r="O34">
            <v>0</v>
          </cell>
          <cell r="Q34">
            <v>0</v>
          </cell>
          <cell r="R34">
            <v>0</v>
          </cell>
          <cell r="S34">
            <v>0</v>
          </cell>
          <cell r="T34">
            <v>0</v>
          </cell>
          <cell r="V34">
            <v>0</v>
          </cell>
          <cell r="W34">
            <v>0</v>
          </cell>
          <cell r="X34">
            <v>0</v>
          </cell>
          <cell r="Y34">
            <v>0</v>
          </cell>
          <cell r="AA34">
            <v>0</v>
          </cell>
          <cell r="AB34">
            <v>0</v>
          </cell>
          <cell r="AC34">
            <v>0</v>
          </cell>
          <cell r="AD34">
            <v>0</v>
          </cell>
          <cell r="AF34">
            <v>0</v>
          </cell>
          <cell r="AG34">
            <v>0</v>
          </cell>
          <cell r="AH34">
            <v>0</v>
          </cell>
          <cell r="AI34">
            <v>0</v>
          </cell>
          <cell r="AK34">
            <v>0</v>
          </cell>
          <cell r="AL34">
            <v>0</v>
          </cell>
          <cell r="AM34">
            <v>0</v>
          </cell>
          <cell r="AN34">
            <v>0</v>
          </cell>
          <cell r="AP34">
            <v>0</v>
          </cell>
          <cell r="AQ34">
            <v>0</v>
          </cell>
          <cell r="AR34">
            <v>0</v>
          </cell>
          <cell r="AS34">
            <v>0</v>
          </cell>
          <cell r="AU34">
            <v>0</v>
          </cell>
          <cell r="AV34">
            <v>0</v>
          </cell>
          <cell r="AW34">
            <v>0</v>
          </cell>
          <cell r="AX34">
            <v>0</v>
          </cell>
          <cell r="AZ34">
            <v>0</v>
          </cell>
          <cell r="BA34">
            <v>0</v>
          </cell>
          <cell r="BB34">
            <v>0</v>
          </cell>
          <cell r="BC34">
            <v>0</v>
          </cell>
          <cell r="BE34">
            <v>0</v>
          </cell>
          <cell r="BF34">
            <v>0</v>
          </cell>
          <cell r="BG34">
            <v>0</v>
          </cell>
          <cell r="BH34">
            <v>0</v>
          </cell>
        </row>
        <row r="35">
          <cell r="A35" t="str">
            <v>2Q01</v>
          </cell>
          <cell r="M35">
            <v>0</v>
          </cell>
          <cell r="N35">
            <v>0</v>
          </cell>
          <cell r="O35">
            <v>0</v>
          </cell>
          <cell r="Q35">
            <v>0</v>
          </cell>
          <cell r="R35">
            <v>0</v>
          </cell>
          <cell r="S35">
            <v>0</v>
          </cell>
          <cell r="T35">
            <v>0</v>
          </cell>
          <cell r="V35">
            <v>0</v>
          </cell>
          <cell r="W35">
            <v>0</v>
          </cell>
          <cell r="X35">
            <v>0</v>
          </cell>
          <cell r="Y35">
            <v>0</v>
          </cell>
          <cell r="AA35">
            <v>0</v>
          </cell>
          <cell r="AB35">
            <v>0</v>
          </cell>
          <cell r="AC35">
            <v>0</v>
          </cell>
          <cell r="AD35">
            <v>0</v>
          </cell>
          <cell r="AF35">
            <v>0</v>
          </cell>
          <cell r="AG35">
            <v>0</v>
          </cell>
          <cell r="AH35">
            <v>0</v>
          </cell>
          <cell r="AI35">
            <v>0</v>
          </cell>
          <cell r="AK35">
            <v>0</v>
          </cell>
          <cell r="AL35">
            <v>0</v>
          </cell>
          <cell r="AM35">
            <v>0</v>
          </cell>
          <cell r="AN35">
            <v>0</v>
          </cell>
          <cell r="AP35">
            <v>0</v>
          </cell>
          <cell r="AQ35">
            <v>0</v>
          </cell>
          <cell r="AR35">
            <v>0</v>
          </cell>
          <cell r="AS35">
            <v>0</v>
          </cell>
          <cell r="AU35">
            <v>0</v>
          </cell>
          <cell r="AV35">
            <v>0</v>
          </cell>
          <cell r="AW35">
            <v>0</v>
          </cell>
          <cell r="AX35">
            <v>0</v>
          </cell>
          <cell r="AZ35">
            <v>0</v>
          </cell>
          <cell r="BA35">
            <v>0</v>
          </cell>
          <cell r="BB35">
            <v>0</v>
          </cell>
          <cell r="BC35">
            <v>0</v>
          </cell>
          <cell r="BE35">
            <v>0</v>
          </cell>
          <cell r="BF35">
            <v>0</v>
          </cell>
          <cell r="BG35">
            <v>0</v>
          </cell>
          <cell r="BH35">
            <v>0</v>
          </cell>
        </row>
        <row r="36">
          <cell r="A36" t="str">
            <v>3Q01</v>
          </cell>
          <cell r="N36">
            <v>0</v>
          </cell>
          <cell r="O36">
            <v>0</v>
          </cell>
          <cell r="Q36">
            <v>0</v>
          </cell>
          <cell r="R36">
            <v>0</v>
          </cell>
          <cell r="S36">
            <v>0</v>
          </cell>
          <cell r="T36">
            <v>0</v>
          </cell>
          <cell r="V36">
            <v>0</v>
          </cell>
          <cell r="W36">
            <v>0</v>
          </cell>
          <cell r="X36">
            <v>0</v>
          </cell>
          <cell r="Y36">
            <v>0</v>
          </cell>
          <cell r="AA36">
            <v>0</v>
          </cell>
          <cell r="AB36">
            <v>0</v>
          </cell>
          <cell r="AC36">
            <v>0</v>
          </cell>
          <cell r="AD36">
            <v>0</v>
          </cell>
          <cell r="AF36">
            <v>0</v>
          </cell>
          <cell r="AG36">
            <v>0</v>
          </cell>
          <cell r="AH36">
            <v>0</v>
          </cell>
          <cell r="AI36">
            <v>0</v>
          </cell>
          <cell r="AK36">
            <v>0</v>
          </cell>
          <cell r="AL36">
            <v>0</v>
          </cell>
          <cell r="AM36">
            <v>0</v>
          </cell>
          <cell r="AN36">
            <v>0</v>
          </cell>
          <cell r="AP36">
            <v>0</v>
          </cell>
          <cell r="AQ36">
            <v>0</v>
          </cell>
          <cell r="AR36">
            <v>0</v>
          </cell>
          <cell r="AS36">
            <v>0</v>
          </cell>
          <cell r="AU36">
            <v>0</v>
          </cell>
          <cell r="AV36">
            <v>0</v>
          </cell>
          <cell r="AW36">
            <v>0</v>
          </cell>
          <cell r="AX36">
            <v>0</v>
          </cell>
          <cell r="AZ36">
            <v>0</v>
          </cell>
          <cell r="BA36">
            <v>0</v>
          </cell>
          <cell r="BB36">
            <v>0</v>
          </cell>
          <cell r="BC36">
            <v>0</v>
          </cell>
          <cell r="BE36">
            <v>0</v>
          </cell>
          <cell r="BF36">
            <v>0</v>
          </cell>
          <cell r="BG36">
            <v>0</v>
          </cell>
          <cell r="BH36">
            <v>0</v>
          </cell>
        </row>
        <row r="37">
          <cell r="A37" t="str">
            <v>4Q01</v>
          </cell>
          <cell r="O37">
            <v>0</v>
          </cell>
          <cell r="Q37">
            <v>0</v>
          </cell>
          <cell r="R37">
            <v>0</v>
          </cell>
          <cell r="S37">
            <v>0</v>
          </cell>
          <cell r="T37">
            <v>0</v>
          </cell>
          <cell r="V37">
            <v>0</v>
          </cell>
          <cell r="W37">
            <v>0</v>
          </cell>
          <cell r="X37">
            <v>0</v>
          </cell>
          <cell r="Y37">
            <v>0</v>
          </cell>
          <cell r="AA37">
            <v>0</v>
          </cell>
          <cell r="AB37">
            <v>0</v>
          </cell>
          <cell r="AC37">
            <v>0</v>
          </cell>
          <cell r="AD37">
            <v>0</v>
          </cell>
          <cell r="AF37">
            <v>0</v>
          </cell>
          <cell r="AG37">
            <v>0</v>
          </cell>
          <cell r="AH37">
            <v>0</v>
          </cell>
          <cell r="AI37">
            <v>0</v>
          </cell>
          <cell r="AK37">
            <v>0</v>
          </cell>
          <cell r="AL37">
            <v>0</v>
          </cell>
          <cell r="AM37">
            <v>0</v>
          </cell>
          <cell r="AN37">
            <v>0</v>
          </cell>
          <cell r="AP37">
            <v>0</v>
          </cell>
          <cell r="AQ37">
            <v>0</v>
          </cell>
          <cell r="AR37">
            <v>0</v>
          </cell>
          <cell r="AS37">
            <v>0</v>
          </cell>
          <cell r="AU37">
            <v>0</v>
          </cell>
          <cell r="AV37">
            <v>0</v>
          </cell>
          <cell r="AW37">
            <v>0</v>
          </cell>
          <cell r="AX37">
            <v>0</v>
          </cell>
          <cell r="AZ37">
            <v>0</v>
          </cell>
          <cell r="BA37">
            <v>0</v>
          </cell>
          <cell r="BB37">
            <v>0</v>
          </cell>
          <cell r="BC37">
            <v>0</v>
          </cell>
          <cell r="BE37">
            <v>0</v>
          </cell>
          <cell r="BF37">
            <v>0</v>
          </cell>
          <cell r="BG37">
            <v>0</v>
          </cell>
          <cell r="BH37">
            <v>0</v>
          </cell>
        </row>
        <row r="38">
          <cell r="A38" t="str">
            <v>1Q02</v>
          </cell>
          <cell r="Q38">
            <v>0</v>
          </cell>
          <cell r="R38">
            <v>0</v>
          </cell>
          <cell r="S38">
            <v>0</v>
          </cell>
          <cell r="T38">
            <v>0</v>
          </cell>
          <cell r="V38">
            <v>0</v>
          </cell>
          <cell r="W38">
            <v>0</v>
          </cell>
          <cell r="X38">
            <v>0</v>
          </cell>
          <cell r="Y38">
            <v>0</v>
          </cell>
          <cell r="AA38">
            <v>0</v>
          </cell>
          <cell r="AB38">
            <v>0</v>
          </cell>
          <cell r="AC38">
            <v>0</v>
          </cell>
          <cell r="AD38">
            <v>0</v>
          </cell>
          <cell r="AF38">
            <v>0</v>
          </cell>
          <cell r="AG38">
            <v>0</v>
          </cell>
          <cell r="AH38">
            <v>0</v>
          </cell>
          <cell r="AI38">
            <v>0</v>
          </cell>
          <cell r="AK38">
            <v>0</v>
          </cell>
          <cell r="AL38">
            <v>0</v>
          </cell>
          <cell r="AM38">
            <v>0</v>
          </cell>
          <cell r="AN38">
            <v>0</v>
          </cell>
          <cell r="AP38">
            <v>0</v>
          </cell>
          <cell r="AQ38">
            <v>0</v>
          </cell>
          <cell r="AR38">
            <v>0</v>
          </cell>
          <cell r="AS38">
            <v>0</v>
          </cell>
          <cell r="AU38">
            <v>0</v>
          </cell>
          <cell r="AV38">
            <v>0</v>
          </cell>
          <cell r="AW38">
            <v>0</v>
          </cell>
          <cell r="AX38">
            <v>0</v>
          </cell>
          <cell r="AZ38">
            <v>0</v>
          </cell>
          <cell r="BA38">
            <v>0</v>
          </cell>
          <cell r="BB38">
            <v>0</v>
          </cell>
          <cell r="BC38">
            <v>0</v>
          </cell>
          <cell r="BE38">
            <v>0</v>
          </cell>
          <cell r="BF38">
            <v>0</v>
          </cell>
          <cell r="BG38">
            <v>0</v>
          </cell>
          <cell r="BH38">
            <v>0</v>
          </cell>
        </row>
        <row r="39">
          <cell r="A39" t="str">
            <v>2Q02</v>
          </cell>
          <cell r="R39">
            <v>0</v>
          </cell>
          <cell r="S39">
            <v>0</v>
          </cell>
          <cell r="T39">
            <v>0</v>
          </cell>
          <cell r="V39">
            <v>0</v>
          </cell>
          <cell r="W39">
            <v>0</v>
          </cell>
          <cell r="X39">
            <v>0</v>
          </cell>
          <cell r="Y39">
            <v>0</v>
          </cell>
          <cell r="AA39">
            <v>0</v>
          </cell>
          <cell r="AB39">
            <v>0</v>
          </cell>
          <cell r="AC39">
            <v>0</v>
          </cell>
          <cell r="AD39">
            <v>0</v>
          </cell>
          <cell r="AF39">
            <v>0</v>
          </cell>
          <cell r="AG39">
            <v>0</v>
          </cell>
          <cell r="AH39">
            <v>0</v>
          </cell>
          <cell r="AI39">
            <v>0</v>
          </cell>
          <cell r="AK39">
            <v>0</v>
          </cell>
          <cell r="AL39">
            <v>0</v>
          </cell>
          <cell r="AM39">
            <v>0</v>
          </cell>
          <cell r="AN39">
            <v>0</v>
          </cell>
          <cell r="AP39">
            <v>0</v>
          </cell>
          <cell r="AQ39">
            <v>0</v>
          </cell>
          <cell r="AR39">
            <v>0</v>
          </cell>
          <cell r="AS39">
            <v>0</v>
          </cell>
          <cell r="AU39">
            <v>0</v>
          </cell>
          <cell r="AV39">
            <v>0</v>
          </cell>
          <cell r="AW39">
            <v>0</v>
          </cell>
          <cell r="AX39">
            <v>0</v>
          </cell>
          <cell r="AZ39">
            <v>0</v>
          </cell>
          <cell r="BA39">
            <v>0</v>
          </cell>
          <cell r="BB39">
            <v>0</v>
          </cell>
          <cell r="BC39">
            <v>0</v>
          </cell>
          <cell r="BE39">
            <v>0</v>
          </cell>
          <cell r="BF39">
            <v>0</v>
          </cell>
          <cell r="BG39">
            <v>0</v>
          </cell>
          <cell r="BH39">
            <v>0</v>
          </cell>
        </row>
        <row r="40">
          <cell r="A40" t="str">
            <v>3Q02</v>
          </cell>
          <cell r="S40">
            <v>0</v>
          </cell>
          <cell r="T40">
            <v>0</v>
          </cell>
          <cell r="V40">
            <v>0</v>
          </cell>
          <cell r="W40">
            <v>0</v>
          </cell>
          <cell r="X40">
            <v>0</v>
          </cell>
          <cell r="Y40">
            <v>0</v>
          </cell>
          <cell r="AA40">
            <v>0</v>
          </cell>
          <cell r="AB40">
            <v>0</v>
          </cell>
          <cell r="AC40">
            <v>0</v>
          </cell>
          <cell r="AD40">
            <v>0</v>
          </cell>
          <cell r="AF40">
            <v>0</v>
          </cell>
          <cell r="AG40">
            <v>0</v>
          </cell>
          <cell r="AH40">
            <v>0</v>
          </cell>
          <cell r="AI40">
            <v>0</v>
          </cell>
          <cell r="AK40">
            <v>0</v>
          </cell>
          <cell r="AL40">
            <v>0</v>
          </cell>
          <cell r="AM40">
            <v>0</v>
          </cell>
          <cell r="AN40">
            <v>0</v>
          </cell>
          <cell r="AP40">
            <v>0</v>
          </cell>
          <cell r="AQ40">
            <v>0</v>
          </cell>
          <cell r="AR40">
            <v>0</v>
          </cell>
          <cell r="AS40">
            <v>0</v>
          </cell>
          <cell r="AU40">
            <v>0</v>
          </cell>
          <cell r="AV40">
            <v>0</v>
          </cell>
          <cell r="AW40">
            <v>0</v>
          </cell>
          <cell r="AX40">
            <v>0</v>
          </cell>
          <cell r="AZ40">
            <v>0</v>
          </cell>
          <cell r="BA40">
            <v>0</v>
          </cell>
          <cell r="BB40">
            <v>0</v>
          </cell>
          <cell r="BC40">
            <v>0</v>
          </cell>
          <cell r="BE40">
            <v>0</v>
          </cell>
          <cell r="BF40">
            <v>0</v>
          </cell>
          <cell r="BG40">
            <v>0</v>
          </cell>
          <cell r="BH40">
            <v>0</v>
          </cell>
        </row>
        <row r="41">
          <cell r="A41" t="str">
            <v>4Q02</v>
          </cell>
          <cell r="T41">
            <v>0</v>
          </cell>
          <cell r="V41">
            <v>0</v>
          </cell>
          <cell r="W41">
            <v>0</v>
          </cell>
          <cell r="X41">
            <v>0</v>
          </cell>
          <cell r="Y41">
            <v>0</v>
          </cell>
          <cell r="AA41">
            <v>0</v>
          </cell>
          <cell r="AB41">
            <v>0</v>
          </cell>
          <cell r="AC41">
            <v>0</v>
          </cell>
          <cell r="AD41">
            <v>0</v>
          </cell>
          <cell r="AF41">
            <v>0</v>
          </cell>
          <cell r="AG41">
            <v>0</v>
          </cell>
          <cell r="AH41">
            <v>0</v>
          </cell>
          <cell r="AI41">
            <v>0</v>
          </cell>
          <cell r="AK41">
            <v>0</v>
          </cell>
          <cell r="AL41">
            <v>0</v>
          </cell>
          <cell r="AM41">
            <v>0</v>
          </cell>
          <cell r="AN41">
            <v>0</v>
          </cell>
          <cell r="AP41">
            <v>0</v>
          </cell>
          <cell r="AQ41">
            <v>0</v>
          </cell>
          <cell r="AR41">
            <v>0</v>
          </cell>
          <cell r="AS41">
            <v>0</v>
          </cell>
          <cell r="AU41">
            <v>0</v>
          </cell>
          <cell r="AV41">
            <v>0</v>
          </cell>
          <cell r="AW41">
            <v>0</v>
          </cell>
          <cell r="AX41">
            <v>0</v>
          </cell>
          <cell r="AZ41">
            <v>0</v>
          </cell>
          <cell r="BA41">
            <v>0</v>
          </cell>
          <cell r="BB41">
            <v>0</v>
          </cell>
          <cell r="BC41">
            <v>0</v>
          </cell>
          <cell r="BE41">
            <v>0</v>
          </cell>
          <cell r="BF41">
            <v>0</v>
          </cell>
          <cell r="BG41">
            <v>0</v>
          </cell>
          <cell r="BH41">
            <v>0</v>
          </cell>
        </row>
        <row r="42">
          <cell r="A42" t="str">
            <v>1Q03</v>
          </cell>
          <cell r="V42">
            <v>0</v>
          </cell>
          <cell r="W42">
            <v>0</v>
          </cell>
          <cell r="X42">
            <v>0</v>
          </cell>
          <cell r="Y42">
            <v>0</v>
          </cell>
          <cell r="AA42">
            <v>0</v>
          </cell>
          <cell r="AB42">
            <v>0</v>
          </cell>
          <cell r="AC42">
            <v>0</v>
          </cell>
          <cell r="AD42">
            <v>0</v>
          </cell>
          <cell r="AF42">
            <v>0</v>
          </cell>
          <cell r="AG42">
            <v>0</v>
          </cell>
          <cell r="AH42">
            <v>0</v>
          </cell>
          <cell r="AI42">
            <v>0</v>
          </cell>
          <cell r="AK42">
            <v>0</v>
          </cell>
          <cell r="AL42">
            <v>0</v>
          </cell>
          <cell r="AM42">
            <v>0</v>
          </cell>
          <cell r="AN42">
            <v>0</v>
          </cell>
          <cell r="AP42">
            <v>0</v>
          </cell>
          <cell r="AQ42">
            <v>0</v>
          </cell>
          <cell r="AR42">
            <v>0</v>
          </cell>
          <cell r="AS42">
            <v>0</v>
          </cell>
          <cell r="AU42">
            <v>0</v>
          </cell>
          <cell r="AV42">
            <v>0</v>
          </cell>
          <cell r="AW42">
            <v>0</v>
          </cell>
          <cell r="AX42">
            <v>0</v>
          </cell>
          <cell r="AZ42">
            <v>0</v>
          </cell>
          <cell r="BA42">
            <v>0</v>
          </cell>
          <cell r="BB42">
            <v>0</v>
          </cell>
          <cell r="BC42">
            <v>0</v>
          </cell>
          <cell r="BE42">
            <v>0</v>
          </cell>
          <cell r="BF42">
            <v>0</v>
          </cell>
          <cell r="BG42">
            <v>0</v>
          </cell>
          <cell r="BH42">
            <v>0</v>
          </cell>
        </row>
        <row r="43">
          <cell r="A43" t="str">
            <v>2Q03</v>
          </cell>
          <cell r="W43">
            <v>0</v>
          </cell>
          <cell r="X43">
            <v>0</v>
          </cell>
          <cell r="Y43">
            <v>0</v>
          </cell>
          <cell r="AA43">
            <v>0</v>
          </cell>
          <cell r="AB43">
            <v>0</v>
          </cell>
          <cell r="AC43">
            <v>0</v>
          </cell>
          <cell r="AD43">
            <v>0</v>
          </cell>
          <cell r="AF43">
            <v>0</v>
          </cell>
          <cell r="AG43">
            <v>0</v>
          </cell>
          <cell r="AH43">
            <v>0</v>
          </cell>
          <cell r="AI43">
            <v>0</v>
          </cell>
          <cell r="AK43">
            <v>0</v>
          </cell>
          <cell r="AL43">
            <v>0</v>
          </cell>
          <cell r="AM43">
            <v>0</v>
          </cell>
          <cell r="AN43">
            <v>0</v>
          </cell>
          <cell r="AP43">
            <v>0</v>
          </cell>
          <cell r="AQ43">
            <v>0</v>
          </cell>
          <cell r="AR43">
            <v>0</v>
          </cell>
          <cell r="AS43">
            <v>0</v>
          </cell>
          <cell r="AU43">
            <v>0</v>
          </cell>
          <cell r="AV43">
            <v>0</v>
          </cell>
          <cell r="AW43">
            <v>0</v>
          </cell>
          <cell r="AX43">
            <v>0</v>
          </cell>
          <cell r="AZ43">
            <v>0</v>
          </cell>
          <cell r="BA43">
            <v>0</v>
          </cell>
          <cell r="BB43">
            <v>0</v>
          </cell>
          <cell r="BC43">
            <v>0</v>
          </cell>
          <cell r="BE43">
            <v>0</v>
          </cell>
          <cell r="BF43">
            <v>0</v>
          </cell>
          <cell r="BG43">
            <v>0</v>
          </cell>
          <cell r="BH43">
            <v>0</v>
          </cell>
        </row>
        <row r="44">
          <cell r="A44" t="str">
            <v>3Q03</v>
          </cell>
          <cell r="X44">
            <v>0</v>
          </cell>
          <cell r="Y44">
            <v>0</v>
          </cell>
          <cell r="AA44">
            <v>0</v>
          </cell>
          <cell r="AB44">
            <v>0</v>
          </cell>
          <cell r="AC44">
            <v>0</v>
          </cell>
          <cell r="AD44">
            <v>0</v>
          </cell>
          <cell r="AF44">
            <v>0</v>
          </cell>
          <cell r="AG44">
            <v>0</v>
          </cell>
          <cell r="AH44">
            <v>0</v>
          </cell>
          <cell r="AI44">
            <v>0</v>
          </cell>
          <cell r="AK44">
            <v>0</v>
          </cell>
          <cell r="AL44">
            <v>0</v>
          </cell>
          <cell r="AM44">
            <v>0</v>
          </cell>
          <cell r="AN44">
            <v>0</v>
          </cell>
          <cell r="AP44">
            <v>0</v>
          </cell>
          <cell r="AQ44">
            <v>0</v>
          </cell>
          <cell r="AR44">
            <v>0</v>
          </cell>
          <cell r="AS44">
            <v>0</v>
          </cell>
          <cell r="AU44">
            <v>0</v>
          </cell>
          <cell r="AV44">
            <v>0</v>
          </cell>
          <cell r="AW44">
            <v>0</v>
          </cell>
          <cell r="AX44">
            <v>0</v>
          </cell>
          <cell r="AZ44">
            <v>0</v>
          </cell>
          <cell r="BA44">
            <v>0</v>
          </cell>
          <cell r="BB44">
            <v>0</v>
          </cell>
          <cell r="BC44">
            <v>0</v>
          </cell>
          <cell r="BE44">
            <v>0</v>
          </cell>
          <cell r="BF44">
            <v>0</v>
          </cell>
          <cell r="BG44">
            <v>0</v>
          </cell>
          <cell r="BH44">
            <v>0</v>
          </cell>
        </row>
        <row r="45">
          <cell r="A45" t="str">
            <v>4Q03</v>
          </cell>
          <cell r="Y45">
            <v>0</v>
          </cell>
          <cell r="AA45">
            <v>0</v>
          </cell>
          <cell r="AB45">
            <v>0</v>
          </cell>
          <cell r="AC45">
            <v>0</v>
          </cell>
          <cell r="AD45">
            <v>0</v>
          </cell>
          <cell r="AF45">
            <v>0</v>
          </cell>
          <cell r="AG45">
            <v>0</v>
          </cell>
          <cell r="AH45">
            <v>0</v>
          </cell>
          <cell r="AI45">
            <v>0</v>
          </cell>
          <cell r="AK45">
            <v>0</v>
          </cell>
          <cell r="AL45">
            <v>0</v>
          </cell>
          <cell r="AM45">
            <v>0</v>
          </cell>
          <cell r="AN45">
            <v>0</v>
          </cell>
          <cell r="AP45">
            <v>0</v>
          </cell>
          <cell r="AQ45">
            <v>0</v>
          </cell>
          <cell r="AR45">
            <v>0</v>
          </cell>
          <cell r="AS45">
            <v>0</v>
          </cell>
          <cell r="AU45">
            <v>0</v>
          </cell>
          <cell r="AV45">
            <v>0</v>
          </cell>
          <cell r="AW45">
            <v>0</v>
          </cell>
          <cell r="AX45">
            <v>0</v>
          </cell>
          <cell r="AZ45">
            <v>0</v>
          </cell>
          <cell r="BA45">
            <v>0</v>
          </cell>
          <cell r="BB45">
            <v>0</v>
          </cell>
          <cell r="BC45">
            <v>0</v>
          </cell>
          <cell r="BE45">
            <v>0</v>
          </cell>
          <cell r="BF45">
            <v>0</v>
          </cell>
          <cell r="BG45">
            <v>0</v>
          </cell>
          <cell r="BH45">
            <v>0</v>
          </cell>
        </row>
        <row r="46">
          <cell r="A46" t="str">
            <v>1Q04</v>
          </cell>
          <cell r="AA46">
            <v>0</v>
          </cell>
          <cell r="AB46">
            <v>0</v>
          </cell>
          <cell r="AC46">
            <v>0</v>
          </cell>
          <cell r="AD46">
            <v>0</v>
          </cell>
          <cell r="AF46">
            <v>0</v>
          </cell>
          <cell r="AG46">
            <v>0</v>
          </cell>
          <cell r="AH46">
            <v>0</v>
          </cell>
          <cell r="AI46">
            <v>0</v>
          </cell>
          <cell r="AK46">
            <v>0</v>
          </cell>
          <cell r="AL46">
            <v>0</v>
          </cell>
          <cell r="AM46">
            <v>0</v>
          </cell>
          <cell r="AN46">
            <v>0</v>
          </cell>
          <cell r="AP46">
            <v>0</v>
          </cell>
          <cell r="AQ46">
            <v>0</v>
          </cell>
          <cell r="AR46">
            <v>0</v>
          </cell>
          <cell r="AS46">
            <v>0</v>
          </cell>
          <cell r="AU46">
            <v>0</v>
          </cell>
          <cell r="AV46">
            <v>0</v>
          </cell>
          <cell r="AW46">
            <v>0</v>
          </cell>
          <cell r="AX46">
            <v>0</v>
          </cell>
          <cell r="AZ46">
            <v>0</v>
          </cell>
          <cell r="BA46">
            <v>0</v>
          </cell>
          <cell r="BB46">
            <v>0</v>
          </cell>
          <cell r="BC46">
            <v>0</v>
          </cell>
          <cell r="BE46">
            <v>0</v>
          </cell>
          <cell r="BF46">
            <v>0</v>
          </cell>
          <cell r="BG46">
            <v>0</v>
          </cell>
          <cell r="BH46">
            <v>0</v>
          </cell>
        </row>
        <row r="47">
          <cell r="A47" t="str">
            <v>2Q04</v>
          </cell>
          <cell r="AB47">
            <v>0</v>
          </cell>
          <cell r="AC47">
            <v>0</v>
          </cell>
          <cell r="AD47">
            <v>0</v>
          </cell>
          <cell r="AF47">
            <v>0</v>
          </cell>
          <cell r="AG47">
            <v>0</v>
          </cell>
          <cell r="AH47">
            <v>0</v>
          </cell>
          <cell r="AI47">
            <v>0</v>
          </cell>
          <cell r="AK47">
            <v>0</v>
          </cell>
          <cell r="AL47">
            <v>0</v>
          </cell>
          <cell r="AM47">
            <v>0</v>
          </cell>
          <cell r="AN47">
            <v>0</v>
          </cell>
          <cell r="AP47">
            <v>0</v>
          </cell>
          <cell r="AQ47">
            <v>0</v>
          </cell>
          <cell r="AR47">
            <v>0</v>
          </cell>
          <cell r="AS47">
            <v>0</v>
          </cell>
          <cell r="AU47">
            <v>0</v>
          </cell>
          <cell r="AV47">
            <v>0</v>
          </cell>
          <cell r="AW47">
            <v>0</v>
          </cell>
          <cell r="AX47">
            <v>0</v>
          </cell>
          <cell r="AZ47">
            <v>0</v>
          </cell>
          <cell r="BA47">
            <v>0</v>
          </cell>
          <cell r="BB47">
            <v>0</v>
          </cell>
          <cell r="BC47">
            <v>0</v>
          </cell>
          <cell r="BE47">
            <v>0</v>
          </cell>
          <cell r="BF47">
            <v>0</v>
          </cell>
          <cell r="BG47">
            <v>0</v>
          </cell>
          <cell r="BH47">
            <v>0</v>
          </cell>
        </row>
        <row r="48">
          <cell r="A48" t="str">
            <v>3Q04</v>
          </cell>
          <cell r="AC48">
            <v>0</v>
          </cell>
          <cell r="AD48">
            <v>0</v>
          </cell>
          <cell r="AF48">
            <v>0</v>
          </cell>
          <cell r="AG48">
            <v>0</v>
          </cell>
          <cell r="AH48">
            <v>0</v>
          </cell>
          <cell r="AI48">
            <v>0</v>
          </cell>
          <cell r="AK48">
            <v>0</v>
          </cell>
          <cell r="AL48">
            <v>0</v>
          </cell>
          <cell r="AM48">
            <v>0</v>
          </cell>
          <cell r="AN48">
            <v>0</v>
          </cell>
          <cell r="AP48">
            <v>0</v>
          </cell>
          <cell r="AQ48">
            <v>0</v>
          </cell>
          <cell r="AR48">
            <v>0</v>
          </cell>
          <cell r="AS48">
            <v>0</v>
          </cell>
          <cell r="AU48">
            <v>0</v>
          </cell>
          <cell r="AV48">
            <v>0</v>
          </cell>
          <cell r="AW48">
            <v>0</v>
          </cell>
          <cell r="AX48">
            <v>0</v>
          </cell>
          <cell r="AZ48">
            <v>0</v>
          </cell>
          <cell r="BA48">
            <v>0</v>
          </cell>
          <cell r="BB48">
            <v>0</v>
          </cell>
          <cell r="BC48">
            <v>0</v>
          </cell>
          <cell r="BE48">
            <v>0</v>
          </cell>
          <cell r="BF48">
            <v>0</v>
          </cell>
          <cell r="BG48">
            <v>0</v>
          </cell>
          <cell r="BH48">
            <v>0</v>
          </cell>
        </row>
        <row r="49">
          <cell r="A49" t="str">
            <v>4Q04</v>
          </cell>
          <cell r="AD49">
            <v>0</v>
          </cell>
          <cell r="AF49">
            <v>0</v>
          </cell>
          <cell r="AG49">
            <v>0</v>
          </cell>
          <cell r="AH49">
            <v>0</v>
          </cell>
          <cell r="AI49">
            <v>0</v>
          </cell>
          <cell r="AK49">
            <v>0</v>
          </cell>
          <cell r="AL49">
            <v>0</v>
          </cell>
          <cell r="AM49">
            <v>0</v>
          </cell>
          <cell r="AN49">
            <v>0</v>
          </cell>
          <cell r="AP49">
            <v>0</v>
          </cell>
          <cell r="AQ49">
            <v>0</v>
          </cell>
          <cell r="AR49">
            <v>0</v>
          </cell>
          <cell r="AS49">
            <v>0</v>
          </cell>
          <cell r="AU49">
            <v>0</v>
          </cell>
          <cell r="AV49">
            <v>0</v>
          </cell>
          <cell r="AW49">
            <v>0</v>
          </cell>
          <cell r="AX49">
            <v>0</v>
          </cell>
          <cell r="AZ49">
            <v>0</v>
          </cell>
          <cell r="BA49">
            <v>0</v>
          </cell>
          <cell r="BB49">
            <v>0</v>
          </cell>
          <cell r="BC49">
            <v>0</v>
          </cell>
          <cell r="BE49">
            <v>0</v>
          </cell>
          <cell r="BF49">
            <v>0</v>
          </cell>
          <cell r="BG49">
            <v>0</v>
          </cell>
          <cell r="BH49">
            <v>0</v>
          </cell>
        </row>
        <row r="50">
          <cell r="A50" t="str">
            <v>1Q05</v>
          </cell>
          <cell r="AF50">
            <v>0</v>
          </cell>
          <cell r="AG50">
            <v>0</v>
          </cell>
          <cell r="AH50">
            <v>0</v>
          </cell>
          <cell r="AI50">
            <v>0</v>
          </cell>
          <cell r="AK50">
            <v>0</v>
          </cell>
          <cell r="AL50">
            <v>0</v>
          </cell>
          <cell r="AM50">
            <v>0</v>
          </cell>
          <cell r="AN50">
            <v>0</v>
          </cell>
          <cell r="AP50">
            <v>0</v>
          </cell>
          <cell r="AQ50">
            <v>0</v>
          </cell>
          <cell r="AR50">
            <v>0</v>
          </cell>
          <cell r="AS50">
            <v>0</v>
          </cell>
          <cell r="AU50">
            <v>0</v>
          </cell>
          <cell r="AV50">
            <v>0</v>
          </cell>
          <cell r="AW50">
            <v>0</v>
          </cell>
          <cell r="AX50">
            <v>0</v>
          </cell>
          <cell r="AZ50">
            <v>0</v>
          </cell>
          <cell r="BA50">
            <v>0</v>
          </cell>
          <cell r="BB50">
            <v>0</v>
          </cell>
          <cell r="BC50">
            <v>0</v>
          </cell>
          <cell r="BE50">
            <v>0</v>
          </cell>
          <cell r="BF50">
            <v>0</v>
          </cell>
          <cell r="BG50">
            <v>0</v>
          </cell>
          <cell r="BH50">
            <v>0</v>
          </cell>
        </row>
        <row r="51">
          <cell r="A51" t="str">
            <v>2Q05</v>
          </cell>
          <cell r="AG51">
            <v>0</v>
          </cell>
          <cell r="AH51">
            <v>0</v>
          </cell>
          <cell r="AI51">
            <v>0</v>
          </cell>
          <cell r="AK51">
            <v>0</v>
          </cell>
          <cell r="AL51">
            <v>0</v>
          </cell>
          <cell r="AM51">
            <v>0</v>
          </cell>
          <cell r="AN51">
            <v>0</v>
          </cell>
          <cell r="AP51">
            <v>0</v>
          </cell>
          <cell r="AQ51">
            <v>0</v>
          </cell>
          <cell r="AR51">
            <v>0</v>
          </cell>
          <cell r="AS51">
            <v>0</v>
          </cell>
          <cell r="AU51">
            <v>0</v>
          </cell>
          <cell r="AV51">
            <v>0</v>
          </cell>
          <cell r="AW51">
            <v>0</v>
          </cell>
          <cell r="AX51">
            <v>0</v>
          </cell>
          <cell r="AZ51">
            <v>0</v>
          </cell>
          <cell r="BA51">
            <v>0</v>
          </cell>
          <cell r="BB51">
            <v>0</v>
          </cell>
          <cell r="BC51">
            <v>0</v>
          </cell>
          <cell r="BE51">
            <v>0</v>
          </cell>
          <cell r="BF51">
            <v>0</v>
          </cell>
          <cell r="BG51">
            <v>0</v>
          </cell>
          <cell r="BH51">
            <v>0</v>
          </cell>
        </row>
        <row r="52">
          <cell r="A52" t="str">
            <v>3Q05</v>
          </cell>
          <cell r="AH52">
            <v>0</v>
          </cell>
          <cell r="AI52">
            <v>0</v>
          </cell>
          <cell r="AK52">
            <v>0</v>
          </cell>
          <cell r="AL52">
            <v>0</v>
          </cell>
          <cell r="AM52">
            <v>0</v>
          </cell>
          <cell r="AN52">
            <v>0</v>
          </cell>
          <cell r="AP52">
            <v>0</v>
          </cell>
          <cell r="AQ52">
            <v>0</v>
          </cell>
          <cell r="AR52">
            <v>0</v>
          </cell>
          <cell r="AS52">
            <v>0</v>
          </cell>
          <cell r="AU52">
            <v>0</v>
          </cell>
          <cell r="AV52">
            <v>0</v>
          </cell>
          <cell r="AW52">
            <v>0</v>
          </cell>
          <cell r="AX52">
            <v>0</v>
          </cell>
          <cell r="AZ52">
            <v>0</v>
          </cell>
          <cell r="BA52">
            <v>0</v>
          </cell>
          <cell r="BB52">
            <v>0</v>
          </cell>
          <cell r="BC52">
            <v>0</v>
          </cell>
          <cell r="BE52">
            <v>0</v>
          </cell>
          <cell r="BF52">
            <v>0</v>
          </cell>
          <cell r="BG52">
            <v>0</v>
          </cell>
          <cell r="BH52">
            <v>0</v>
          </cell>
        </row>
        <row r="53">
          <cell r="A53" t="str">
            <v>4Q05</v>
          </cell>
          <cell r="AI53">
            <v>0</v>
          </cell>
          <cell r="AK53">
            <v>0</v>
          </cell>
          <cell r="AL53">
            <v>0</v>
          </cell>
          <cell r="AM53">
            <v>0</v>
          </cell>
          <cell r="AN53">
            <v>0</v>
          </cell>
          <cell r="AP53">
            <v>0</v>
          </cell>
          <cell r="AQ53">
            <v>0</v>
          </cell>
          <cell r="AR53">
            <v>0</v>
          </cell>
          <cell r="AS53">
            <v>0</v>
          </cell>
          <cell r="AU53">
            <v>0</v>
          </cell>
          <cell r="AV53">
            <v>0</v>
          </cell>
          <cell r="AW53">
            <v>0</v>
          </cell>
          <cell r="AX53">
            <v>0</v>
          </cell>
          <cell r="AZ53">
            <v>0</v>
          </cell>
          <cell r="BA53">
            <v>0</v>
          </cell>
          <cell r="BB53">
            <v>0</v>
          </cell>
          <cell r="BC53">
            <v>0</v>
          </cell>
          <cell r="BE53">
            <v>0</v>
          </cell>
          <cell r="BF53">
            <v>0</v>
          </cell>
          <cell r="BG53">
            <v>0</v>
          </cell>
          <cell r="BH53">
            <v>0</v>
          </cell>
        </row>
        <row r="54">
          <cell r="A54" t="str">
            <v>1Q06</v>
          </cell>
          <cell r="AK54">
            <v>0</v>
          </cell>
          <cell r="AL54">
            <v>0</v>
          </cell>
          <cell r="AM54">
            <v>0</v>
          </cell>
          <cell r="AN54">
            <v>0</v>
          </cell>
          <cell r="AP54">
            <v>0</v>
          </cell>
          <cell r="AQ54">
            <v>0</v>
          </cell>
          <cell r="AR54">
            <v>0</v>
          </cell>
          <cell r="AS54">
            <v>0</v>
          </cell>
          <cell r="AU54">
            <v>0</v>
          </cell>
          <cell r="AV54">
            <v>0</v>
          </cell>
          <cell r="AW54">
            <v>0</v>
          </cell>
          <cell r="AX54">
            <v>0</v>
          </cell>
          <cell r="AZ54">
            <v>0</v>
          </cell>
          <cell r="BA54">
            <v>0</v>
          </cell>
          <cell r="BB54">
            <v>0</v>
          </cell>
          <cell r="BC54">
            <v>0</v>
          </cell>
          <cell r="BE54">
            <v>0</v>
          </cell>
          <cell r="BF54">
            <v>0</v>
          </cell>
          <cell r="BG54">
            <v>0</v>
          </cell>
          <cell r="BH54">
            <v>0</v>
          </cell>
        </row>
        <row r="55">
          <cell r="A55" t="str">
            <v>2Q06</v>
          </cell>
          <cell r="AL55">
            <v>0</v>
          </cell>
          <cell r="AM55">
            <v>0</v>
          </cell>
          <cell r="AN55">
            <v>0</v>
          </cell>
          <cell r="AP55">
            <v>0</v>
          </cell>
          <cell r="AQ55">
            <v>0</v>
          </cell>
          <cell r="AR55">
            <v>0</v>
          </cell>
          <cell r="AS55">
            <v>0</v>
          </cell>
          <cell r="AU55">
            <v>0</v>
          </cell>
          <cell r="AV55">
            <v>0</v>
          </cell>
          <cell r="AW55">
            <v>0</v>
          </cell>
          <cell r="AX55">
            <v>0</v>
          </cell>
          <cell r="AZ55">
            <v>0</v>
          </cell>
          <cell r="BA55">
            <v>0</v>
          </cell>
          <cell r="BB55">
            <v>0</v>
          </cell>
          <cell r="BC55">
            <v>0</v>
          </cell>
          <cell r="BE55">
            <v>0</v>
          </cell>
          <cell r="BF55">
            <v>0</v>
          </cell>
          <cell r="BG55">
            <v>0</v>
          </cell>
          <cell r="BH55">
            <v>0</v>
          </cell>
        </row>
        <row r="56">
          <cell r="A56" t="str">
            <v>3Q06</v>
          </cell>
          <cell r="AM56">
            <v>0</v>
          </cell>
          <cell r="AN56">
            <v>0</v>
          </cell>
          <cell r="AP56">
            <v>0</v>
          </cell>
          <cell r="AQ56">
            <v>0</v>
          </cell>
          <cell r="AR56">
            <v>0</v>
          </cell>
          <cell r="AS56">
            <v>0</v>
          </cell>
          <cell r="AU56">
            <v>0</v>
          </cell>
          <cell r="AV56">
            <v>0</v>
          </cell>
          <cell r="AW56">
            <v>0</v>
          </cell>
          <cell r="AX56">
            <v>0</v>
          </cell>
          <cell r="AZ56">
            <v>0</v>
          </cell>
          <cell r="BA56">
            <v>0</v>
          </cell>
          <cell r="BB56">
            <v>0</v>
          </cell>
          <cell r="BC56">
            <v>0</v>
          </cell>
          <cell r="BE56">
            <v>0</v>
          </cell>
          <cell r="BF56">
            <v>0</v>
          </cell>
          <cell r="BG56">
            <v>0</v>
          </cell>
          <cell r="BH56">
            <v>0</v>
          </cell>
        </row>
        <row r="57">
          <cell r="A57" t="str">
            <v>4Q06</v>
          </cell>
          <cell r="AN57">
            <v>0</v>
          </cell>
          <cell r="AP57">
            <v>0</v>
          </cell>
          <cell r="AQ57">
            <v>0</v>
          </cell>
          <cell r="AR57">
            <v>318.0381666666666</v>
          </cell>
          <cell r="AS57">
            <v>636.0763333333332</v>
          </cell>
          <cell r="AU57">
            <v>954.11449999999991</v>
          </cell>
          <cell r="AV57">
            <v>1272.1526666666664</v>
          </cell>
          <cell r="AW57">
            <v>1590.1908333333331</v>
          </cell>
          <cell r="AX57">
            <v>1908.2289999999998</v>
          </cell>
          <cell r="AZ57">
            <v>1912.9995724999997</v>
          </cell>
          <cell r="BA57">
            <v>1917.7820714312495</v>
          </cell>
          <cell r="BB57">
            <v>1922.5765266098276</v>
          </cell>
          <cell r="BC57">
            <v>1927.3829679263522</v>
          </cell>
          <cell r="BE57">
            <v>1932.201425346168</v>
          </cell>
          <cell r="BF57">
            <v>1937.0319289095332</v>
          </cell>
          <cell r="BG57">
            <v>1941.8745087318071</v>
          </cell>
          <cell r="BH57">
            <v>1946.7291950036365</v>
          </cell>
        </row>
        <row r="58">
          <cell r="A58" t="str">
            <v>1Q07</v>
          </cell>
          <cell r="AP58">
            <v>0</v>
          </cell>
          <cell r="AQ58">
            <v>0</v>
          </cell>
          <cell r="AR58">
            <v>0</v>
          </cell>
          <cell r="AS58">
            <v>0</v>
          </cell>
          <cell r="AU58">
            <v>0</v>
          </cell>
          <cell r="AV58">
            <v>0</v>
          </cell>
          <cell r="AW58">
            <v>0</v>
          </cell>
          <cell r="AX58">
            <v>0</v>
          </cell>
          <cell r="AZ58">
            <v>0</v>
          </cell>
          <cell r="BA58">
            <v>0</v>
          </cell>
          <cell r="BB58">
            <v>0</v>
          </cell>
          <cell r="BC58">
            <v>0</v>
          </cell>
          <cell r="BE58">
            <v>0</v>
          </cell>
          <cell r="BF58">
            <v>0</v>
          </cell>
          <cell r="BG58">
            <v>0</v>
          </cell>
          <cell r="BH58">
            <v>0</v>
          </cell>
        </row>
        <row r="59">
          <cell r="A59" t="str">
            <v>2Q07</v>
          </cell>
          <cell r="AQ59">
            <v>0</v>
          </cell>
          <cell r="AR59">
            <v>0</v>
          </cell>
          <cell r="AS59">
            <v>0</v>
          </cell>
          <cell r="AU59">
            <v>0</v>
          </cell>
          <cell r="AV59">
            <v>0</v>
          </cell>
          <cell r="AW59">
            <v>0</v>
          </cell>
          <cell r="AX59">
            <v>0</v>
          </cell>
          <cell r="AZ59">
            <v>0</v>
          </cell>
          <cell r="BA59">
            <v>0</v>
          </cell>
          <cell r="BB59">
            <v>0</v>
          </cell>
          <cell r="BC59">
            <v>0</v>
          </cell>
          <cell r="BE59">
            <v>0</v>
          </cell>
          <cell r="BF59">
            <v>0</v>
          </cell>
          <cell r="BG59">
            <v>0</v>
          </cell>
          <cell r="BH59">
            <v>0</v>
          </cell>
        </row>
        <row r="60">
          <cell r="A60" t="str">
            <v>3Q07</v>
          </cell>
          <cell r="AR60">
            <v>0</v>
          </cell>
          <cell r="AS60">
            <v>0</v>
          </cell>
          <cell r="AU60">
            <v>0</v>
          </cell>
          <cell r="AV60">
            <v>0</v>
          </cell>
          <cell r="AW60">
            <v>0</v>
          </cell>
          <cell r="AX60">
            <v>0</v>
          </cell>
          <cell r="AZ60">
            <v>0</v>
          </cell>
          <cell r="BA60">
            <v>0</v>
          </cell>
          <cell r="BB60">
            <v>0</v>
          </cell>
          <cell r="BC60">
            <v>0</v>
          </cell>
          <cell r="BE60">
            <v>0</v>
          </cell>
          <cell r="BF60">
            <v>0</v>
          </cell>
          <cell r="BG60">
            <v>0</v>
          </cell>
          <cell r="BH60">
            <v>0</v>
          </cell>
        </row>
        <row r="61">
          <cell r="A61" t="str">
            <v>4Q07</v>
          </cell>
          <cell r="AS61">
            <v>0</v>
          </cell>
          <cell r="AU61">
            <v>1290.8166647868245</v>
          </cell>
          <cell r="AV61">
            <v>1294.0437064487915</v>
          </cell>
          <cell r="AW61">
            <v>1297.2788157149134</v>
          </cell>
          <cell r="AX61">
            <v>1300.5220127542007</v>
          </cell>
          <cell r="AZ61">
            <v>1303.7733177860862</v>
          </cell>
          <cell r="BA61">
            <v>1307.0327510805514</v>
          </cell>
          <cell r="BB61">
            <v>1310.3003329582527</v>
          </cell>
          <cell r="BC61">
            <v>1313.5760837906482</v>
          </cell>
          <cell r="BE61">
            <v>1316.8600240001247</v>
          </cell>
          <cell r="BF61">
            <v>1320.1521740601249</v>
          </cell>
          <cell r="BG61">
            <v>1323.4525544952751</v>
          </cell>
          <cell r="BH61">
            <v>1326.7611858815133</v>
          </cell>
        </row>
        <row r="62">
          <cell r="A62" t="str">
            <v>1Q08</v>
          </cell>
          <cell r="AU62">
            <v>-304.6875</v>
          </cell>
          <cell r="AV62">
            <v>-609.375</v>
          </cell>
          <cell r="AW62">
            <v>-610.8984375</v>
          </cell>
          <cell r="AX62">
            <v>-612.42568359375002</v>
          </cell>
          <cell r="AZ62">
            <v>-613.95674780273441</v>
          </cell>
          <cell r="BA62">
            <v>-615.49163967224126</v>
          </cell>
          <cell r="BB62">
            <v>-617.03036877142188</v>
          </cell>
          <cell r="BC62">
            <v>-618.57294469335045</v>
          </cell>
          <cell r="BE62">
            <v>-620.11937705508376</v>
          </cell>
          <cell r="BF62">
            <v>-621.66967549772141</v>
          </cell>
          <cell r="BG62">
            <v>-623.22384968646566</v>
          </cell>
          <cell r="BH62">
            <v>-624.78190931068184</v>
          </cell>
        </row>
        <row r="63">
          <cell r="A63" t="str">
            <v>2Q08</v>
          </cell>
          <cell r="AV63">
            <v>-3948.2500000000005</v>
          </cell>
          <cell r="AW63">
            <v>-7896.5000000000009</v>
          </cell>
          <cell r="AX63">
            <v>-7916.24125</v>
          </cell>
          <cell r="AZ63">
            <v>-7936.0318531249995</v>
          </cell>
          <cell r="BA63">
            <v>-7955.8719327578119</v>
          </cell>
          <cell r="BB63">
            <v>-7975.7616125897057</v>
          </cell>
          <cell r="BC63">
            <v>-7995.7010166211794</v>
          </cell>
          <cell r="BE63">
            <v>-8015.690269162732</v>
          </cell>
          <cell r="BF63">
            <v>-8035.7294948356384</v>
          </cell>
          <cell r="BG63">
            <v>-8055.8188185727267</v>
          </cell>
          <cell r="BH63">
            <v>-8075.958365619158</v>
          </cell>
        </row>
        <row r="64">
          <cell r="A64" t="str">
            <v>3Q08</v>
          </cell>
          <cell r="AW64">
            <v>-63.750000000000007</v>
          </cell>
          <cell r="AX64">
            <v>-127.50000000000001</v>
          </cell>
          <cell r="AZ64">
            <v>-127.81875000000001</v>
          </cell>
          <cell r="BA64">
            <v>-128.13829687500001</v>
          </cell>
          <cell r="BB64">
            <v>-128.45864261718751</v>
          </cell>
          <cell r="BC64">
            <v>-128.77978922373046</v>
          </cell>
          <cell r="BE64">
            <v>-129.10173869678977</v>
          </cell>
          <cell r="BF64">
            <v>-129.42449304353173</v>
          </cell>
          <cell r="BG64">
            <v>-129.74805427614055</v>
          </cell>
          <cell r="BH64">
            <v>-130.07242441183089</v>
          </cell>
        </row>
        <row r="65">
          <cell r="A65" t="str">
            <v>4Q08</v>
          </cell>
          <cell r="AX65">
            <v>-63.750000000000007</v>
          </cell>
          <cell r="AZ65">
            <v>-127.50000000000001</v>
          </cell>
          <cell r="BA65">
            <v>-127.81875000000001</v>
          </cell>
          <cell r="BB65">
            <v>-128.13829687500001</v>
          </cell>
          <cell r="BC65">
            <v>-128.45864261718751</v>
          </cell>
          <cell r="BE65">
            <v>-128.77978922373046</v>
          </cell>
          <cell r="BF65">
            <v>-129.10173869678977</v>
          </cell>
          <cell r="BG65">
            <v>-129.42449304353173</v>
          </cell>
          <cell r="BH65">
            <v>-129.74805427614055</v>
          </cell>
        </row>
        <row r="66">
          <cell r="A66" t="str">
            <v>1Q2009</v>
          </cell>
          <cell r="AZ66">
            <v>140.625</v>
          </cell>
          <cell r="BA66">
            <v>281.25</v>
          </cell>
          <cell r="BB66">
            <v>281.953125</v>
          </cell>
          <cell r="BC66">
            <v>282.65800781249999</v>
          </cell>
          <cell r="BE66">
            <v>283.3646528320312</v>
          </cell>
          <cell r="BF66">
            <v>284.07306446411127</v>
          </cell>
          <cell r="BG66">
            <v>284.78324712527154</v>
          </cell>
          <cell r="BH66">
            <v>285.49520524308468</v>
          </cell>
        </row>
        <row r="67">
          <cell r="A67" t="str">
            <v>2Q2009</v>
          </cell>
          <cell r="BA67">
            <v>140.625</v>
          </cell>
          <cell r="BB67">
            <v>281.25</v>
          </cell>
          <cell r="BC67">
            <v>281.953125</v>
          </cell>
          <cell r="BE67">
            <v>282.65800781249999</v>
          </cell>
          <cell r="BF67">
            <v>283.3646528320312</v>
          </cell>
          <cell r="BG67">
            <v>284.07306446411127</v>
          </cell>
          <cell r="BH67">
            <v>284.78324712527154</v>
          </cell>
        </row>
        <row r="68">
          <cell r="A68" t="str">
            <v>3Q2009</v>
          </cell>
          <cell r="BB68">
            <v>140.625</v>
          </cell>
          <cell r="BC68">
            <v>281.25</v>
          </cell>
          <cell r="BE68">
            <v>281.953125</v>
          </cell>
          <cell r="BF68">
            <v>282.65800781249999</v>
          </cell>
          <cell r="BG68">
            <v>283.3646528320312</v>
          </cell>
          <cell r="BH68">
            <v>284.07306446411127</v>
          </cell>
        </row>
        <row r="69">
          <cell r="A69" t="str">
            <v>4Q2009</v>
          </cell>
          <cell r="BC69">
            <v>140.625</v>
          </cell>
          <cell r="BE69">
            <v>281.25</v>
          </cell>
          <cell r="BF69">
            <v>281.953125</v>
          </cell>
          <cell r="BG69">
            <v>282.65800781249999</v>
          </cell>
          <cell r="BH69">
            <v>283.3646528320312</v>
          </cell>
        </row>
        <row r="70">
          <cell r="A70" t="str">
            <v>1Q2010</v>
          </cell>
          <cell r="BE70">
            <v>187.5</v>
          </cell>
          <cell r="BF70">
            <v>375</v>
          </cell>
          <cell r="BG70">
            <v>375.9375</v>
          </cell>
          <cell r="BH70">
            <v>376.87734374999997</v>
          </cell>
        </row>
        <row r="71">
          <cell r="A71" t="str">
            <v>2Q2010</v>
          </cell>
          <cell r="BF71">
            <v>187.5</v>
          </cell>
          <cell r="BG71">
            <v>375</v>
          </cell>
          <cell r="BH71">
            <v>375.9375</v>
          </cell>
        </row>
        <row r="72">
          <cell r="A72" t="str">
            <v>3Q2010</v>
          </cell>
          <cell r="BG72">
            <v>187.5</v>
          </cell>
          <cell r="BH72">
            <v>375</v>
          </cell>
        </row>
        <row r="73">
          <cell r="A73" t="str">
            <v>4Q2010</v>
          </cell>
          <cell r="BH73">
            <v>187.5</v>
          </cell>
        </row>
        <row r="78">
          <cell r="A78" t="str">
            <v xml:space="preserve">   Total</v>
          </cell>
          <cell r="B78">
            <v>0</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318.0381666666666</v>
          </cell>
          <cell r="AS78">
            <v>636.0763333333332</v>
          </cell>
          <cell r="AT78">
            <v>954.11449999999979</v>
          </cell>
          <cell r="AU78">
            <v>1940.2436647868244</v>
          </cell>
          <cell r="AV78">
            <v>-1991.4286268845426</v>
          </cell>
          <cell r="AW78">
            <v>-5683.6787884517544</v>
          </cell>
          <cell r="AX78">
            <v>-5511.1659208395495</v>
          </cell>
          <cell r="AY78">
            <v>-11246.029671389022</v>
          </cell>
          <cell r="AZ78">
            <v>-5447.9094606416484</v>
          </cell>
          <cell r="BA78">
            <v>-5180.6307967932526</v>
          </cell>
          <cell r="BB78">
            <v>-4912.6839362852343</v>
          </cell>
          <cell r="BC78">
            <v>-4644.0672086259474</v>
          </cell>
          <cell r="BD78">
            <v>-20185.291402346083</v>
          </cell>
          <cell r="BE78">
            <v>-4327.9039391475117</v>
          </cell>
          <cell r="BF78">
            <v>-3964.1924489953808</v>
          </cell>
          <cell r="BG78">
            <v>-3599.5716801178678</v>
          </cell>
          <cell r="BH78">
            <v>-3234.0393593181625</v>
          </cell>
          <cell r="BI78">
            <v>-15125.707427578924</v>
          </cell>
        </row>
        <row r="81">
          <cell r="A81" t="str">
            <v>Developments</v>
          </cell>
          <cell r="B81">
            <v>44900</v>
          </cell>
          <cell r="C81">
            <v>91000</v>
          </cell>
          <cell r="D81">
            <v>48300</v>
          </cell>
          <cell r="E81">
            <v>91000</v>
          </cell>
          <cell r="F81">
            <v>275200</v>
          </cell>
          <cell r="G81">
            <v>75320</v>
          </cell>
          <cell r="H81">
            <v>52976</v>
          </cell>
          <cell r="I81">
            <v>40486</v>
          </cell>
          <cell r="J81">
            <v>51942</v>
          </cell>
          <cell r="K81">
            <v>220724</v>
          </cell>
          <cell r="L81">
            <v>50000</v>
          </cell>
          <cell r="M81">
            <v>77500</v>
          </cell>
          <cell r="N81">
            <v>50000</v>
          </cell>
          <cell r="O81">
            <v>50000</v>
          </cell>
          <cell r="P81">
            <v>227500</v>
          </cell>
          <cell r="Q81">
            <v>59700</v>
          </cell>
          <cell r="R81">
            <v>38500</v>
          </cell>
          <cell r="S81">
            <v>107225</v>
          </cell>
          <cell r="T81">
            <v>65654</v>
          </cell>
          <cell r="U81">
            <v>271079</v>
          </cell>
          <cell r="V81">
            <v>94107</v>
          </cell>
          <cell r="W81">
            <v>60686</v>
          </cell>
          <cell r="X81">
            <v>42887</v>
          </cell>
          <cell r="Y81">
            <v>6989</v>
          </cell>
          <cell r="Z81">
            <v>204669</v>
          </cell>
          <cell r="AA81">
            <v>10236</v>
          </cell>
          <cell r="AB81">
            <v>17250</v>
          </cell>
          <cell r="AC81">
            <v>35546</v>
          </cell>
          <cell r="AD81">
            <v>41048</v>
          </cell>
          <cell r="AE81">
            <v>104080</v>
          </cell>
          <cell r="AF81">
            <v>3656</v>
          </cell>
          <cell r="AG81">
            <v>22500</v>
          </cell>
          <cell r="AH81">
            <v>19100</v>
          </cell>
          <cell r="AI81">
            <v>82200</v>
          </cell>
          <cell r="AJ81">
            <v>127456</v>
          </cell>
          <cell r="AK81">
            <v>46700</v>
          </cell>
          <cell r="AL81">
            <v>77300</v>
          </cell>
          <cell r="AM81">
            <v>35100</v>
          </cell>
          <cell r="AN81">
            <v>51200</v>
          </cell>
          <cell r="AO81">
            <v>210300</v>
          </cell>
          <cell r="AP81">
            <v>27619.06</v>
          </cell>
          <cell r="AQ81">
            <v>170850</v>
          </cell>
          <cell r="AR81">
            <v>210693</v>
          </cell>
          <cell r="AS81">
            <v>373393.8</v>
          </cell>
          <cell r="AT81">
            <v>782555.86</v>
          </cell>
          <cell r="AU81">
            <v>94192.5</v>
          </cell>
          <cell r="AV81">
            <v>92117.5</v>
          </cell>
          <cell r="AW81">
            <v>29239.8</v>
          </cell>
          <cell r="AX81">
            <v>65583</v>
          </cell>
          <cell r="AY81">
            <v>281132.79999999999</v>
          </cell>
          <cell r="AZ81">
            <v>40000</v>
          </cell>
          <cell r="BA81">
            <v>150000</v>
          </cell>
          <cell r="BB81">
            <v>150000</v>
          </cell>
          <cell r="BC81">
            <v>50000</v>
          </cell>
          <cell r="BD81">
            <v>390000</v>
          </cell>
          <cell r="BE81">
            <v>100000</v>
          </cell>
          <cell r="BF81">
            <v>100000</v>
          </cell>
          <cell r="BG81">
            <v>100000</v>
          </cell>
          <cell r="BH81">
            <v>100000</v>
          </cell>
          <cell r="BI81">
            <v>400000</v>
          </cell>
        </row>
        <row r="82">
          <cell r="A82" t="str">
            <v>Cap Rate</v>
          </cell>
          <cell r="B82">
            <v>0.115</v>
          </cell>
          <cell r="C82">
            <v>0.115</v>
          </cell>
          <cell r="D82">
            <v>0.115</v>
          </cell>
          <cell r="E82">
            <v>0.115</v>
          </cell>
          <cell r="G82">
            <v>0.115</v>
          </cell>
          <cell r="H82">
            <v>0.115</v>
          </cell>
          <cell r="I82">
            <v>0.115</v>
          </cell>
          <cell r="J82">
            <v>0.115</v>
          </cell>
          <cell r="L82">
            <v>0.115</v>
          </cell>
          <cell r="M82">
            <v>0.115</v>
          </cell>
          <cell r="N82">
            <v>0.1125</v>
          </cell>
          <cell r="O82">
            <v>0.1125</v>
          </cell>
          <cell r="Q82">
            <v>0.1075</v>
          </cell>
          <cell r="R82">
            <v>0.1075</v>
          </cell>
          <cell r="S82">
            <v>8.7999999999999995E-2</v>
          </cell>
          <cell r="T82">
            <v>7.1999999999999995E-2</v>
          </cell>
          <cell r="V82">
            <v>9.0999999999999998E-2</v>
          </cell>
          <cell r="W82">
            <v>0.113</v>
          </cell>
          <cell r="X82">
            <v>7.0999999999999994E-2</v>
          </cell>
          <cell r="Y82">
            <v>0.10199999999999999</v>
          </cell>
          <cell r="AA82">
            <v>0.104</v>
          </cell>
          <cell r="AB82">
            <v>0.105</v>
          </cell>
          <cell r="AC82">
            <v>0.106</v>
          </cell>
          <cell r="AD82">
            <v>9.7000000000000003E-2</v>
          </cell>
          <cell r="AF82">
            <v>8.4000000000000005E-2</v>
          </cell>
          <cell r="AG82">
            <v>0.106</v>
          </cell>
          <cell r="AH82">
            <v>9.5000000000000001E-2</v>
          </cell>
          <cell r="AI82">
            <v>9.5000000000000001E-2</v>
          </cell>
          <cell r="AK82">
            <v>9.6000000000000002E-2</v>
          </cell>
          <cell r="AL82">
            <v>9.9000000000000005E-2</v>
          </cell>
          <cell r="AM82">
            <v>9.2999999999999999E-2</v>
          </cell>
          <cell r="AN82">
            <v>8.7999999999999995E-2</v>
          </cell>
          <cell r="AP82">
            <v>7.1999999999999995E-2</v>
          </cell>
          <cell r="AQ82">
            <v>9.5358501609599064E-2</v>
          </cell>
          <cell r="AR82">
            <v>8.2000000000000003E-2</v>
          </cell>
          <cell r="AS82">
            <v>8.5999999999999993E-2</v>
          </cell>
          <cell r="AU82">
            <v>9.0999999999999998E-2</v>
          </cell>
          <cell r="AV82">
            <v>9.0999999999999998E-2</v>
          </cell>
          <cell r="AW82">
            <v>9.0999999999999998E-2</v>
          </cell>
          <cell r="AX82">
            <v>9.0999999999999998E-2</v>
          </cell>
          <cell r="AZ82">
            <v>0.09</v>
          </cell>
          <cell r="BA82">
            <v>0.09</v>
          </cell>
          <cell r="BB82">
            <v>0.09</v>
          </cell>
          <cell r="BC82">
            <v>0.09</v>
          </cell>
          <cell r="BE82">
            <v>8.7499999999999994E-2</v>
          </cell>
          <cell r="BF82">
            <v>8.7499999999999994E-2</v>
          </cell>
          <cell r="BG82">
            <v>8.7499999999999994E-2</v>
          </cell>
          <cell r="BH82">
            <v>8.7499999999999994E-2</v>
          </cell>
        </row>
        <row r="83">
          <cell r="A83" t="str">
            <v>Quarter or Year</v>
          </cell>
          <cell r="B83">
            <v>0.25</v>
          </cell>
          <cell r="C83">
            <v>0.25</v>
          </cell>
          <cell r="D83">
            <v>0.25</v>
          </cell>
          <cell r="E83">
            <v>0.25</v>
          </cell>
          <cell r="G83">
            <v>0.25</v>
          </cell>
          <cell r="H83">
            <v>0.25</v>
          </cell>
          <cell r="I83">
            <v>0.25</v>
          </cell>
          <cell r="J83">
            <v>0.25</v>
          </cell>
          <cell r="L83">
            <v>0.25</v>
          </cell>
          <cell r="M83">
            <v>0.25</v>
          </cell>
          <cell r="N83">
            <v>0.25</v>
          </cell>
          <cell r="O83">
            <v>0.25</v>
          </cell>
          <cell r="Q83">
            <v>0.25</v>
          </cell>
          <cell r="R83">
            <v>0.25</v>
          </cell>
          <cell r="S83">
            <v>0.25</v>
          </cell>
          <cell r="T83">
            <v>0.25</v>
          </cell>
          <cell r="V83">
            <v>0.25</v>
          </cell>
          <cell r="W83">
            <v>0.25</v>
          </cell>
          <cell r="X83">
            <v>0.25</v>
          </cell>
          <cell r="Y83">
            <v>0.25</v>
          </cell>
          <cell r="AA83">
            <v>0.25</v>
          </cell>
          <cell r="AB83">
            <v>0.25</v>
          </cell>
          <cell r="AC83">
            <v>0.25</v>
          </cell>
          <cell r="AD83">
            <v>0.25</v>
          </cell>
          <cell r="AF83">
            <v>0.25</v>
          </cell>
          <cell r="AG83">
            <v>0.25</v>
          </cell>
          <cell r="AH83">
            <v>0.25</v>
          </cell>
          <cell r="AI83">
            <v>0.25</v>
          </cell>
          <cell r="AK83">
            <v>0.25</v>
          </cell>
          <cell r="AL83">
            <v>0.25</v>
          </cell>
          <cell r="AM83">
            <v>0.25</v>
          </cell>
          <cell r="AN83">
            <v>0.25</v>
          </cell>
          <cell r="AP83">
            <v>0.25</v>
          </cell>
          <cell r="AQ83">
            <v>0.25</v>
          </cell>
          <cell r="AR83">
            <v>0.25</v>
          </cell>
          <cell r="AS83">
            <v>0.25</v>
          </cell>
          <cell r="AU83">
            <v>0.25</v>
          </cell>
          <cell r="AV83">
            <v>0.25</v>
          </cell>
          <cell r="AW83">
            <v>0.25</v>
          </cell>
          <cell r="AX83">
            <v>0.25</v>
          </cell>
          <cell r="AZ83">
            <v>0.25</v>
          </cell>
          <cell r="BA83">
            <v>0.25</v>
          </cell>
          <cell r="BB83">
            <v>0.25</v>
          </cell>
          <cell r="BC83">
            <v>0.25</v>
          </cell>
          <cell r="BE83">
            <v>0.25</v>
          </cell>
          <cell r="BF83">
            <v>0.25</v>
          </cell>
          <cell r="BG83">
            <v>0.25</v>
          </cell>
          <cell r="BH83">
            <v>0.25</v>
          </cell>
        </row>
        <row r="84">
          <cell r="A84" t="str">
            <v>Timing of Transaction</v>
          </cell>
          <cell r="B84">
            <v>0.5</v>
          </cell>
          <cell r="C84">
            <v>0.75</v>
          </cell>
          <cell r="D84">
            <v>0.5</v>
          </cell>
          <cell r="E84">
            <v>0.5</v>
          </cell>
          <cell r="G84">
            <v>0.5</v>
          </cell>
          <cell r="H84">
            <v>0.5</v>
          </cell>
          <cell r="I84">
            <v>0.5</v>
          </cell>
          <cell r="J84">
            <v>0.5</v>
          </cell>
          <cell r="L84">
            <v>0.5</v>
          </cell>
          <cell r="M84">
            <v>0.5</v>
          </cell>
          <cell r="N84">
            <v>0.5</v>
          </cell>
          <cell r="O84">
            <v>0.5</v>
          </cell>
          <cell r="Q84">
            <v>0.5</v>
          </cell>
          <cell r="R84">
            <v>0.5</v>
          </cell>
          <cell r="S84">
            <v>0.5</v>
          </cell>
          <cell r="T84">
            <v>0.5</v>
          </cell>
          <cell r="V84">
            <v>0.5</v>
          </cell>
          <cell r="W84">
            <v>0.5</v>
          </cell>
          <cell r="X84">
            <v>0.5</v>
          </cell>
          <cell r="Y84">
            <v>0.5</v>
          </cell>
          <cell r="AA84">
            <v>0.5</v>
          </cell>
          <cell r="AB84">
            <v>0.5</v>
          </cell>
          <cell r="AC84">
            <v>0.5</v>
          </cell>
          <cell r="AD84">
            <v>0.5</v>
          </cell>
          <cell r="AF84">
            <v>0.5</v>
          </cell>
          <cell r="AG84">
            <v>0.5</v>
          </cell>
          <cell r="AH84">
            <v>0.5</v>
          </cell>
          <cell r="AI84">
            <v>0.5</v>
          </cell>
          <cell r="AK84">
            <v>0.5</v>
          </cell>
          <cell r="AL84">
            <v>0.5</v>
          </cell>
          <cell r="AM84">
            <v>0.5</v>
          </cell>
          <cell r="AN84">
            <v>0.5</v>
          </cell>
          <cell r="AP84">
            <v>0.5</v>
          </cell>
          <cell r="AQ84">
            <v>0.5</v>
          </cell>
          <cell r="AR84">
            <v>0.28636056568878254</v>
          </cell>
          <cell r="AS84">
            <v>0.5</v>
          </cell>
          <cell r="AU84">
            <v>0.5</v>
          </cell>
          <cell r="AV84">
            <v>0.5</v>
          </cell>
          <cell r="AW84">
            <v>0.5</v>
          </cell>
          <cell r="AX84">
            <v>0.5</v>
          </cell>
          <cell r="AZ84">
            <v>0.5</v>
          </cell>
          <cell r="BA84">
            <v>0.5</v>
          </cell>
          <cell r="BB84">
            <v>0.5</v>
          </cell>
          <cell r="BC84">
            <v>0.5</v>
          </cell>
          <cell r="BE84">
            <v>0.5</v>
          </cell>
          <cell r="BF84">
            <v>0.5</v>
          </cell>
          <cell r="BG84">
            <v>0.5</v>
          </cell>
          <cell r="BH84">
            <v>0.5</v>
          </cell>
        </row>
        <row r="85">
          <cell r="A85" t="str">
            <v>NOI Contribution - Partial Quarter</v>
          </cell>
          <cell r="B85">
            <v>645.4375</v>
          </cell>
          <cell r="C85">
            <v>1962.1875000000002</v>
          </cell>
          <cell r="D85">
            <v>694.3125</v>
          </cell>
          <cell r="E85">
            <v>1308.125</v>
          </cell>
          <cell r="G85">
            <v>1082.7250000000001</v>
          </cell>
          <cell r="H85">
            <v>761.53000000000009</v>
          </cell>
          <cell r="I85">
            <v>581.98625000000004</v>
          </cell>
          <cell r="J85">
            <v>746.66624999999999</v>
          </cell>
          <cell r="L85">
            <v>718.75</v>
          </cell>
          <cell r="M85">
            <v>1114.0625</v>
          </cell>
          <cell r="N85">
            <v>703.125</v>
          </cell>
          <cell r="O85">
            <v>703.125</v>
          </cell>
          <cell r="Q85">
            <v>802.21875</v>
          </cell>
          <cell r="R85">
            <v>517.34375</v>
          </cell>
          <cell r="S85">
            <v>1179.4749999999999</v>
          </cell>
          <cell r="T85">
            <v>590.88599999999997</v>
          </cell>
          <cell r="V85">
            <v>1070.4671249999999</v>
          </cell>
          <cell r="W85">
            <v>857.18975</v>
          </cell>
          <cell r="X85">
            <v>380.62212499999998</v>
          </cell>
          <cell r="Y85">
            <v>89.109749999999991</v>
          </cell>
          <cell r="AA85">
            <v>133.06799999999998</v>
          </cell>
          <cell r="AB85">
            <v>226.40625</v>
          </cell>
          <cell r="AC85">
            <v>470.98449999999997</v>
          </cell>
          <cell r="AD85">
            <v>497.70699999999999</v>
          </cell>
          <cell r="AF85">
            <v>38.388000000000005</v>
          </cell>
          <cell r="AG85">
            <v>298.125</v>
          </cell>
          <cell r="AH85">
            <v>226.8125</v>
          </cell>
          <cell r="AI85">
            <v>976.125</v>
          </cell>
          <cell r="AK85">
            <v>560.4</v>
          </cell>
          <cell r="AL85">
            <v>956.58750000000009</v>
          </cell>
          <cell r="AM85">
            <v>408.03750000000002</v>
          </cell>
          <cell r="AN85">
            <v>563.19999999999993</v>
          </cell>
          <cell r="AP85">
            <v>248.57154</v>
          </cell>
          <cell r="AQ85">
            <v>2036.5</v>
          </cell>
          <cell r="AR85">
            <v>1236.8504166666667</v>
          </cell>
          <cell r="AS85">
            <v>4013.9833499999995</v>
          </cell>
          <cell r="AU85">
            <v>1071.4396875</v>
          </cell>
          <cell r="AV85">
            <v>1047.8365624999999</v>
          </cell>
          <cell r="AW85">
            <v>332.60272499999996</v>
          </cell>
          <cell r="AX85">
            <v>746.00662499999999</v>
          </cell>
          <cell r="AZ85">
            <v>450</v>
          </cell>
          <cell r="BA85">
            <v>1687.5</v>
          </cell>
          <cell r="BB85">
            <v>1687.5</v>
          </cell>
          <cell r="BC85">
            <v>562.5</v>
          </cell>
          <cell r="BE85">
            <v>1093.75</v>
          </cell>
          <cell r="BF85">
            <v>1093.75</v>
          </cell>
          <cell r="BG85">
            <v>1093.75</v>
          </cell>
          <cell r="BH85">
            <v>1093.75</v>
          </cell>
        </row>
        <row r="86">
          <cell r="A86" t="str">
            <v>NOI Contribution - Full Quarter</v>
          </cell>
          <cell r="B86">
            <v>1290.875</v>
          </cell>
          <cell r="C86">
            <v>2616.25</v>
          </cell>
          <cell r="D86">
            <v>1388.625</v>
          </cell>
          <cell r="E86">
            <v>2616.25</v>
          </cell>
          <cell r="G86">
            <v>2165.4500000000003</v>
          </cell>
          <cell r="H86">
            <v>1523.0600000000002</v>
          </cell>
          <cell r="I86">
            <v>1163.9725000000001</v>
          </cell>
          <cell r="J86">
            <v>1493.3325</v>
          </cell>
          <cell r="L86">
            <v>1437.5</v>
          </cell>
          <cell r="M86">
            <v>2228.125</v>
          </cell>
          <cell r="N86">
            <v>1406.25</v>
          </cell>
          <cell r="O86">
            <v>1406.25</v>
          </cell>
          <cell r="Q86">
            <v>1604.4375</v>
          </cell>
          <cell r="R86">
            <v>1034.6875</v>
          </cell>
          <cell r="S86">
            <v>2358.9499999999998</v>
          </cell>
          <cell r="T86">
            <v>1181.7719999999999</v>
          </cell>
          <cell r="V86">
            <v>2140.9342499999998</v>
          </cell>
          <cell r="W86">
            <v>1714.3795</v>
          </cell>
          <cell r="X86">
            <v>761.24424999999997</v>
          </cell>
          <cell r="Y86">
            <v>178.21949999999998</v>
          </cell>
          <cell r="AA86">
            <v>266.13599999999997</v>
          </cell>
          <cell r="AB86">
            <v>452.8125</v>
          </cell>
          <cell r="AC86">
            <v>941.96899999999994</v>
          </cell>
          <cell r="AD86">
            <v>995.41399999999999</v>
          </cell>
          <cell r="AF86">
            <v>76.77600000000001</v>
          </cell>
          <cell r="AG86">
            <v>596.25</v>
          </cell>
          <cell r="AH86">
            <v>453.625</v>
          </cell>
          <cell r="AI86">
            <v>1952.25</v>
          </cell>
          <cell r="AK86">
            <v>1120.8</v>
          </cell>
          <cell r="AL86">
            <v>1913.1750000000002</v>
          </cell>
          <cell r="AM86">
            <v>816.07500000000005</v>
          </cell>
          <cell r="AN86">
            <v>1126.3999999999999</v>
          </cell>
          <cell r="AP86">
            <v>497.14308</v>
          </cell>
          <cell r="AQ86">
            <v>4073</v>
          </cell>
          <cell r="AR86">
            <v>4319.2065000000002</v>
          </cell>
          <cell r="AS86">
            <v>8027.966699999999</v>
          </cell>
          <cell r="AU86">
            <v>2142.879375</v>
          </cell>
          <cell r="AV86">
            <v>2095.6731249999998</v>
          </cell>
          <cell r="AW86">
            <v>665.20544999999993</v>
          </cell>
          <cell r="AX86">
            <v>1492.01325</v>
          </cell>
          <cell r="AZ86">
            <v>900</v>
          </cell>
          <cell r="BA86">
            <v>3375</v>
          </cell>
          <cell r="BB86">
            <v>3375</v>
          </cell>
          <cell r="BC86">
            <v>1125</v>
          </cell>
          <cell r="BE86">
            <v>2187.5</v>
          </cell>
          <cell r="BF86">
            <v>2187.5</v>
          </cell>
          <cell r="BG86">
            <v>2187.5</v>
          </cell>
          <cell r="BH86">
            <v>2187.5</v>
          </cell>
        </row>
        <row r="87">
          <cell r="A87" t="str">
            <v>Growth Rate for Developments</v>
          </cell>
          <cell r="B87">
            <v>2.5000000000000001E-3</v>
          </cell>
          <cell r="C87">
            <v>2.5000000000000001E-3</v>
          </cell>
          <cell r="D87">
            <v>2.5000000000000001E-3</v>
          </cell>
          <cell r="E87">
            <v>2.5000000000000001E-3</v>
          </cell>
          <cell r="G87">
            <v>2.5000000000000001E-3</v>
          </cell>
          <cell r="H87">
            <v>2.5000000000000001E-3</v>
          </cell>
          <cell r="I87">
            <v>2.5000000000000001E-3</v>
          </cell>
          <cell r="J87">
            <v>2.5000000000000001E-3</v>
          </cell>
          <cell r="L87">
            <v>2.5000000000000001E-3</v>
          </cell>
          <cell r="M87">
            <v>2.5000000000000001E-3</v>
          </cell>
          <cell r="N87">
            <v>2E-3</v>
          </cell>
          <cell r="O87">
            <v>2E-3</v>
          </cell>
          <cell r="Q87">
            <v>2E-3</v>
          </cell>
          <cell r="R87">
            <v>2E-3</v>
          </cell>
          <cell r="S87">
            <v>2E-3</v>
          </cell>
          <cell r="T87">
            <v>2E-3</v>
          </cell>
          <cell r="V87">
            <v>2.5000000000000001E-3</v>
          </cell>
          <cell r="W87">
            <v>2.5000000000000001E-3</v>
          </cell>
          <cell r="X87">
            <v>2.5000000000000001E-3</v>
          </cell>
          <cell r="Y87">
            <v>2.5000000000000001E-3</v>
          </cell>
          <cell r="AA87">
            <v>2.5000000000000001E-3</v>
          </cell>
          <cell r="AB87">
            <v>2.5000000000000001E-3</v>
          </cell>
          <cell r="AC87">
            <v>2.5000000000000001E-3</v>
          </cell>
          <cell r="AD87">
            <v>2.5000000000000001E-3</v>
          </cell>
          <cell r="AF87">
            <v>2.5000000000000001E-3</v>
          </cell>
          <cell r="AG87">
            <v>2.5000000000000001E-3</v>
          </cell>
          <cell r="AH87">
            <v>2.5000000000000001E-3</v>
          </cell>
          <cell r="AI87">
            <v>2.5000000000000001E-3</v>
          </cell>
          <cell r="AK87">
            <v>2.5000000000000001E-3</v>
          </cell>
          <cell r="AL87">
            <v>2.5000000000000001E-3</v>
          </cell>
          <cell r="AM87">
            <v>2.5000000000000001E-3</v>
          </cell>
          <cell r="AN87">
            <v>2.5000000000000001E-3</v>
          </cell>
          <cell r="AP87">
            <v>2.5000000000000001E-3</v>
          </cell>
          <cell r="AQ87">
            <v>2.5000000000000001E-3</v>
          </cell>
          <cell r="AR87">
            <v>2.5000000000000001E-3</v>
          </cell>
          <cell r="AS87">
            <v>2.5000000000000001E-3</v>
          </cell>
          <cell r="AU87">
            <v>2.5000000000000001E-3</v>
          </cell>
          <cell r="AV87">
            <v>2.5000000000000001E-3</v>
          </cell>
          <cell r="AW87">
            <v>2.5000000000000001E-3</v>
          </cell>
          <cell r="AX87">
            <v>2.5000000000000001E-3</v>
          </cell>
          <cell r="AZ87">
            <v>2.5000000000000001E-3</v>
          </cell>
          <cell r="BA87">
            <v>2.5000000000000001E-3</v>
          </cell>
          <cell r="BB87">
            <v>2.5000000000000001E-3</v>
          </cell>
          <cell r="BC87">
            <v>2.5000000000000001E-3</v>
          </cell>
          <cell r="BE87">
            <v>2.5000000000000001E-3</v>
          </cell>
          <cell r="BF87">
            <v>2.5000000000000001E-3</v>
          </cell>
          <cell r="BG87">
            <v>2.5000000000000001E-3</v>
          </cell>
          <cell r="BH87">
            <v>2.5000000000000001E-3</v>
          </cell>
        </row>
        <row r="89">
          <cell r="A89" t="str">
            <v>1Q98</v>
          </cell>
          <cell r="B89">
            <v>0</v>
          </cell>
          <cell r="C89">
            <v>0</v>
          </cell>
          <cell r="D89">
            <v>0</v>
          </cell>
          <cell r="E89">
            <v>0</v>
          </cell>
          <cell r="G89">
            <v>0</v>
          </cell>
          <cell r="H89">
            <v>0</v>
          </cell>
          <cell r="I89">
            <v>0</v>
          </cell>
          <cell r="J89">
            <v>0</v>
          </cell>
          <cell r="L89">
            <v>0</v>
          </cell>
          <cell r="M89">
            <v>0</v>
          </cell>
          <cell r="N89">
            <v>0</v>
          </cell>
          <cell r="O89">
            <v>0</v>
          </cell>
          <cell r="Q89">
            <v>0</v>
          </cell>
          <cell r="R89">
            <v>0</v>
          </cell>
          <cell r="S89">
            <v>0</v>
          </cell>
          <cell r="T89">
            <v>0</v>
          </cell>
          <cell r="V89">
            <v>0</v>
          </cell>
          <cell r="W89">
            <v>0</v>
          </cell>
          <cell r="X89">
            <v>0</v>
          </cell>
          <cell r="Y89">
            <v>0</v>
          </cell>
          <cell r="AA89">
            <v>0</v>
          </cell>
          <cell r="AB89">
            <v>0</v>
          </cell>
          <cell r="AC89">
            <v>0</v>
          </cell>
          <cell r="AD89">
            <v>0</v>
          </cell>
          <cell r="AF89">
            <v>0</v>
          </cell>
          <cell r="AG89">
            <v>0</v>
          </cell>
          <cell r="AH89">
            <v>0</v>
          </cell>
          <cell r="AI89">
            <v>0</v>
          </cell>
          <cell r="AK89">
            <v>0</v>
          </cell>
          <cell r="AL89">
            <v>0</v>
          </cell>
          <cell r="AM89">
            <v>0</v>
          </cell>
          <cell r="AN89">
            <v>0</v>
          </cell>
          <cell r="AP89">
            <v>0</v>
          </cell>
          <cell r="AQ89">
            <v>0</v>
          </cell>
          <cell r="AR89">
            <v>0</v>
          </cell>
          <cell r="AS89">
            <v>0</v>
          </cell>
          <cell r="AU89">
            <v>0</v>
          </cell>
          <cell r="AV89">
            <v>0</v>
          </cell>
          <cell r="AW89">
            <v>0</v>
          </cell>
          <cell r="AX89">
            <v>0</v>
          </cell>
          <cell r="AZ89">
            <v>0</v>
          </cell>
          <cell r="BA89">
            <v>0</v>
          </cell>
          <cell r="BB89">
            <v>0</v>
          </cell>
          <cell r="BC89">
            <v>0</v>
          </cell>
          <cell r="BE89">
            <v>0</v>
          </cell>
          <cell r="BF89">
            <v>0</v>
          </cell>
          <cell r="BG89">
            <v>0</v>
          </cell>
          <cell r="BH89">
            <v>0</v>
          </cell>
        </row>
        <row r="90">
          <cell r="A90" t="str">
            <v>2Q98</v>
          </cell>
          <cell r="B90">
            <v>0</v>
          </cell>
          <cell r="C90">
            <v>0</v>
          </cell>
          <cell r="D90">
            <v>0</v>
          </cell>
          <cell r="E90">
            <v>0</v>
          </cell>
          <cell r="G90">
            <v>0</v>
          </cell>
          <cell r="H90">
            <v>0</v>
          </cell>
          <cell r="I90">
            <v>0</v>
          </cell>
          <cell r="J90">
            <v>0</v>
          </cell>
          <cell r="L90">
            <v>0</v>
          </cell>
          <cell r="M90">
            <v>0</v>
          </cell>
          <cell r="N90">
            <v>0</v>
          </cell>
          <cell r="O90">
            <v>0</v>
          </cell>
          <cell r="Q90">
            <v>0</v>
          </cell>
          <cell r="R90">
            <v>0</v>
          </cell>
          <cell r="S90">
            <v>0</v>
          </cell>
          <cell r="T90">
            <v>0</v>
          </cell>
          <cell r="V90">
            <v>0</v>
          </cell>
          <cell r="W90">
            <v>0</v>
          </cell>
          <cell r="X90">
            <v>0</v>
          </cell>
          <cell r="Y90">
            <v>0</v>
          </cell>
          <cell r="AA90">
            <v>0</v>
          </cell>
          <cell r="AB90">
            <v>0</v>
          </cell>
          <cell r="AC90">
            <v>0</v>
          </cell>
          <cell r="AD90">
            <v>0</v>
          </cell>
          <cell r="AF90">
            <v>0</v>
          </cell>
          <cell r="AG90">
            <v>0</v>
          </cell>
          <cell r="AH90">
            <v>0</v>
          </cell>
          <cell r="AI90">
            <v>0</v>
          </cell>
          <cell r="AK90">
            <v>0</v>
          </cell>
          <cell r="AL90">
            <v>0</v>
          </cell>
          <cell r="AM90">
            <v>0</v>
          </cell>
          <cell r="AN90">
            <v>0</v>
          </cell>
          <cell r="AP90">
            <v>0</v>
          </cell>
          <cell r="AQ90">
            <v>0</v>
          </cell>
          <cell r="AR90">
            <v>0</v>
          </cell>
          <cell r="AS90">
            <v>0</v>
          </cell>
          <cell r="AU90">
            <v>0</v>
          </cell>
          <cell r="AV90">
            <v>0</v>
          </cell>
          <cell r="AW90">
            <v>0</v>
          </cell>
          <cell r="AX90">
            <v>0</v>
          </cell>
          <cell r="AZ90">
            <v>0</v>
          </cell>
          <cell r="BA90">
            <v>0</v>
          </cell>
          <cell r="BB90">
            <v>0</v>
          </cell>
          <cell r="BC90">
            <v>0</v>
          </cell>
          <cell r="BE90">
            <v>0</v>
          </cell>
          <cell r="BF90">
            <v>0</v>
          </cell>
          <cell r="BG90">
            <v>0</v>
          </cell>
          <cell r="BH90">
            <v>0</v>
          </cell>
        </row>
        <row r="91">
          <cell r="A91" t="str">
            <v>3Q98</v>
          </cell>
          <cell r="B91">
            <v>0</v>
          </cell>
          <cell r="C91">
            <v>0</v>
          </cell>
          <cell r="D91">
            <v>0</v>
          </cell>
          <cell r="E91">
            <v>0</v>
          </cell>
          <cell r="G91">
            <v>0</v>
          </cell>
          <cell r="H91">
            <v>0</v>
          </cell>
          <cell r="I91">
            <v>0</v>
          </cell>
          <cell r="J91">
            <v>0</v>
          </cell>
          <cell r="L91">
            <v>0</v>
          </cell>
          <cell r="M91">
            <v>0</v>
          </cell>
          <cell r="N91">
            <v>0</v>
          </cell>
          <cell r="O91">
            <v>0</v>
          </cell>
          <cell r="Q91">
            <v>0</v>
          </cell>
          <cell r="R91">
            <v>0</v>
          </cell>
          <cell r="S91">
            <v>0</v>
          </cell>
          <cell r="T91">
            <v>0</v>
          </cell>
          <cell r="V91">
            <v>0</v>
          </cell>
          <cell r="W91">
            <v>0</v>
          </cell>
          <cell r="X91">
            <v>0</v>
          </cell>
          <cell r="Y91">
            <v>0</v>
          </cell>
          <cell r="AA91">
            <v>0</v>
          </cell>
          <cell r="AB91">
            <v>0</v>
          </cell>
          <cell r="AC91">
            <v>0</v>
          </cell>
          <cell r="AD91">
            <v>0</v>
          </cell>
          <cell r="AF91">
            <v>0</v>
          </cell>
          <cell r="AG91">
            <v>0</v>
          </cell>
          <cell r="AH91">
            <v>0</v>
          </cell>
          <cell r="AI91">
            <v>0</v>
          </cell>
          <cell r="AK91">
            <v>0</v>
          </cell>
          <cell r="AL91">
            <v>0</v>
          </cell>
          <cell r="AM91">
            <v>0</v>
          </cell>
          <cell r="AN91">
            <v>0</v>
          </cell>
          <cell r="AP91">
            <v>0</v>
          </cell>
          <cell r="AQ91">
            <v>0</v>
          </cell>
          <cell r="AR91">
            <v>0</v>
          </cell>
          <cell r="AS91">
            <v>0</v>
          </cell>
          <cell r="AU91">
            <v>0</v>
          </cell>
          <cell r="AV91">
            <v>0</v>
          </cell>
          <cell r="AW91">
            <v>0</v>
          </cell>
          <cell r="AX91">
            <v>0</v>
          </cell>
          <cell r="AZ91">
            <v>0</v>
          </cell>
          <cell r="BA91">
            <v>0</v>
          </cell>
          <cell r="BB91">
            <v>0</v>
          </cell>
          <cell r="BC91">
            <v>0</v>
          </cell>
          <cell r="BE91">
            <v>0</v>
          </cell>
          <cell r="BF91">
            <v>0</v>
          </cell>
          <cell r="BG91">
            <v>0</v>
          </cell>
          <cell r="BH91">
            <v>0</v>
          </cell>
        </row>
        <row r="92">
          <cell r="A92" t="str">
            <v>4Q98</v>
          </cell>
          <cell r="B92">
            <v>0</v>
          </cell>
          <cell r="C92">
            <v>0</v>
          </cell>
          <cell r="D92">
            <v>0</v>
          </cell>
          <cell r="E92">
            <v>0</v>
          </cell>
          <cell r="G92">
            <v>0</v>
          </cell>
          <cell r="H92">
            <v>0</v>
          </cell>
          <cell r="I92">
            <v>0</v>
          </cell>
          <cell r="J92">
            <v>0</v>
          </cell>
          <cell r="L92">
            <v>0</v>
          </cell>
          <cell r="M92">
            <v>0</v>
          </cell>
          <cell r="N92">
            <v>0</v>
          </cell>
          <cell r="O92">
            <v>0</v>
          </cell>
          <cell r="Q92">
            <v>0</v>
          </cell>
          <cell r="R92">
            <v>0</v>
          </cell>
          <cell r="S92">
            <v>0</v>
          </cell>
          <cell r="T92">
            <v>0</v>
          </cell>
          <cell r="V92">
            <v>0</v>
          </cell>
          <cell r="W92">
            <v>0</v>
          </cell>
          <cell r="X92">
            <v>0</v>
          </cell>
          <cell r="Y92">
            <v>0</v>
          </cell>
          <cell r="AA92">
            <v>0</v>
          </cell>
          <cell r="AB92">
            <v>0</v>
          </cell>
          <cell r="AC92">
            <v>0</v>
          </cell>
          <cell r="AD92">
            <v>0</v>
          </cell>
          <cell r="AF92">
            <v>0</v>
          </cell>
          <cell r="AG92">
            <v>0</v>
          </cell>
          <cell r="AH92">
            <v>0</v>
          </cell>
          <cell r="AI92">
            <v>0</v>
          </cell>
          <cell r="AK92">
            <v>0</v>
          </cell>
          <cell r="AL92">
            <v>0</v>
          </cell>
          <cell r="AM92">
            <v>0</v>
          </cell>
          <cell r="AN92">
            <v>0</v>
          </cell>
          <cell r="AP92">
            <v>0</v>
          </cell>
          <cell r="AQ92">
            <v>0</v>
          </cell>
          <cell r="AR92">
            <v>0</v>
          </cell>
          <cell r="AS92">
            <v>0</v>
          </cell>
          <cell r="AU92">
            <v>0</v>
          </cell>
          <cell r="AV92">
            <v>0</v>
          </cell>
          <cell r="AW92">
            <v>0</v>
          </cell>
          <cell r="AX92">
            <v>0</v>
          </cell>
          <cell r="AZ92">
            <v>0</v>
          </cell>
          <cell r="BA92">
            <v>0</v>
          </cell>
          <cell r="BB92">
            <v>0</v>
          </cell>
          <cell r="BC92">
            <v>0</v>
          </cell>
          <cell r="BE92">
            <v>0</v>
          </cell>
          <cell r="BF92">
            <v>0</v>
          </cell>
          <cell r="BG92">
            <v>0</v>
          </cell>
          <cell r="BH92">
            <v>0</v>
          </cell>
        </row>
        <row r="93">
          <cell r="A93" t="str">
            <v>1Q99</v>
          </cell>
          <cell r="B93">
            <v>0</v>
          </cell>
          <cell r="C93">
            <v>0</v>
          </cell>
          <cell r="D93">
            <v>0</v>
          </cell>
          <cell r="E93">
            <v>0</v>
          </cell>
          <cell r="G93">
            <v>0</v>
          </cell>
          <cell r="H93">
            <v>0</v>
          </cell>
          <cell r="I93">
            <v>0</v>
          </cell>
          <cell r="J93">
            <v>0</v>
          </cell>
          <cell r="L93">
            <v>0</v>
          </cell>
          <cell r="M93">
            <v>0</v>
          </cell>
          <cell r="N93">
            <v>0</v>
          </cell>
          <cell r="O93">
            <v>0</v>
          </cell>
          <cell r="Q93">
            <v>0</v>
          </cell>
          <cell r="R93">
            <v>0</v>
          </cell>
          <cell r="S93">
            <v>0</v>
          </cell>
          <cell r="T93">
            <v>0</v>
          </cell>
          <cell r="V93">
            <v>0</v>
          </cell>
          <cell r="W93">
            <v>0</v>
          </cell>
          <cell r="X93">
            <v>0</v>
          </cell>
          <cell r="Y93">
            <v>0</v>
          </cell>
          <cell r="AA93">
            <v>0</v>
          </cell>
          <cell r="AB93">
            <v>0</v>
          </cell>
          <cell r="AC93">
            <v>0</v>
          </cell>
          <cell r="AD93">
            <v>0</v>
          </cell>
          <cell r="AF93">
            <v>0</v>
          </cell>
          <cell r="AG93">
            <v>0</v>
          </cell>
          <cell r="AH93">
            <v>0</v>
          </cell>
          <cell r="AI93">
            <v>0</v>
          </cell>
          <cell r="AK93">
            <v>0</v>
          </cell>
          <cell r="AL93">
            <v>0</v>
          </cell>
          <cell r="AM93">
            <v>0</v>
          </cell>
          <cell r="AN93">
            <v>0</v>
          </cell>
          <cell r="AP93">
            <v>0</v>
          </cell>
          <cell r="AQ93">
            <v>0</v>
          </cell>
          <cell r="AR93">
            <v>0</v>
          </cell>
          <cell r="AS93">
            <v>0</v>
          </cell>
          <cell r="AU93">
            <v>0</v>
          </cell>
          <cell r="AV93">
            <v>0</v>
          </cell>
          <cell r="AW93">
            <v>0</v>
          </cell>
          <cell r="AX93">
            <v>0</v>
          </cell>
          <cell r="AZ93">
            <v>0</v>
          </cell>
          <cell r="BA93">
            <v>0</v>
          </cell>
          <cell r="BB93">
            <v>0</v>
          </cell>
          <cell r="BC93">
            <v>0</v>
          </cell>
          <cell r="BE93">
            <v>0</v>
          </cell>
          <cell r="BF93">
            <v>0</v>
          </cell>
          <cell r="BG93">
            <v>0</v>
          </cell>
          <cell r="BH93">
            <v>0</v>
          </cell>
        </row>
        <row r="94">
          <cell r="A94" t="str">
            <v>2Q99</v>
          </cell>
          <cell r="C94">
            <v>0</v>
          </cell>
          <cell r="D94">
            <v>0</v>
          </cell>
          <cell r="E94">
            <v>0</v>
          </cell>
          <cell r="G94">
            <v>0</v>
          </cell>
          <cell r="H94">
            <v>0</v>
          </cell>
          <cell r="I94">
            <v>0</v>
          </cell>
          <cell r="J94">
            <v>0</v>
          </cell>
          <cell r="L94">
            <v>0</v>
          </cell>
          <cell r="M94">
            <v>0</v>
          </cell>
          <cell r="N94">
            <v>0</v>
          </cell>
          <cell r="O94">
            <v>0</v>
          </cell>
          <cell r="Q94">
            <v>0</v>
          </cell>
          <cell r="R94">
            <v>0</v>
          </cell>
          <cell r="S94">
            <v>0</v>
          </cell>
          <cell r="T94">
            <v>0</v>
          </cell>
          <cell r="V94">
            <v>0</v>
          </cell>
          <cell r="W94">
            <v>0</v>
          </cell>
          <cell r="X94">
            <v>0</v>
          </cell>
          <cell r="Y94">
            <v>0</v>
          </cell>
          <cell r="AA94">
            <v>0</v>
          </cell>
          <cell r="AB94">
            <v>0</v>
          </cell>
          <cell r="AC94">
            <v>0</v>
          </cell>
          <cell r="AD94">
            <v>0</v>
          </cell>
          <cell r="AF94">
            <v>0</v>
          </cell>
          <cell r="AG94">
            <v>0</v>
          </cell>
          <cell r="AH94">
            <v>0</v>
          </cell>
          <cell r="AI94">
            <v>0</v>
          </cell>
          <cell r="AK94">
            <v>0</v>
          </cell>
          <cell r="AL94">
            <v>0</v>
          </cell>
          <cell r="AM94">
            <v>0</v>
          </cell>
          <cell r="AN94">
            <v>0</v>
          </cell>
          <cell r="AP94">
            <v>0</v>
          </cell>
          <cell r="AQ94">
            <v>0</v>
          </cell>
          <cell r="AR94">
            <v>0</v>
          </cell>
          <cell r="AS94">
            <v>0</v>
          </cell>
          <cell r="AU94">
            <v>0</v>
          </cell>
          <cell r="AV94">
            <v>0</v>
          </cell>
          <cell r="AW94">
            <v>0</v>
          </cell>
          <cell r="AX94">
            <v>0</v>
          </cell>
          <cell r="AZ94">
            <v>0</v>
          </cell>
          <cell r="BA94">
            <v>0</v>
          </cell>
          <cell r="BB94">
            <v>0</v>
          </cell>
          <cell r="BC94">
            <v>0</v>
          </cell>
          <cell r="BE94">
            <v>0</v>
          </cell>
          <cell r="BF94">
            <v>0</v>
          </cell>
          <cell r="BG94">
            <v>0</v>
          </cell>
          <cell r="BH94">
            <v>0</v>
          </cell>
        </row>
        <row r="95">
          <cell r="A95" t="str">
            <v>3Q99</v>
          </cell>
          <cell r="D95">
            <v>0</v>
          </cell>
          <cell r="E95">
            <v>0</v>
          </cell>
          <cell r="G95">
            <v>0</v>
          </cell>
          <cell r="H95">
            <v>0</v>
          </cell>
          <cell r="I95">
            <v>0</v>
          </cell>
          <cell r="J95">
            <v>0</v>
          </cell>
          <cell r="L95">
            <v>0</v>
          </cell>
          <cell r="M95">
            <v>0</v>
          </cell>
          <cell r="N95">
            <v>0</v>
          </cell>
          <cell r="O95">
            <v>0</v>
          </cell>
          <cell r="Q95">
            <v>0</v>
          </cell>
          <cell r="R95">
            <v>0</v>
          </cell>
          <cell r="S95">
            <v>0</v>
          </cell>
          <cell r="T95">
            <v>0</v>
          </cell>
          <cell r="V95">
            <v>0</v>
          </cell>
          <cell r="W95">
            <v>0</v>
          </cell>
          <cell r="X95">
            <v>0</v>
          </cell>
          <cell r="Y95">
            <v>0</v>
          </cell>
          <cell r="AA95">
            <v>0</v>
          </cell>
          <cell r="AB95">
            <v>0</v>
          </cell>
          <cell r="AC95">
            <v>0</v>
          </cell>
          <cell r="AD95">
            <v>0</v>
          </cell>
          <cell r="AF95">
            <v>0</v>
          </cell>
          <cell r="AG95">
            <v>0</v>
          </cell>
          <cell r="AH95">
            <v>0</v>
          </cell>
          <cell r="AI95">
            <v>0</v>
          </cell>
          <cell r="AK95">
            <v>0</v>
          </cell>
          <cell r="AL95">
            <v>0</v>
          </cell>
          <cell r="AM95">
            <v>0</v>
          </cell>
          <cell r="AN95">
            <v>0</v>
          </cell>
          <cell r="AP95">
            <v>0</v>
          </cell>
          <cell r="AQ95">
            <v>0</v>
          </cell>
          <cell r="AR95">
            <v>0</v>
          </cell>
          <cell r="AS95">
            <v>0</v>
          </cell>
          <cell r="AU95">
            <v>0</v>
          </cell>
          <cell r="AV95">
            <v>0</v>
          </cell>
          <cell r="AW95">
            <v>0</v>
          </cell>
          <cell r="AX95">
            <v>0</v>
          </cell>
          <cell r="AZ95">
            <v>0</v>
          </cell>
          <cell r="BA95">
            <v>0</v>
          </cell>
          <cell r="BB95">
            <v>0</v>
          </cell>
          <cell r="BC95">
            <v>0</v>
          </cell>
          <cell r="BE95">
            <v>0</v>
          </cell>
          <cell r="BF95">
            <v>0</v>
          </cell>
          <cell r="BG95">
            <v>0</v>
          </cell>
          <cell r="BH95">
            <v>0</v>
          </cell>
        </row>
        <row r="96">
          <cell r="A96" t="str">
            <v>4Q99</v>
          </cell>
          <cell r="E96">
            <v>0</v>
          </cell>
          <cell r="G96">
            <v>0</v>
          </cell>
          <cell r="H96">
            <v>0</v>
          </cell>
          <cell r="I96">
            <v>0</v>
          </cell>
          <cell r="J96">
            <v>0</v>
          </cell>
          <cell r="L96">
            <v>0</v>
          </cell>
          <cell r="M96">
            <v>0</v>
          </cell>
          <cell r="N96">
            <v>0</v>
          </cell>
          <cell r="O96">
            <v>0</v>
          </cell>
          <cell r="Q96">
            <v>0</v>
          </cell>
          <cell r="R96">
            <v>0</v>
          </cell>
          <cell r="S96">
            <v>0</v>
          </cell>
          <cell r="T96">
            <v>0</v>
          </cell>
          <cell r="V96">
            <v>0</v>
          </cell>
          <cell r="W96">
            <v>0</v>
          </cell>
          <cell r="X96">
            <v>0</v>
          </cell>
          <cell r="Y96">
            <v>0</v>
          </cell>
          <cell r="AA96">
            <v>0</v>
          </cell>
          <cell r="AB96">
            <v>0</v>
          </cell>
          <cell r="AC96">
            <v>0</v>
          </cell>
          <cell r="AD96">
            <v>0</v>
          </cell>
          <cell r="AF96">
            <v>0</v>
          </cell>
          <cell r="AG96">
            <v>0</v>
          </cell>
          <cell r="AH96">
            <v>0</v>
          </cell>
          <cell r="AI96">
            <v>0</v>
          </cell>
          <cell r="AK96">
            <v>0</v>
          </cell>
          <cell r="AL96">
            <v>0</v>
          </cell>
          <cell r="AM96">
            <v>0</v>
          </cell>
          <cell r="AN96">
            <v>0</v>
          </cell>
          <cell r="AP96">
            <v>0</v>
          </cell>
          <cell r="AQ96">
            <v>0</v>
          </cell>
          <cell r="AR96">
            <v>0</v>
          </cell>
          <cell r="AS96">
            <v>0</v>
          </cell>
          <cell r="AU96">
            <v>0</v>
          </cell>
          <cell r="AV96">
            <v>0</v>
          </cell>
          <cell r="AW96">
            <v>0</v>
          </cell>
          <cell r="AX96">
            <v>0</v>
          </cell>
          <cell r="AZ96">
            <v>0</v>
          </cell>
          <cell r="BA96">
            <v>0</v>
          </cell>
          <cell r="BB96">
            <v>0</v>
          </cell>
          <cell r="BC96">
            <v>0</v>
          </cell>
          <cell r="BE96">
            <v>0</v>
          </cell>
          <cell r="BF96">
            <v>0</v>
          </cell>
          <cell r="BG96">
            <v>0</v>
          </cell>
          <cell r="BH96">
            <v>0</v>
          </cell>
        </row>
        <row r="97">
          <cell r="A97" t="str">
            <v>1Q00</v>
          </cell>
          <cell r="G97">
            <v>0</v>
          </cell>
          <cell r="H97">
            <v>0</v>
          </cell>
          <cell r="I97">
            <v>0</v>
          </cell>
          <cell r="J97">
            <v>0</v>
          </cell>
          <cell r="L97">
            <v>0</v>
          </cell>
          <cell r="M97">
            <v>0</v>
          </cell>
          <cell r="N97">
            <v>0</v>
          </cell>
          <cell r="O97">
            <v>0</v>
          </cell>
          <cell r="Q97">
            <v>0</v>
          </cell>
          <cell r="R97">
            <v>0</v>
          </cell>
          <cell r="S97">
            <v>0</v>
          </cell>
          <cell r="T97">
            <v>0</v>
          </cell>
          <cell r="V97">
            <v>0</v>
          </cell>
          <cell r="W97">
            <v>0</v>
          </cell>
          <cell r="X97">
            <v>0</v>
          </cell>
          <cell r="Y97">
            <v>0</v>
          </cell>
          <cell r="AA97">
            <v>0</v>
          </cell>
          <cell r="AB97">
            <v>0</v>
          </cell>
          <cell r="AC97">
            <v>0</v>
          </cell>
          <cell r="AD97">
            <v>0</v>
          </cell>
          <cell r="AF97">
            <v>0</v>
          </cell>
          <cell r="AG97">
            <v>0</v>
          </cell>
          <cell r="AH97">
            <v>0</v>
          </cell>
          <cell r="AI97">
            <v>0</v>
          </cell>
          <cell r="AK97">
            <v>0</v>
          </cell>
          <cell r="AL97">
            <v>0</v>
          </cell>
          <cell r="AM97">
            <v>0</v>
          </cell>
          <cell r="AN97">
            <v>0</v>
          </cell>
          <cell r="AP97">
            <v>0</v>
          </cell>
          <cell r="AQ97">
            <v>0</v>
          </cell>
          <cell r="AR97">
            <v>0</v>
          </cell>
          <cell r="AS97">
            <v>0</v>
          </cell>
          <cell r="AU97">
            <v>0</v>
          </cell>
          <cell r="AV97">
            <v>0</v>
          </cell>
          <cell r="AW97">
            <v>0</v>
          </cell>
          <cell r="AX97">
            <v>0</v>
          </cell>
          <cell r="AZ97">
            <v>0</v>
          </cell>
          <cell r="BA97">
            <v>0</v>
          </cell>
          <cell r="BB97">
            <v>0</v>
          </cell>
          <cell r="BC97">
            <v>0</v>
          </cell>
          <cell r="BE97">
            <v>0</v>
          </cell>
          <cell r="BF97">
            <v>0</v>
          </cell>
          <cell r="BG97">
            <v>0</v>
          </cell>
          <cell r="BH97">
            <v>0</v>
          </cell>
        </row>
        <row r="98">
          <cell r="A98" t="str">
            <v>2Q00</v>
          </cell>
          <cell r="H98">
            <v>0</v>
          </cell>
          <cell r="I98">
            <v>0</v>
          </cell>
          <cell r="J98">
            <v>0</v>
          </cell>
          <cell r="L98">
            <v>0</v>
          </cell>
          <cell r="M98">
            <v>0</v>
          </cell>
          <cell r="N98">
            <v>0</v>
          </cell>
          <cell r="O98">
            <v>0</v>
          </cell>
          <cell r="Q98">
            <v>0</v>
          </cell>
          <cell r="R98">
            <v>0</v>
          </cell>
          <cell r="S98">
            <v>0</v>
          </cell>
          <cell r="T98">
            <v>0</v>
          </cell>
          <cell r="V98">
            <v>0</v>
          </cell>
          <cell r="W98">
            <v>0</v>
          </cell>
          <cell r="X98">
            <v>0</v>
          </cell>
          <cell r="Y98">
            <v>0</v>
          </cell>
          <cell r="AA98">
            <v>0</v>
          </cell>
          <cell r="AB98">
            <v>0</v>
          </cell>
          <cell r="AC98">
            <v>0</v>
          </cell>
          <cell r="AD98">
            <v>0</v>
          </cell>
          <cell r="AF98">
            <v>0</v>
          </cell>
          <cell r="AG98">
            <v>0</v>
          </cell>
          <cell r="AH98">
            <v>0</v>
          </cell>
          <cell r="AI98">
            <v>0</v>
          </cell>
          <cell r="AK98">
            <v>0</v>
          </cell>
          <cell r="AL98">
            <v>0</v>
          </cell>
          <cell r="AM98">
            <v>0</v>
          </cell>
          <cell r="AN98">
            <v>0</v>
          </cell>
          <cell r="AP98">
            <v>0</v>
          </cell>
          <cell r="AQ98">
            <v>0</v>
          </cell>
          <cell r="AR98">
            <v>0</v>
          </cell>
          <cell r="AS98">
            <v>0</v>
          </cell>
          <cell r="AU98">
            <v>0</v>
          </cell>
          <cell r="AV98">
            <v>0</v>
          </cell>
          <cell r="AW98">
            <v>0</v>
          </cell>
          <cell r="AX98">
            <v>0</v>
          </cell>
          <cell r="AZ98">
            <v>0</v>
          </cell>
          <cell r="BA98">
            <v>0</v>
          </cell>
          <cell r="BB98">
            <v>0</v>
          </cell>
          <cell r="BC98">
            <v>0</v>
          </cell>
          <cell r="BE98">
            <v>0</v>
          </cell>
          <cell r="BF98">
            <v>0</v>
          </cell>
          <cell r="BG98">
            <v>0</v>
          </cell>
          <cell r="BH98">
            <v>0</v>
          </cell>
        </row>
        <row r="99">
          <cell r="A99" t="str">
            <v>3Q00</v>
          </cell>
          <cell r="I99">
            <v>0</v>
          </cell>
          <cell r="J99">
            <v>0</v>
          </cell>
          <cell r="L99">
            <v>0</v>
          </cell>
          <cell r="M99">
            <v>0</v>
          </cell>
          <cell r="N99">
            <v>0</v>
          </cell>
          <cell r="O99">
            <v>0</v>
          </cell>
          <cell r="Q99">
            <v>0</v>
          </cell>
          <cell r="R99">
            <v>0</v>
          </cell>
          <cell r="S99">
            <v>0</v>
          </cell>
          <cell r="T99">
            <v>0</v>
          </cell>
          <cell r="V99">
            <v>0</v>
          </cell>
          <cell r="W99">
            <v>0</v>
          </cell>
          <cell r="X99">
            <v>0</v>
          </cell>
          <cell r="Y99">
            <v>0</v>
          </cell>
          <cell r="AA99">
            <v>0</v>
          </cell>
          <cell r="AB99">
            <v>0</v>
          </cell>
          <cell r="AC99">
            <v>0</v>
          </cell>
          <cell r="AD99">
            <v>0</v>
          </cell>
          <cell r="AF99">
            <v>0</v>
          </cell>
          <cell r="AG99">
            <v>0</v>
          </cell>
          <cell r="AH99">
            <v>0</v>
          </cell>
          <cell r="AI99">
            <v>0</v>
          </cell>
          <cell r="AK99">
            <v>0</v>
          </cell>
          <cell r="AL99">
            <v>0</v>
          </cell>
          <cell r="AM99">
            <v>0</v>
          </cell>
          <cell r="AN99">
            <v>0</v>
          </cell>
          <cell r="AP99">
            <v>0</v>
          </cell>
          <cell r="AQ99">
            <v>0</v>
          </cell>
          <cell r="AR99">
            <v>0</v>
          </cell>
          <cell r="AS99">
            <v>0</v>
          </cell>
          <cell r="AU99">
            <v>0</v>
          </cell>
          <cell r="AV99">
            <v>0</v>
          </cell>
          <cell r="AW99">
            <v>0</v>
          </cell>
          <cell r="AX99">
            <v>0</v>
          </cell>
          <cell r="AZ99">
            <v>0</v>
          </cell>
          <cell r="BA99">
            <v>0</v>
          </cell>
          <cell r="BB99">
            <v>0</v>
          </cell>
          <cell r="BC99">
            <v>0</v>
          </cell>
          <cell r="BE99">
            <v>0</v>
          </cell>
          <cell r="BF99">
            <v>0</v>
          </cell>
          <cell r="BG99">
            <v>0</v>
          </cell>
          <cell r="BH99">
            <v>0</v>
          </cell>
        </row>
        <row r="100">
          <cell r="A100" t="str">
            <v>4Q00</v>
          </cell>
          <cell r="J100">
            <v>0</v>
          </cell>
          <cell r="L100">
            <v>0</v>
          </cell>
          <cell r="M100">
            <v>0</v>
          </cell>
          <cell r="N100">
            <v>0</v>
          </cell>
          <cell r="O100">
            <v>0</v>
          </cell>
          <cell r="Q100">
            <v>0</v>
          </cell>
          <cell r="R100">
            <v>0</v>
          </cell>
          <cell r="S100">
            <v>0</v>
          </cell>
          <cell r="T100">
            <v>0</v>
          </cell>
          <cell r="V100">
            <v>0</v>
          </cell>
          <cell r="W100">
            <v>0</v>
          </cell>
          <cell r="X100">
            <v>0</v>
          </cell>
          <cell r="Y100">
            <v>0</v>
          </cell>
          <cell r="AA100">
            <v>0</v>
          </cell>
          <cell r="AB100">
            <v>0</v>
          </cell>
          <cell r="AC100">
            <v>0</v>
          </cell>
          <cell r="AD100">
            <v>0</v>
          </cell>
          <cell r="AF100">
            <v>0</v>
          </cell>
          <cell r="AG100">
            <v>0</v>
          </cell>
          <cell r="AH100">
            <v>0</v>
          </cell>
          <cell r="AI100">
            <v>0</v>
          </cell>
          <cell r="AK100">
            <v>0</v>
          </cell>
          <cell r="AL100">
            <v>0</v>
          </cell>
          <cell r="AM100">
            <v>0</v>
          </cell>
          <cell r="AN100">
            <v>0</v>
          </cell>
          <cell r="AP100">
            <v>0</v>
          </cell>
          <cell r="AQ100">
            <v>0</v>
          </cell>
          <cell r="AR100">
            <v>0</v>
          </cell>
          <cell r="AS100">
            <v>0</v>
          </cell>
          <cell r="AU100">
            <v>0</v>
          </cell>
          <cell r="AV100">
            <v>0</v>
          </cell>
          <cell r="AW100">
            <v>0</v>
          </cell>
          <cell r="AX100">
            <v>0</v>
          </cell>
          <cell r="AZ100">
            <v>0</v>
          </cell>
          <cell r="BA100">
            <v>0</v>
          </cell>
          <cell r="BB100">
            <v>0</v>
          </cell>
          <cell r="BC100">
            <v>0</v>
          </cell>
          <cell r="BE100">
            <v>0</v>
          </cell>
          <cell r="BF100">
            <v>0</v>
          </cell>
          <cell r="BG100">
            <v>0</v>
          </cell>
          <cell r="BH100">
            <v>0</v>
          </cell>
        </row>
        <row r="101">
          <cell r="A101" t="str">
            <v>1Q01</v>
          </cell>
          <cell r="L101">
            <v>0</v>
          </cell>
          <cell r="M101">
            <v>0</v>
          </cell>
          <cell r="N101">
            <v>0</v>
          </cell>
          <cell r="O101">
            <v>0</v>
          </cell>
          <cell r="Q101">
            <v>0</v>
          </cell>
          <cell r="R101">
            <v>0</v>
          </cell>
          <cell r="S101">
            <v>0</v>
          </cell>
          <cell r="T101">
            <v>0</v>
          </cell>
          <cell r="V101">
            <v>0</v>
          </cell>
          <cell r="W101">
            <v>0</v>
          </cell>
          <cell r="X101">
            <v>0</v>
          </cell>
          <cell r="Y101">
            <v>0</v>
          </cell>
          <cell r="AA101">
            <v>0</v>
          </cell>
          <cell r="AB101">
            <v>0</v>
          </cell>
          <cell r="AC101">
            <v>0</v>
          </cell>
          <cell r="AD101">
            <v>0</v>
          </cell>
          <cell r="AF101">
            <v>0</v>
          </cell>
          <cell r="AG101">
            <v>0</v>
          </cell>
          <cell r="AH101">
            <v>0</v>
          </cell>
          <cell r="AI101">
            <v>0</v>
          </cell>
          <cell r="AK101">
            <v>0</v>
          </cell>
          <cell r="AL101">
            <v>0</v>
          </cell>
          <cell r="AM101">
            <v>0</v>
          </cell>
          <cell r="AN101">
            <v>0</v>
          </cell>
          <cell r="AP101">
            <v>0</v>
          </cell>
          <cell r="AQ101">
            <v>0</v>
          </cell>
          <cell r="AR101">
            <v>0</v>
          </cell>
          <cell r="AS101">
            <v>0</v>
          </cell>
          <cell r="AU101">
            <v>0</v>
          </cell>
          <cell r="AV101">
            <v>0</v>
          </cell>
          <cell r="AW101">
            <v>0</v>
          </cell>
          <cell r="AX101">
            <v>0</v>
          </cell>
          <cell r="AZ101">
            <v>0</v>
          </cell>
          <cell r="BA101">
            <v>0</v>
          </cell>
          <cell r="BB101">
            <v>0</v>
          </cell>
          <cell r="BC101">
            <v>0</v>
          </cell>
          <cell r="BE101">
            <v>0</v>
          </cell>
          <cell r="BF101">
            <v>0</v>
          </cell>
          <cell r="BG101">
            <v>0</v>
          </cell>
          <cell r="BH101">
            <v>0</v>
          </cell>
        </row>
        <row r="102">
          <cell r="A102" t="str">
            <v>2Q01</v>
          </cell>
          <cell r="M102">
            <v>0</v>
          </cell>
          <cell r="N102">
            <v>0</v>
          </cell>
          <cell r="O102">
            <v>0</v>
          </cell>
          <cell r="Q102">
            <v>0</v>
          </cell>
          <cell r="R102">
            <v>0</v>
          </cell>
          <cell r="S102">
            <v>0</v>
          </cell>
          <cell r="T102">
            <v>0</v>
          </cell>
          <cell r="V102">
            <v>0</v>
          </cell>
          <cell r="W102">
            <v>0</v>
          </cell>
          <cell r="X102">
            <v>0</v>
          </cell>
          <cell r="Y102">
            <v>0</v>
          </cell>
          <cell r="AA102">
            <v>0</v>
          </cell>
          <cell r="AB102">
            <v>0</v>
          </cell>
          <cell r="AC102">
            <v>0</v>
          </cell>
          <cell r="AD102">
            <v>0</v>
          </cell>
          <cell r="AF102">
            <v>0</v>
          </cell>
          <cell r="AG102">
            <v>0</v>
          </cell>
          <cell r="AH102">
            <v>0</v>
          </cell>
          <cell r="AI102">
            <v>0</v>
          </cell>
          <cell r="AK102">
            <v>0</v>
          </cell>
          <cell r="AL102">
            <v>0</v>
          </cell>
          <cell r="AM102">
            <v>0</v>
          </cell>
          <cell r="AN102">
            <v>0</v>
          </cell>
          <cell r="AP102">
            <v>0</v>
          </cell>
          <cell r="AQ102">
            <v>0</v>
          </cell>
          <cell r="AR102">
            <v>0</v>
          </cell>
          <cell r="AS102">
            <v>0</v>
          </cell>
          <cell r="AU102">
            <v>0</v>
          </cell>
          <cell r="AV102">
            <v>0</v>
          </cell>
          <cell r="AW102">
            <v>0</v>
          </cell>
          <cell r="AX102">
            <v>0</v>
          </cell>
          <cell r="AZ102">
            <v>0</v>
          </cell>
          <cell r="BA102">
            <v>0</v>
          </cell>
          <cell r="BB102">
            <v>0</v>
          </cell>
          <cell r="BC102">
            <v>0</v>
          </cell>
          <cell r="BE102">
            <v>0</v>
          </cell>
          <cell r="BF102">
            <v>0</v>
          </cell>
          <cell r="BG102">
            <v>0</v>
          </cell>
          <cell r="BH102">
            <v>0</v>
          </cell>
        </row>
        <row r="103">
          <cell r="A103" t="str">
            <v>3Q01</v>
          </cell>
          <cell r="N103">
            <v>0</v>
          </cell>
          <cell r="O103">
            <v>0</v>
          </cell>
          <cell r="Q103">
            <v>0</v>
          </cell>
          <cell r="R103">
            <v>0</v>
          </cell>
          <cell r="S103">
            <v>0</v>
          </cell>
          <cell r="T103">
            <v>0</v>
          </cell>
          <cell r="V103">
            <v>0</v>
          </cell>
          <cell r="W103">
            <v>0</v>
          </cell>
          <cell r="X103">
            <v>0</v>
          </cell>
          <cell r="Y103">
            <v>0</v>
          </cell>
          <cell r="AA103">
            <v>0</v>
          </cell>
          <cell r="AB103">
            <v>0</v>
          </cell>
          <cell r="AC103">
            <v>0</v>
          </cell>
          <cell r="AD103">
            <v>0</v>
          </cell>
          <cell r="AF103">
            <v>0</v>
          </cell>
          <cell r="AG103">
            <v>0</v>
          </cell>
          <cell r="AH103">
            <v>0</v>
          </cell>
          <cell r="AI103">
            <v>0</v>
          </cell>
          <cell r="AK103">
            <v>0</v>
          </cell>
          <cell r="AL103">
            <v>0</v>
          </cell>
          <cell r="AM103">
            <v>0</v>
          </cell>
          <cell r="AN103">
            <v>0</v>
          </cell>
          <cell r="AP103">
            <v>0</v>
          </cell>
          <cell r="AQ103">
            <v>0</v>
          </cell>
          <cell r="AR103">
            <v>0</v>
          </cell>
          <cell r="AS103">
            <v>0</v>
          </cell>
          <cell r="AU103">
            <v>0</v>
          </cell>
          <cell r="AV103">
            <v>0</v>
          </cell>
          <cell r="AW103">
            <v>0</v>
          </cell>
          <cell r="AX103">
            <v>0</v>
          </cell>
          <cell r="AZ103">
            <v>0</v>
          </cell>
          <cell r="BA103">
            <v>0</v>
          </cell>
          <cell r="BB103">
            <v>0</v>
          </cell>
          <cell r="BC103">
            <v>0</v>
          </cell>
          <cell r="BE103">
            <v>0</v>
          </cell>
          <cell r="BF103">
            <v>0</v>
          </cell>
          <cell r="BG103">
            <v>0</v>
          </cell>
          <cell r="BH103">
            <v>0</v>
          </cell>
        </row>
        <row r="104">
          <cell r="A104" t="str">
            <v>4Q01</v>
          </cell>
          <cell r="O104">
            <v>0</v>
          </cell>
          <cell r="Q104">
            <v>0</v>
          </cell>
          <cell r="R104">
            <v>0</v>
          </cell>
          <cell r="S104">
            <v>0</v>
          </cell>
          <cell r="T104">
            <v>0</v>
          </cell>
          <cell r="V104">
            <v>0</v>
          </cell>
          <cell r="W104">
            <v>0</v>
          </cell>
          <cell r="X104">
            <v>0</v>
          </cell>
          <cell r="Y104">
            <v>0</v>
          </cell>
          <cell r="AA104">
            <v>0</v>
          </cell>
          <cell r="AB104">
            <v>0</v>
          </cell>
          <cell r="AC104">
            <v>0</v>
          </cell>
          <cell r="AD104">
            <v>0</v>
          </cell>
          <cell r="AF104">
            <v>0</v>
          </cell>
          <cell r="AG104">
            <v>0</v>
          </cell>
          <cell r="AH104">
            <v>0</v>
          </cell>
          <cell r="AI104">
            <v>0</v>
          </cell>
          <cell r="AK104">
            <v>0</v>
          </cell>
          <cell r="AL104">
            <v>0</v>
          </cell>
          <cell r="AM104">
            <v>0</v>
          </cell>
          <cell r="AN104">
            <v>0</v>
          </cell>
          <cell r="AP104">
            <v>0</v>
          </cell>
          <cell r="AQ104">
            <v>0</v>
          </cell>
          <cell r="AR104">
            <v>0</v>
          </cell>
          <cell r="AS104">
            <v>0</v>
          </cell>
          <cell r="AU104">
            <v>0</v>
          </cell>
          <cell r="AV104">
            <v>0</v>
          </cell>
          <cell r="AW104">
            <v>0</v>
          </cell>
          <cell r="AX104">
            <v>0</v>
          </cell>
          <cell r="AZ104">
            <v>0</v>
          </cell>
          <cell r="BA104">
            <v>0</v>
          </cell>
          <cell r="BB104">
            <v>0</v>
          </cell>
          <cell r="BC104">
            <v>0</v>
          </cell>
          <cell r="BE104">
            <v>0</v>
          </cell>
          <cell r="BF104">
            <v>0</v>
          </cell>
          <cell r="BG104">
            <v>0</v>
          </cell>
          <cell r="BH104">
            <v>0</v>
          </cell>
        </row>
        <row r="105">
          <cell r="A105" t="str">
            <v>1Q02</v>
          </cell>
          <cell r="Q105">
            <v>0</v>
          </cell>
          <cell r="R105">
            <v>0</v>
          </cell>
          <cell r="S105">
            <v>0</v>
          </cell>
          <cell r="T105">
            <v>0</v>
          </cell>
          <cell r="V105">
            <v>0</v>
          </cell>
          <cell r="W105">
            <v>0</v>
          </cell>
          <cell r="X105">
            <v>0</v>
          </cell>
          <cell r="Y105">
            <v>0</v>
          </cell>
          <cell r="AA105">
            <v>0</v>
          </cell>
          <cell r="AB105">
            <v>0</v>
          </cell>
          <cell r="AC105">
            <v>0</v>
          </cell>
          <cell r="AD105">
            <v>0</v>
          </cell>
          <cell r="AF105">
            <v>0</v>
          </cell>
          <cell r="AG105">
            <v>0</v>
          </cell>
          <cell r="AH105">
            <v>0</v>
          </cell>
          <cell r="AI105">
            <v>0</v>
          </cell>
          <cell r="AK105">
            <v>0</v>
          </cell>
          <cell r="AL105">
            <v>0</v>
          </cell>
          <cell r="AM105">
            <v>0</v>
          </cell>
          <cell r="AN105">
            <v>0</v>
          </cell>
          <cell r="AP105">
            <v>0</v>
          </cell>
          <cell r="AQ105">
            <v>0</v>
          </cell>
          <cell r="AR105">
            <v>0</v>
          </cell>
          <cell r="AS105">
            <v>0</v>
          </cell>
          <cell r="AU105">
            <v>0</v>
          </cell>
          <cell r="AV105">
            <v>0</v>
          </cell>
          <cell r="AW105">
            <v>0</v>
          </cell>
          <cell r="AX105">
            <v>0</v>
          </cell>
          <cell r="AZ105">
            <v>0</v>
          </cell>
          <cell r="BA105">
            <v>0</v>
          </cell>
          <cell r="BB105">
            <v>0</v>
          </cell>
          <cell r="BC105">
            <v>0</v>
          </cell>
          <cell r="BE105">
            <v>0</v>
          </cell>
          <cell r="BF105">
            <v>0</v>
          </cell>
          <cell r="BG105">
            <v>0</v>
          </cell>
          <cell r="BH105">
            <v>0</v>
          </cell>
        </row>
        <row r="106">
          <cell r="A106" t="str">
            <v>2Q02</v>
          </cell>
          <cell r="R106">
            <v>0</v>
          </cell>
          <cell r="S106">
            <v>0</v>
          </cell>
          <cell r="T106">
            <v>0</v>
          </cell>
          <cell r="V106">
            <v>0</v>
          </cell>
          <cell r="W106">
            <v>0</v>
          </cell>
          <cell r="X106">
            <v>0</v>
          </cell>
          <cell r="Y106">
            <v>0</v>
          </cell>
          <cell r="AA106">
            <v>0</v>
          </cell>
          <cell r="AB106">
            <v>0</v>
          </cell>
          <cell r="AC106">
            <v>0</v>
          </cell>
          <cell r="AD106">
            <v>0</v>
          </cell>
          <cell r="AF106">
            <v>0</v>
          </cell>
          <cell r="AG106">
            <v>0</v>
          </cell>
          <cell r="AH106">
            <v>0</v>
          </cell>
          <cell r="AI106">
            <v>0</v>
          </cell>
          <cell r="AK106">
            <v>0</v>
          </cell>
          <cell r="AL106">
            <v>0</v>
          </cell>
          <cell r="AM106">
            <v>0</v>
          </cell>
          <cell r="AN106">
            <v>0</v>
          </cell>
          <cell r="AP106">
            <v>0</v>
          </cell>
          <cell r="AQ106">
            <v>0</v>
          </cell>
          <cell r="AR106">
            <v>0</v>
          </cell>
          <cell r="AS106">
            <v>0</v>
          </cell>
          <cell r="AU106">
            <v>0</v>
          </cell>
          <cell r="AV106">
            <v>0</v>
          </cell>
          <cell r="AW106">
            <v>0</v>
          </cell>
          <cell r="AX106">
            <v>0</v>
          </cell>
          <cell r="AZ106">
            <v>0</v>
          </cell>
          <cell r="BA106">
            <v>0</v>
          </cell>
          <cell r="BB106">
            <v>0</v>
          </cell>
          <cell r="BC106">
            <v>0</v>
          </cell>
          <cell r="BE106">
            <v>0</v>
          </cell>
          <cell r="BF106">
            <v>0</v>
          </cell>
          <cell r="BG106">
            <v>0</v>
          </cell>
          <cell r="BH106">
            <v>0</v>
          </cell>
        </row>
        <row r="107">
          <cell r="A107" t="str">
            <v>3Q02</v>
          </cell>
          <cell r="S107">
            <v>0</v>
          </cell>
          <cell r="T107">
            <v>0</v>
          </cell>
          <cell r="V107">
            <v>0</v>
          </cell>
          <cell r="W107">
            <v>0</v>
          </cell>
          <cell r="X107">
            <v>0</v>
          </cell>
          <cell r="Y107">
            <v>0</v>
          </cell>
          <cell r="AA107">
            <v>0</v>
          </cell>
          <cell r="AB107">
            <v>0</v>
          </cell>
          <cell r="AC107">
            <v>0</v>
          </cell>
          <cell r="AD107">
            <v>0</v>
          </cell>
          <cell r="AF107">
            <v>0</v>
          </cell>
          <cell r="AG107">
            <v>0</v>
          </cell>
          <cell r="AH107">
            <v>0</v>
          </cell>
          <cell r="AI107">
            <v>0</v>
          </cell>
          <cell r="AK107">
            <v>0</v>
          </cell>
          <cell r="AL107">
            <v>0</v>
          </cell>
          <cell r="AM107">
            <v>0</v>
          </cell>
          <cell r="AN107">
            <v>0</v>
          </cell>
          <cell r="AP107">
            <v>0</v>
          </cell>
          <cell r="AQ107">
            <v>0</v>
          </cell>
          <cell r="AR107">
            <v>0</v>
          </cell>
          <cell r="AS107">
            <v>0</v>
          </cell>
          <cell r="AU107">
            <v>0</v>
          </cell>
          <cell r="AV107">
            <v>0</v>
          </cell>
          <cell r="AW107">
            <v>0</v>
          </cell>
          <cell r="AX107">
            <v>0</v>
          </cell>
          <cell r="AZ107">
            <v>0</v>
          </cell>
          <cell r="BA107">
            <v>0</v>
          </cell>
          <cell r="BB107">
            <v>0</v>
          </cell>
          <cell r="BC107">
            <v>0</v>
          </cell>
          <cell r="BE107">
            <v>0</v>
          </cell>
          <cell r="BF107">
            <v>0</v>
          </cell>
          <cell r="BG107">
            <v>0</v>
          </cell>
          <cell r="BH107">
            <v>0</v>
          </cell>
        </row>
        <row r="108">
          <cell r="A108" t="str">
            <v>4Q02</v>
          </cell>
          <cell r="T108">
            <v>0</v>
          </cell>
          <cell r="V108">
            <v>0</v>
          </cell>
          <cell r="W108">
            <v>0</v>
          </cell>
          <cell r="X108">
            <v>0</v>
          </cell>
          <cell r="Y108">
            <v>0</v>
          </cell>
          <cell r="AA108">
            <v>0</v>
          </cell>
          <cell r="AB108">
            <v>0</v>
          </cell>
          <cell r="AC108">
            <v>0</v>
          </cell>
          <cell r="AD108">
            <v>0</v>
          </cell>
          <cell r="AF108">
            <v>0</v>
          </cell>
          <cell r="AG108">
            <v>0</v>
          </cell>
          <cell r="AH108">
            <v>0</v>
          </cell>
          <cell r="AI108">
            <v>0</v>
          </cell>
          <cell r="AK108">
            <v>0</v>
          </cell>
          <cell r="AL108">
            <v>0</v>
          </cell>
          <cell r="AM108">
            <v>0</v>
          </cell>
          <cell r="AN108">
            <v>0</v>
          </cell>
          <cell r="AP108">
            <v>0</v>
          </cell>
          <cell r="AQ108">
            <v>0</v>
          </cell>
          <cell r="AR108">
            <v>0</v>
          </cell>
          <cell r="AS108">
            <v>0</v>
          </cell>
          <cell r="AU108">
            <v>0</v>
          </cell>
          <cell r="AV108">
            <v>0</v>
          </cell>
          <cell r="AW108">
            <v>0</v>
          </cell>
          <cell r="AX108">
            <v>0</v>
          </cell>
          <cell r="AZ108">
            <v>0</v>
          </cell>
          <cell r="BA108">
            <v>0</v>
          </cell>
          <cell r="BB108">
            <v>0</v>
          </cell>
          <cell r="BC108">
            <v>0</v>
          </cell>
          <cell r="BE108">
            <v>0</v>
          </cell>
          <cell r="BF108">
            <v>0</v>
          </cell>
          <cell r="BG108">
            <v>0</v>
          </cell>
          <cell r="BH108">
            <v>0</v>
          </cell>
        </row>
        <row r="109">
          <cell r="A109" t="str">
            <v>1Q03</v>
          </cell>
          <cell r="V109">
            <v>0</v>
          </cell>
          <cell r="W109">
            <v>0</v>
          </cell>
          <cell r="X109">
            <v>0</v>
          </cell>
          <cell r="Y109">
            <v>0</v>
          </cell>
          <cell r="AA109">
            <v>0</v>
          </cell>
          <cell r="AB109">
            <v>0</v>
          </cell>
          <cell r="AC109">
            <v>0</v>
          </cell>
          <cell r="AD109">
            <v>0</v>
          </cell>
          <cell r="AF109">
            <v>0</v>
          </cell>
          <cell r="AG109">
            <v>0</v>
          </cell>
          <cell r="AH109">
            <v>0</v>
          </cell>
          <cell r="AI109">
            <v>0</v>
          </cell>
          <cell r="AK109">
            <v>0</v>
          </cell>
          <cell r="AL109">
            <v>0</v>
          </cell>
          <cell r="AM109">
            <v>0</v>
          </cell>
          <cell r="AN109">
            <v>0</v>
          </cell>
          <cell r="AP109">
            <v>0</v>
          </cell>
          <cell r="AQ109">
            <v>0</v>
          </cell>
          <cell r="AR109">
            <v>0</v>
          </cell>
          <cell r="AS109">
            <v>0</v>
          </cell>
          <cell r="AU109">
            <v>0</v>
          </cell>
          <cell r="AV109">
            <v>0</v>
          </cell>
          <cell r="AW109">
            <v>0</v>
          </cell>
          <cell r="AX109">
            <v>0</v>
          </cell>
          <cell r="AZ109">
            <v>0</v>
          </cell>
          <cell r="BA109">
            <v>0</v>
          </cell>
          <cell r="BB109">
            <v>0</v>
          </cell>
          <cell r="BC109">
            <v>0</v>
          </cell>
          <cell r="BE109">
            <v>0</v>
          </cell>
          <cell r="BF109">
            <v>0</v>
          </cell>
          <cell r="BG109">
            <v>0</v>
          </cell>
          <cell r="BH109">
            <v>0</v>
          </cell>
        </row>
        <row r="110">
          <cell r="A110" t="str">
            <v>2Q03</v>
          </cell>
          <cell r="W110">
            <v>0</v>
          </cell>
          <cell r="X110">
            <v>0</v>
          </cell>
          <cell r="Y110">
            <v>0</v>
          </cell>
          <cell r="AA110">
            <v>0</v>
          </cell>
          <cell r="AB110">
            <v>0</v>
          </cell>
          <cell r="AC110">
            <v>0</v>
          </cell>
          <cell r="AD110">
            <v>0</v>
          </cell>
          <cell r="AF110">
            <v>0</v>
          </cell>
          <cell r="AG110">
            <v>0</v>
          </cell>
          <cell r="AH110">
            <v>0</v>
          </cell>
          <cell r="AI110">
            <v>0</v>
          </cell>
          <cell r="AK110">
            <v>0</v>
          </cell>
          <cell r="AL110">
            <v>0</v>
          </cell>
          <cell r="AM110">
            <v>0</v>
          </cell>
          <cell r="AN110">
            <v>0</v>
          </cell>
          <cell r="AP110">
            <v>0</v>
          </cell>
          <cell r="AQ110">
            <v>0</v>
          </cell>
          <cell r="AR110">
            <v>0</v>
          </cell>
          <cell r="AS110">
            <v>0</v>
          </cell>
          <cell r="AU110">
            <v>0</v>
          </cell>
          <cell r="AV110">
            <v>0</v>
          </cell>
          <cell r="AW110">
            <v>0</v>
          </cell>
          <cell r="AX110">
            <v>0</v>
          </cell>
          <cell r="AZ110">
            <v>0</v>
          </cell>
          <cell r="BA110">
            <v>0</v>
          </cell>
          <cell r="BB110">
            <v>0</v>
          </cell>
          <cell r="BC110">
            <v>0</v>
          </cell>
          <cell r="BE110">
            <v>0</v>
          </cell>
          <cell r="BF110">
            <v>0</v>
          </cell>
          <cell r="BG110">
            <v>0</v>
          </cell>
          <cell r="BH110">
            <v>0</v>
          </cell>
        </row>
        <row r="111">
          <cell r="A111" t="str">
            <v>3Q03</v>
          </cell>
          <cell r="X111">
            <v>0</v>
          </cell>
          <cell r="Y111">
            <v>0</v>
          </cell>
          <cell r="AA111">
            <v>0</v>
          </cell>
          <cell r="AB111">
            <v>0</v>
          </cell>
          <cell r="AC111">
            <v>0</v>
          </cell>
          <cell r="AD111">
            <v>0</v>
          </cell>
          <cell r="AF111">
            <v>0</v>
          </cell>
          <cell r="AG111">
            <v>0</v>
          </cell>
          <cell r="AH111">
            <v>0</v>
          </cell>
          <cell r="AI111">
            <v>0</v>
          </cell>
          <cell r="AK111">
            <v>0</v>
          </cell>
          <cell r="AL111">
            <v>0</v>
          </cell>
          <cell r="AM111">
            <v>0</v>
          </cell>
          <cell r="AN111">
            <v>0</v>
          </cell>
          <cell r="AP111">
            <v>0</v>
          </cell>
          <cell r="AQ111">
            <v>0</v>
          </cell>
          <cell r="AR111">
            <v>0</v>
          </cell>
          <cell r="AS111">
            <v>0</v>
          </cell>
          <cell r="AU111">
            <v>0</v>
          </cell>
          <cell r="AV111">
            <v>0</v>
          </cell>
          <cell r="AW111">
            <v>0</v>
          </cell>
          <cell r="AX111">
            <v>0</v>
          </cell>
          <cell r="AZ111">
            <v>0</v>
          </cell>
          <cell r="BA111">
            <v>0</v>
          </cell>
          <cell r="BB111">
            <v>0</v>
          </cell>
          <cell r="BC111">
            <v>0</v>
          </cell>
          <cell r="BE111">
            <v>0</v>
          </cell>
          <cell r="BF111">
            <v>0</v>
          </cell>
          <cell r="BG111">
            <v>0</v>
          </cell>
          <cell r="BH111">
            <v>0</v>
          </cell>
        </row>
        <row r="112">
          <cell r="A112" t="str">
            <v>4Q03</v>
          </cell>
          <cell r="Y112">
            <v>0</v>
          </cell>
          <cell r="AA112">
            <v>0</v>
          </cell>
          <cell r="AB112">
            <v>0</v>
          </cell>
          <cell r="AC112">
            <v>0</v>
          </cell>
          <cell r="AD112">
            <v>0</v>
          </cell>
          <cell r="AF112">
            <v>0</v>
          </cell>
          <cell r="AG112">
            <v>0</v>
          </cell>
          <cell r="AH112">
            <v>0</v>
          </cell>
          <cell r="AI112">
            <v>0</v>
          </cell>
          <cell r="AK112">
            <v>0</v>
          </cell>
          <cell r="AL112">
            <v>0</v>
          </cell>
          <cell r="AM112">
            <v>0</v>
          </cell>
          <cell r="AN112">
            <v>0</v>
          </cell>
          <cell r="AP112">
            <v>0</v>
          </cell>
          <cell r="AQ112">
            <v>0</v>
          </cell>
          <cell r="AR112">
            <v>0</v>
          </cell>
          <cell r="AS112">
            <v>0</v>
          </cell>
          <cell r="AU112">
            <v>0</v>
          </cell>
          <cell r="AV112">
            <v>0</v>
          </cell>
          <cell r="AW112">
            <v>0</v>
          </cell>
          <cell r="AX112">
            <v>0</v>
          </cell>
          <cell r="AZ112">
            <v>0</v>
          </cell>
          <cell r="BA112">
            <v>0</v>
          </cell>
          <cell r="BB112">
            <v>0</v>
          </cell>
          <cell r="BC112">
            <v>0</v>
          </cell>
          <cell r="BE112">
            <v>0</v>
          </cell>
          <cell r="BF112">
            <v>0</v>
          </cell>
          <cell r="BG112">
            <v>0</v>
          </cell>
          <cell r="BH112">
            <v>0</v>
          </cell>
        </row>
        <row r="113">
          <cell r="A113" t="str">
            <v>1Q04</v>
          </cell>
          <cell r="AA113">
            <v>0</v>
          </cell>
          <cell r="AB113">
            <v>0</v>
          </cell>
          <cell r="AC113">
            <v>0</v>
          </cell>
          <cell r="AD113">
            <v>0</v>
          </cell>
          <cell r="AF113">
            <v>0</v>
          </cell>
          <cell r="AG113">
            <v>0</v>
          </cell>
          <cell r="AH113">
            <v>0</v>
          </cell>
          <cell r="AI113">
            <v>0</v>
          </cell>
          <cell r="AK113">
            <v>0</v>
          </cell>
          <cell r="AL113">
            <v>0</v>
          </cell>
          <cell r="AM113">
            <v>0</v>
          </cell>
          <cell r="AN113">
            <v>0</v>
          </cell>
          <cell r="AP113">
            <v>0</v>
          </cell>
          <cell r="AQ113">
            <v>0</v>
          </cell>
          <cell r="AR113">
            <v>0</v>
          </cell>
          <cell r="AS113">
            <v>0</v>
          </cell>
          <cell r="AU113">
            <v>0</v>
          </cell>
          <cell r="AV113">
            <v>0</v>
          </cell>
          <cell r="AW113">
            <v>0</v>
          </cell>
          <cell r="AX113">
            <v>0</v>
          </cell>
          <cell r="AZ113">
            <v>0</v>
          </cell>
          <cell r="BA113">
            <v>0</v>
          </cell>
          <cell r="BB113">
            <v>0</v>
          </cell>
          <cell r="BC113">
            <v>0</v>
          </cell>
          <cell r="BE113">
            <v>0</v>
          </cell>
          <cell r="BF113">
            <v>0</v>
          </cell>
          <cell r="BG113">
            <v>0</v>
          </cell>
          <cell r="BH113">
            <v>0</v>
          </cell>
        </row>
        <row r="114">
          <cell r="A114" t="str">
            <v>2Q04</v>
          </cell>
          <cell r="AB114">
            <v>0</v>
          </cell>
          <cell r="AC114">
            <v>0</v>
          </cell>
          <cell r="AD114">
            <v>0</v>
          </cell>
          <cell r="AF114">
            <v>0</v>
          </cell>
          <cell r="AG114">
            <v>0</v>
          </cell>
          <cell r="AH114">
            <v>0</v>
          </cell>
          <cell r="AI114">
            <v>0</v>
          </cell>
          <cell r="AK114">
            <v>0</v>
          </cell>
          <cell r="AL114">
            <v>0</v>
          </cell>
          <cell r="AM114">
            <v>0</v>
          </cell>
          <cell r="AN114">
            <v>0</v>
          </cell>
          <cell r="AP114">
            <v>0</v>
          </cell>
          <cell r="AQ114">
            <v>0</v>
          </cell>
          <cell r="AR114">
            <v>0</v>
          </cell>
          <cell r="AS114">
            <v>0</v>
          </cell>
          <cell r="AU114">
            <v>0</v>
          </cell>
          <cell r="AV114">
            <v>0</v>
          </cell>
          <cell r="AW114">
            <v>0</v>
          </cell>
          <cell r="AX114">
            <v>0</v>
          </cell>
          <cell r="AZ114">
            <v>0</v>
          </cell>
          <cell r="BA114">
            <v>0</v>
          </cell>
          <cell r="BB114">
            <v>0</v>
          </cell>
          <cell r="BC114">
            <v>0</v>
          </cell>
          <cell r="BE114">
            <v>0</v>
          </cell>
          <cell r="BF114">
            <v>0</v>
          </cell>
          <cell r="BG114">
            <v>0</v>
          </cell>
          <cell r="BH114">
            <v>0</v>
          </cell>
        </row>
        <row r="115">
          <cell r="A115" t="str">
            <v>3Q04</v>
          </cell>
          <cell r="AC115">
            <v>0</v>
          </cell>
          <cell r="AD115">
            <v>0</v>
          </cell>
          <cell r="AF115">
            <v>0</v>
          </cell>
          <cell r="AG115">
            <v>0</v>
          </cell>
          <cell r="AH115">
            <v>0</v>
          </cell>
          <cell r="AI115">
            <v>0</v>
          </cell>
          <cell r="AK115">
            <v>0</v>
          </cell>
          <cell r="AL115">
            <v>0</v>
          </cell>
          <cell r="AM115">
            <v>0</v>
          </cell>
          <cell r="AN115">
            <v>0</v>
          </cell>
          <cell r="AP115">
            <v>0</v>
          </cell>
          <cell r="AQ115">
            <v>0</v>
          </cell>
          <cell r="AR115">
            <v>0</v>
          </cell>
          <cell r="AS115">
            <v>0</v>
          </cell>
          <cell r="AU115">
            <v>0</v>
          </cell>
          <cell r="AV115">
            <v>0</v>
          </cell>
          <cell r="AW115">
            <v>0</v>
          </cell>
          <cell r="AX115">
            <v>0</v>
          </cell>
          <cell r="AZ115">
            <v>0</v>
          </cell>
          <cell r="BA115">
            <v>0</v>
          </cell>
          <cell r="BB115">
            <v>0</v>
          </cell>
          <cell r="BC115">
            <v>0</v>
          </cell>
          <cell r="BE115">
            <v>0</v>
          </cell>
          <cell r="BF115">
            <v>0</v>
          </cell>
          <cell r="BG115">
            <v>0</v>
          </cell>
          <cell r="BH115">
            <v>0</v>
          </cell>
        </row>
        <row r="116">
          <cell r="A116" t="str">
            <v>4Q04</v>
          </cell>
          <cell r="AD116">
            <v>0</v>
          </cell>
          <cell r="AF116">
            <v>0</v>
          </cell>
          <cell r="AG116">
            <v>0</v>
          </cell>
          <cell r="AH116">
            <v>0</v>
          </cell>
          <cell r="AI116">
            <v>0</v>
          </cell>
          <cell r="AK116">
            <v>0</v>
          </cell>
          <cell r="AL116">
            <v>0</v>
          </cell>
          <cell r="AM116">
            <v>0</v>
          </cell>
          <cell r="AN116">
            <v>0</v>
          </cell>
          <cell r="AP116">
            <v>0</v>
          </cell>
          <cell r="AQ116">
            <v>0</v>
          </cell>
          <cell r="AR116">
            <v>0</v>
          </cell>
          <cell r="AS116">
            <v>0</v>
          </cell>
          <cell r="AU116">
            <v>0</v>
          </cell>
          <cell r="AV116">
            <v>0</v>
          </cell>
          <cell r="AW116">
            <v>0</v>
          </cell>
          <cell r="AX116">
            <v>0</v>
          </cell>
          <cell r="AZ116">
            <v>0</v>
          </cell>
          <cell r="BA116">
            <v>0</v>
          </cell>
          <cell r="BB116">
            <v>0</v>
          </cell>
          <cell r="BC116">
            <v>0</v>
          </cell>
          <cell r="BE116">
            <v>0</v>
          </cell>
          <cell r="BF116">
            <v>0</v>
          </cell>
          <cell r="BG116">
            <v>0</v>
          </cell>
          <cell r="BH116">
            <v>0</v>
          </cell>
        </row>
        <row r="117">
          <cell r="A117" t="str">
            <v>1Q05</v>
          </cell>
          <cell r="AF117">
            <v>0</v>
          </cell>
          <cell r="AG117">
            <v>0</v>
          </cell>
          <cell r="AH117">
            <v>0</v>
          </cell>
          <cell r="AI117">
            <v>0</v>
          </cell>
          <cell r="AK117">
            <v>0</v>
          </cell>
          <cell r="AL117">
            <v>0</v>
          </cell>
          <cell r="AM117">
            <v>0</v>
          </cell>
          <cell r="AN117">
            <v>0</v>
          </cell>
          <cell r="AP117">
            <v>0</v>
          </cell>
          <cell r="AQ117">
            <v>0</v>
          </cell>
          <cell r="AR117">
            <v>0</v>
          </cell>
          <cell r="AS117">
            <v>0</v>
          </cell>
          <cell r="AU117">
            <v>0</v>
          </cell>
          <cell r="AV117">
            <v>0</v>
          </cell>
          <cell r="AW117">
            <v>0</v>
          </cell>
          <cell r="AX117">
            <v>0</v>
          </cell>
          <cell r="AZ117">
            <v>0</v>
          </cell>
          <cell r="BA117">
            <v>0</v>
          </cell>
          <cell r="BB117">
            <v>0</v>
          </cell>
          <cell r="BC117">
            <v>0</v>
          </cell>
          <cell r="BE117">
            <v>0</v>
          </cell>
          <cell r="BF117">
            <v>0</v>
          </cell>
          <cell r="BG117">
            <v>0</v>
          </cell>
          <cell r="BH117">
            <v>0</v>
          </cell>
        </row>
        <row r="118">
          <cell r="A118" t="str">
            <v>2Q05</v>
          </cell>
          <cell r="AG118">
            <v>0</v>
          </cell>
          <cell r="AH118">
            <v>0</v>
          </cell>
          <cell r="AI118">
            <v>0</v>
          </cell>
          <cell r="AK118">
            <v>0</v>
          </cell>
          <cell r="AL118">
            <v>0</v>
          </cell>
          <cell r="AM118">
            <v>0</v>
          </cell>
          <cell r="AN118">
            <v>0</v>
          </cell>
          <cell r="AP118">
            <v>0</v>
          </cell>
          <cell r="AQ118">
            <v>0</v>
          </cell>
          <cell r="AR118">
            <v>0</v>
          </cell>
          <cell r="AS118">
            <v>0</v>
          </cell>
          <cell r="AU118">
            <v>0</v>
          </cell>
          <cell r="AV118">
            <v>0</v>
          </cell>
          <cell r="AW118">
            <v>0</v>
          </cell>
          <cell r="AX118">
            <v>0</v>
          </cell>
          <cell r="AZ118">
            <v>0</v>
          </cell>
          <cell r="BA118">
            <v>0</v>
          </cell>
          <cell r="BB118">
            <v>0</v>
          </cell>
          <cell r="BC118">
            <v>0</v>
          </cell>
          <cell r="BE118">
            <v>0</v>
          </cell>
          <cell r="BF118">
            <v>0</v>
          </cell>
          <cell r="BG118">
            <v>0</v>
          </cell>
          <cell r="BH118">
            <v>0</v>
          </cell>
        </row>
        <row r="119">
          <cell r="A119" t="str">
            <v>3Q05</v>
          </cell>
          <cell r="AH119">
            <v>0</v>
          </cell>
          <cell r="AI119">
            <v>0</v>
          </cell>
          <cell r="AK119">
            <v>0</v>
          </cell>
          <cell r="AL119">
            <v>0</v>
          </cell>
          <cell r="AM119">
            <v>0</v>
          </cell>
          <cell r="AN119">
            <v>0</v>
          </cell>
          <cell r="AP119">
            <v>0</v>
          </cell>
          <cell r="AQ119">
            <v>0</v>
          </cell>
          <cell r="AR119">
            <v>0</v>
          </cell>
          <cell r="AS119">
            <v>0</v>
          </cell>
          <cell r="AU119">
            <v>0</v>
          </cell>
          <cell r="AV119">
            <v>0</v>
          </cell>
          <cell r="AW119">
            <v>0</v>
          </cell>
          <cell r="AX119">
            <v>0</v>
          </cell>
          <cell r="AZ119">
            <v>0</v>
          </cell>
          <cell r="BA119">
            <v>0</v>
          </cell>
          <cell r="BB119">
            <v>0</v>
          </cell>
          <cell r="BC119">
            <v>0</v>
          </cell>
          <cell r="BE119">
            <v>0</v>
          </cell>
          <cell r="BF119">
            <v>0</v>
          </cell>
          <cell r="BG119">
            <v>0</v>
          </cell>
          <cell r="BH119">
            <v>0</v>
          </cell>
        </row>
        <row r="120">
          <cell r="A120" t="str">
            <v>4Q05</v>
          </cell>
          <cell r="AI120">
            <v>0</v>
          </cell>
          <cell r="AK120">
            <v>0</v>
          </cell>
          <cell r="AL120">
            <v>0</v>
          </cell>
          <cell r="AM120">
            <v>0</v>
          </cell>
          <cell r="AN120">
            <v>0</v>
          </cell>
          <cell r="AP120">
            <v>0</v>
          </cell>
          <cell r="AQ120">
            <v>0</v>
          </cell>
          <cell r="AR120">
            <v>0</v>
          </cell>
          <cell r="AS120">
            <v>0</v>
          </cell>
          <cell r="AU120">
            <v>0</v>
          </cell>
          <cell r="AV120">
            <v>0</v>
          </cell>
          <cell r="AW120">
            <v>0</v>
          </cell>
          <cell r="AX120">
            <v>0</v>
          </cell>
          <cell r="AZ120">
            <v>0</v>
          </cell>
          <cell r="BA120">
            <v>0</v>
          </cell>
          <cell r="BB120">
            <v>0</v>
          </cell>
          <cell r="BC120">
            <v>0</v>
          </cell>
          <cell r="BE120">
            <v>0</v>
          </cell>
          <cell r="BF120">
            <v>0</v>
          </cell>
          <cell r="BG120">
            <v>0</v>
          </cell>
          <cell r="BH120">
            <v>0</v>
          </cell>
        </row>
        <row r="121">
          <cell r="A121" t="str">
            <v>1Q06</v>
          </cell>
          <cell r="AK121">
            <v>0</v>
          </cell>
          <cell r="AL121">
            <v>0</v>
          </cell>
          <cell r="AM121">
            <v>0</v>
          </cell>
          <cell r="AN121">
            <v>0</v>
          </cell>
          <cell r="AP121">
            <v>0</v>
          </cell>
          <cell r="AQ121">
            <v>0</v>
          </cell>
          <cell r="AR121">
            <v>0</v>
          </cell>
          <cell r="AS121">
            <v>0</v>
          </cell>
          <cell r="AU121">
            <v>0</v>
          </cell>
          <cell r="AV121">
            <v>0</v>
          </cell>
          <cell r="AW121">
            <v>0</v>
          </cell>
          <cell r="AX121">
            <v>0</v>
          </cell>
          <cell r="AZ121">
            <v>0</v>
          </cell>
          <cell r="BA121">
            <v>0</v>
          </cell>
          <cell r="BB121">
            <v>0</v>
          </cell>
          <cell r="BC121">
            <v>0</v>
          </cell>
          <cell r="BE121">
            <v>0</v>
          </cell>
          <cell r="BF121">
            <v>0</v>
          </cell>
          <cell r="BG121">
            <v>0</v>
          </cell>
          <cell r="BH121">
            <v>0</v>
          </cell>
        </row>
        <row r="122">
          <cell r="A122" t="str">
            <v>2Q06</v>
          </cell>
          <cell r="AL122">
            <v>0</v>
          </cell>
          <cell r="AM122">
            <v>0</v>
          </cell>
          <cell r="AN122">
            <v>0</v>
          </cell>
          <cell r="AP122">
            <v>0</v>
          </cell>
          <cell r="AQ122">
            <v>0</v>
          </cell>
          <cell r="AR122">
            <v>0</v>
          </cell>
          <cell r="AS122">
            <v>0</v>
          </cell>
          <cell r="AU122">
            <v>0</v>
          </cell>
          <cell r="AV122">
            <v>0</v>
          </cell>
          <cell r="AW122">
            <v>0</v>
          </cell>
          <cell r="AX122">
            <v>0</v>
          </cell>
          <cell r="AZ122">
            <v>0</v>
          </cell>
          <cell r="BA122">
            <v>0</v>
          </cell>
          <cell r="BB122">
            <v>0</v>
          </cell>
          <cell r="BC122">
            <v>0</v>
          </cell>
          <cell r="BE122">
            <v>0</v>
          </cell>
          <cell r="BF122">
            <v>0</v>
          </cell>
          <cell r="BG122">
            <v>0</v>
          </cell>
          <cell r="BH122">
            <v>0</v>
          </cell>
        </row>
        <row r="123">
          <cell r="A123" t="str">
            <v>3Q06</v>
          </cell>
          <cell r="AM123">
            <v>0</v>
          </cell>
          <cell r="AN123">
            <v>0</v>
          </cell>
          <cell r="AP123">
            <v>0</v>
          </cell>
          <cell r="AQ123">
            <v>0</v>
          </cell>
          <cell r="AR123">
            <v>0</v>
          </cell>
          <cell r="AS123">
            <v>0</v>
          </cell>
          <cell r="AU123">
            <v>0</v>
          </cell>
          <cell r="AV123">
            <v>0</v>
          </cell>
          <cell r="AW123">
            <v>0</v>
          </cell>
          <cell r="AX123">
            <v>0</v>
          </cell>
          <cell r="AZ123">
            <v>0</v>
          </cell>
          <cell r="BA123">
            <v>0</v>
          </cell>
          <cell r="BB123">
            <v>0</v>
          </cell>
          <cell r="BC123">
            <v>0</v>
          </cell>
          <cell r="BE123">
            <v>0</v>
          </cell>
          <cell r="BF123">
            <v>0</v>
          </cell>
          <cell r="BG123">
            <v>0</v>
          </cell>
          <cell r="BH123">
            <v>0</v>
          </cell>
        </row>
        <row r="124">
          <cell r="A124" t="str">
            <v>4Q06</v>
          </cell>
          <cell r="AN124">
            <v>0</v>
          </cell>
          <cell r="AP124">
            <v>0</v>
          </cell>
          <cell r="AQ124">
            <v>0</v>
          </cell>
          <cell r="AR124">
            <v>0</v>
          </cell>
          <cell r="AS124">
            <v>0</v>
          </cell>
          <cell r="AU124">
            <v>0</v>
          </cell>
          <cell r="AV124">
            <v>0</v>
          </cell>
          <cell r="AW124">
            <v>0</v>
          </cell>
          <cell r="AX124">
            <v>0</v>
          </cell>
          <cell r="AZ124">
            <v>0</v>
          </cell>
          <cell r="BA124">
            <v>0</v>
          </cell>
          <cell r="BB124">
            <v>0</v>
          </cell>
          <cell r="BC124">
            <v>0</v>
          </cell>
          <cell r="BE124">
            <v>0</v>
          </cell>
          <cell r="BF124">
            <v>0</v>
          </cell>
          <cell r="BG124">
            <v>0</v>
          </cell>
          <cell r="BH124">
            <v>0</v>
          </cell>
        </row>
        <row r="125">
          <cell r="A125" t="str">
            <v>1Q07</v>
          </cell>
          <cell r="AP125">
            <v>0</v>
          </cell>
          <cell r="AQ125">
            <v>0</v>
          </cell>
          <cell r="AR125">
            <v>0</v>
          </cell>
          <cell r="AS125">
            <v>0</v>
          </cell>
          <cell r="AU125">
            <v>0</v>
          </cell>
          <cell r="AV125">
            <v>0</v>
          </cell>
          <cell r="AW125">
            <v>0</v>
          </cell>
          <cell r="AX125">
            <v>0</v>
          </cell>
          <cell r="AZ125">
            <v>0</v>
          </cell>
          <cell r="BA125">
            <v>0</v>
          </cell>
          <cell r="BB125">
            <v>0</v>
          </cell>
          <cell r="BC125">
            <v>0</v>
          </cell>
          <cell r="BE125">
            <v>0</v>
          </cell>
          <cell r="BF125">
            <v>0</v>
          </cell>
          <cell r="BG125">
            <v>0</v>
          </cell>
          <cell r="BH125">
            <v>0</v>
          </cell>
        </row>
        <row r="126">
          <cell r="A126" t="str">
            <v>2Q07</v>
          </cell>
          <cell r="AQ126">
            <v>0</v>
          </cell>
          <cell r="AR126">
            <v>0</v>
          </cell>
          <cell r="AS126">
            <v>0</v>
          </cell>
          <cell r="AU126">
            <v>0</v>
          </cell>
          <cell r="AV126">
            <v>0</v>
          </cell>
          <cell r="AW126">
            <v>0</v>
          </cell>
          <cell r="AX126">
            <v>0</v>
          </cell>
          <cell r="AZ126">
            <v>0</v>
          </cell>
          <cell r="BA126">
            <v>0</v>
          </cell>
          <cell r="BB126">
            <v>0</v>
          </cell>
          <cell r="BC126">
            <v>0</v>
          </cell>
          <cell r="BE126">
            <v>0</v>
          </cell>
          <cell r="BF126">
            <v>0</v>
          </cell>
          <cell r="BG126">
            <v>0</v>
          </cell>
          <cell r="BH126">
            <v>0</v>
          </cell>
        </row>
        <row r="127">
          <cell r="A127" t="str">
            <v>3Q07</v>
          </cell>
          <cell r="AR127">
            <v>0</v>
          </cell>
          <cell r="AS127">
            <v>0</v>
          </cell>
          <cell r="AU127">
            <v>0</v>
          </cell>
          <cell r="AV127">
            <v>0</v>
          </cell>
          <cell r="AW127">
            <v>0</v>
          </cell>
          <cell r="AX127">
            <v>0</v>
          </cell>
          <cell r="AZ127">
            <v>0</v>
          </cell>
          <cell r="BA127">
            <v>0</v>
          </cell>
          <cell r="BB127">
            <v>0</v>
          </cell>
          <cell r="BC127">
            <v>0</v>
          </cell>
          <cell r="BE127">
            <v>0</v>
          </cell>
          <cell r="BF127">
            <v>0</v>
          </cell>
          <cell r="BG127">
            <v>0</v>
          </cell>
          <cell r="BH127">
            <v>0</v>
          </cell>
        </row>
        <row r="128">
          <cell r="A128" t="str">
            <v>4Q07</v>
          </cell>
          <cell r="AS128">
            <v>0</v>
          </cell>
          <cell r="AU128">
            <v>4013.9833499999995</v>
          </cell>
          <cell r="AV128">
            <v>4024.0183083749994</v>
          </cell>
          <cell r="AW128">
            <v>4034.0783541459368</v>
          </cell>
          <cell r="AX128">
            <v>4044.1635500313014</v>
          </cell>
          <cell r="AZ128">
            <v>4054.2739589063794</v>
          </cell>
          <cell r="BA128">
            <v>4064.4096438036454</v>
          </cell>
          <cell r="BB128">
            <v>4074.5706679131545</v>
          </cell>
          <cell r="BC128">
            <v>4084.757094582937</v>
          </cell>
          <cell r="BE128">
            <v>4094.9689873193943</v>
          </cell>
          <cell r="BF128">
            <v>4105.2064097876928</v>
          </cell>
          <cell r="BG128">
            <v>4115.4694258121617</v>
          </cell>
          <cell r="BH128">
            <v>4125.7580993766915</v>
          </cell>
        </row>
        <row r="129">
          <cell r="A129" t="str">
            <v>1Q08</v>
          </cell>
          <cell r="AU129">
            <v>1071.4396875</v>
          </cell>
          <cell r="AV129">
            <v>2142.879375</v>
          </cell>
          <cell r="AW129">
            <v>2148.2365734374998</v>
          </cell>
          <cell r="AX129">
            <v>2153.6071648710936</v>
          </cell>
          <cell r="AZ129">
            <v>2158.9911827832711</v>
          </cell>
          <cell r="BA129">
            <v>2164.3886607402292</v>
          </cell>
          <cell r="BB129">
            <v>2169.7996323920797</v>
          </cell>
          <cell r="BC129">
            <v>2175.22413147306</v>
          </cell>
          <cell r="BE129">
            <v>2180.6621918017427</v>
          </cell>
          <cell r="BF129">
            <v>2186.1138472812468</v>
          </cell>
          <cell r="BG129">
            <v>2191.5791318994497</v>
          </cell>
          <cell r="BH129">
            <v>2197.0580797291982</v>
          </cell>
        </row>
        <row r="130">
          <cell r="A130" t="str">
            <v>2Q08</v>
          </cell>
          <cell r="AV130">
            <v>1047.8365624999999</v>
          </cell>
          <cell r="AW130">
            <v>2095.6731249999998</v>
          </cell>
          <cell r="AX130">
            <v>2100.9123078124999</v>
          </cell>
          <cell r="AZ130">
            <v>2106.1645885820312</v>
          </cell>
          <cell r="BA130">
            <v>2111.4300000534863</v>
          </cell>
          <cell r="BB130">
            <v>2116.7085750536198</v>
          </cell>
          <cell r="BC130">
            <v>2122.0003464912538</v>
          </cell>
          <cell r="BE130">
            <v>2127.3053473574819</v>
          </cell>
          <cell r="BF130">
            <v>2132.6236107258756</v>
          </cell>
          <cell r="BG130">
            <v>2137.9551697526899</v>
          </cell>
          <cell r="BH130">
            <v>2143.3000576770714</v>
          </cell>
        </row>
        <row r="131">
          <cell r="A131" t="str">
            <v>3Q08</v>
          </cell>
          <cell r="AW131">
            <v>332.60272499999996</v>
          </cell>
          <cell r="AX131">
            <v>665.20544999999993</v>
          </cell>
          <cell r="AZ131">
            <v>666.86846362499989</v>
          </cell>
          <cell r="BA131">
            <v>668.53563478406238</v>
          </cell>
          <cell r="BB131">
            <v>670.20697387102246</v>
          </cell>
          <cell r="BC131">
            <v>671.8824913057</v>
          </cell>
          <cell r="BE131">
            <v>673.56219753396419</v>
          </cell>
          <cell r="BF131">
            <v>675.24610302779911</v>
          </cell>
          <cell r="BG131">
            <v>676.93421828536862</v>
          </cell>
          <cell r="BH131">
            <v>678.62655383108199</v>
          </cell>
        </row>
        <row r="132">
          <cell r="A132" t="str">
            <v>4Q08</v>
          </cell>
          <cell r="AX132">
            <v>746.00662499999999</v>
          </cell>
          <cell r="AZ132">
            <v>1492.01325</v>
          </cell>
          <cell r="BA132">
            <v>1495.7432831249998</v>
          </cell>
          <cell r="BB132">
            <v>1499.4826413328124</v>
          </cell>
          <cell r="BC132">
            <v>1503.2313479361444</v>
          </cell>
          <cell r="BE132">
            <v>1506.9894263059846</v>
          </cell>
          <cell r="BF132">
            <v>1510.7568998717495</v>
          </cell>
          <cell r="BG132">
            <v>1514.5337921214289</v>
          </cell>
          <cell r="BH132">
            <v>1518.3201266017325</v>
          </cell>
        </row>
        <row r="133">
          <cell r="A133" t="str">
            <v>1Q2009</v>
          </cell>
          <cell r="AZ133">
            <v>450</v>
          </cell>
          <cell r="BA133">
            <v>900</v>
          </cell>
          <cell r="BB133">
            <v>902.25</v>
          </cell>
          <cell r="BC133">
            <v>904.5056249999999</v>
          </cell>
          <cell r="BE133">
            <v>906.7668890624999</v>
          </cell>
          <cell r="BF133">
            <v>909.03380628515606</v>
          </cell>
          <cell r="BG133">
            <v>911.30639080086894</v>
          </cell>
          <cell r="BH133">
            <v>913.58465677787103</v>
          </cell>
        </row>
        <row r="134">
          <cell r="A134" t="str">
            <v>2Q2009</v>
          </cell>
          <cell r="BA134">
            <v>1687.5</v>
          </cell>
          <cell r="BB134">
            <v>3375</v>
          </cell>
          <cell r="BC134">
            <v>3383.4375</v>
          </cell>
          <cell r="BE134">
            <v>3391.8960937499996</v>
          </cell>
          <cell r="BF134">
            <v>3400.3758339843744</v>
          </cell>
          <cell r="BG134">
            <v>3408.876773569335</v>
          </cell>
          <cell r="BH134">
            <v>3417.3989655032583</v>
          </cell>
        </row>
        <row r="135">
          <cell r="A135" t="str">
            <v>3Q2009</v>
          </cell>
          <cell r="BB135">
            <v>1687.5</v>
          </cell>
          <cell r="BC135">
            <v>3375</v>
          </cell>
          <cell r="BE135">
            <v>3383.4375</v>
          </cell>
          <cell r="BF135">
            <v>3391.8960937499996</v>
          </cell>
          <cell r="BG135">
            <v>3400.3758339843744</v>
          </cell>
          <cell r="BH135">
            <v>3408.876773569335</v>
          </cell>
        </row>
        <row r="136">
          <cell r="A136" t="str">
            <v>4Q2009</v>
          </cell>
          <cell r="BC136">
            <v>562.5</v>
          </cell>
          <cell r="BE136">
            <v>1125</v>
          </cell>
          <cell r="BF136">
            <v>1127.8125</v>
          </cell>
          <cell r="BG136">
            <v>1130.63203125</v>
          </cell>
          <cell r="BH136">
            <v>1133.4586113281248</v>
          </cell>
        </row>
        <row r="137">
          <cell r="A137" t="str">
            <v>1Q2010</v>
          </cell>
          <cell r="BE137">
            <v>1093.75</v>
          </cell>
          <cell r="BF137">
            <v>2187.5</v>
          </cell>
          <cell r="BG137">
            <v>2192.96875</v>
          </cell>
          <cell r="BH137">
            <v>2198.451171875</v>
          </cell>
        </row>
        <row r="138">
          <cell r="A138" t="str">
            <v>2Q2010</v>
          </cell>
          <cell r="BF138">
            <v>1093.75</v>
          </cell>
          <cell r="BG138">
            <v>2187.5</v>
          </cell>
          <cell r="BH138">
            <v>2192.96875</v>
          </cell>
        </row>
        <row r="139">
          <cell r="A139" t="str">
            <v>3Q2010</v>
          </cell>
          <cell r="BG139">
            <v>1093.75</v>
          </cell>
          <cell r="BH139">
            <v>2187.5</v>
          </cell>
        </row>
        <row r="140">
          <cell r="A140" t="str">
            <v>4Q2010</v>
          </cell>
          <cell r="BH140">
            <v>1093.75</v>
          </cell>
        </row>
        <row r="145">
          <cell r="A145" t="str">
            <v xml:space="preserve">   Total</v>
          </cell>
          <cell r="B145">
            <v>0</v>
          </cell>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5085.4230374999997</v>
          </cell>
          <cell r="AV145">
            <v>7214.734245874999</v>
          </cell>
          <cell r="AW145">
            <v>8610.5907775834366</v>
          </cell>
          <cell r="AX145">
            <v>9709.8950977148943</v>
          </cell>
          <cell r="AY145">
            <v>30620.643158673331</v>
          </cell>
          <cell r="AZ145">
            <v>10928.311443896682</v>
          </cell>
          <cell r="BA145">
            <v>13092.007222506421</v>
          </cell>
          <cell r="BB145">
            <v>16495.518490562688</v>
          </cell>
          <cell r="BC145">
            <v>18782.538536789092</v>
          </cell>
          <cell r="BD145">
            <v>59298.375693754882</v>
          </cell>
          <cell r="BE145">
            <v>20484.338633131068</v>
          </cell>
          <cell r="BF145">
            <v>22720.315104713889</v>
          </cell>
          <cell r="BG145">
            <v>24961.881517475678</v>
          </cell>
          <cell r="BH145">
            <v>27209.051846269369</v>
          </cell>
          <cell r="BI145">
            <v>95375.587101590005</v>
          </cell>
        </row>
      </sheetData>
      <sheetData sheetId="17" refreshError="1"/>
      <sheetData sheetId="18" refreshError="1">
        <row r="1">
          <cell r="A1" t="str">
            <v>Liberty Property Trust (LRY)</v>
          </cell>
          <cell r="H1" t="str">
            <v>Gregory Whyte</v>
          </cell>
        </row>
        <row r="2">
          <cell r="A2" t="str">
            <v>3Q05 Earnings Variance Analysis Worksheet</v>
          </cell>
          <cell r="H2" t="str">
            <v>Morgan Stanley REIT Research Team</v>
          </cell>
        </row>
        <row r="3">
          <cell r="A3" t="str">
            <v>($ in Thousands, Except per Share Amounts)</v>
          </cell>
          <cell r="H3" t="str">
            <v>(212) 761-6331   Gregory.Whtye@morganstanley.com</v>
          </cell>
        </row>
        <row r="5">
          <cell r="B5">
            <v>43</v>
          </cell>
          <cell r="C5">
            <v>43</v>
          </cell>
          <cell r="G5">
            <v>38</v>
          </cell>
          <cell r="H5">
            <v>42</v>
          </cell>
        </row>
        <row r="7">
          <cell r="B7" t="str">
            <v>MS</v>
          </cell>
          <cell r="C7" t="str">
            <v>Reported</v>
          </cell>
          <cell r="E7" t="str">
            <v>Per Share</v>
          </cell>
        </row>
        <row r="8">
          <cell r="A8" t="str">
            <v>Year Ends December 31</v>
          </cell>
          <cell r="B8" t="str">
            <v>3Q05E</v>
          </cell>
          <cell r="C8" t="str">
            <v>3Q05A</v>
          </cell>
          <cell r="D8" t="str">
            <v>Variance</v>
          </cell>
          <cell r="E8" t="str">
            <v>Impact</v>
          </cell>
          <cell r="F8" t="str">
            <v>Comments</v>
          </cell>
          <cell r="G8" t="str">
            <v>3Q04A</v>
          </cell>
          <cell r="H8" t="str">
            <v>2Q05A</v>
          </cell>
        </row>
        <row r="9">
          <cell r="A9" t="str">
            <v>Revenue</v>
          </cell>
        </row>
        <row r="10">
          <cell r="A10" t="str">
            <v>Rental</v>
          </cell>
          <cell r="B10">
            <v>119945.74499999998</v>
          </cell>
          <cell r="C10">
            <v>120808</v>
          </cell>
          <cell r="D10">
            <v>862.25500000001921</v>
          </cell>
          <cell r="E10">
            <v>9.3277260926008139E-3</v>
          </cell>
          <cell r="G10">
            <v>117519</v>
          </cell>
          <cell r="H10">
            <v>129749</v>
          </cell>
        </row>
        <row r="11">
          <cell r="A11" t="str">
            <v>Operating Expense Reimbursement</v>
          </cell>
          <cell r="B11">
            <v>47923.461695983191</v>
          </cell>
          <cell r="C11">
            <v>51646</v>
          </cell>
          <cell r="D11">
            <v>3722.538304016809</v>
          </cell>
          <cell r="E11">
            <v>4.0269778277983656E-2</v>
          </cell>
          <cell r="G11">
            <v>47748</v>
          </cell>
          <cell r="H11">
            <v>48522</v>
          </cell>
        </row>
        <row r="12">
          <cell r="A12" t="str">
            <v>Total Revenue</v>
          </cell>
          <cell r="B12">
            <v>167869.20669598319</v>
          </cell>
          <cell r="C12">
            <v>172454</v>
          </cell>
          <cell r="D12">
            <v>4584.7933040168136</v>
          </cell>
          <cell r="E12">
            <v>4.9597504370584307E-2</v>
          </cell>
          <cell r="G12">
            <v>165267</v>
          </cell>
          <cell r="H12">
            <v>178271</v>
          </cell>
        </row>
        <row r="14">
          <cell r="A14" t="str">
            <v>Expenses</v>
          </cell>
        </row>
        <row r="15">
          <cell r="A15" t="str">
            <v>Rental Property Expenses</v>
          </cell>
          <cell r="B15">
            <v>34652.081693130465</v>
          </cell>
          <cell r="C15">
            <v>38076</v>
          </cell>
          <cell r="D15">
            <v>-3423.9183068695347</v>
          </cell>
          <cell r="E15">
            <v>-3.7039358577126077E-2</v>
          </cell>
          <cell r="G15">
            <v>33951</v>
          </cell>
          <cell r="H15">
            <v>35056</v>
          </cell>
        </row>
        <row r="16">
          <cell r="A16" t="str">
            <v>Real Estate Taxes</v>
          </cell>
          <cell r="B16">
            <v>16792.404299999998</v>
          </cell>
          <cell r="C16">
            <v>17897</v>
          </cell>
          <cell r="D16">
            <v>-1104.5957000000017</v>
          </cell>
          <cell r="E16">
            <v>-1.1949326049329313E-2</v>
          </cell>
          <cell r="G16">
            <v>17464</v>
          </cell>
          <cell r="H16">
            <v>17031</v>
          </cell>
        </row>
        <row r="17">
          <cell r="A17" t="str">
            <v>Total Expenses</v>
          </cell>
          <cell r="B17">
            <v>51444.485993130467</v>
          </cell>
          <cell r="C17">
            <v>55973</v>
          </cell>
          <cell r="D17">
            <v>-4528.5140068695327</v>
          </cell>
          <cell r="E17">
            <v>-4.898868462645535E-2</v>
          </cell>
          <cell r="G17">
            <v>51415</v>
          </cell>
          <cell r="H17">
            <v>52087</v>
          </cell>
        </row>
        <row r="19">
          <cell r="A19" t="str">
            <v>NOI of JVs</v>
          </cell>
          <cell r="B19">
            <v>748</v>
          </cell>
          <cell r="C19">
            <v>804</v>
          </cell>
          <cell r="D19">
            <v>56</v>
          </cell>
          <cell r="E19">
            <v>6.0579835569017746E-4</v>
          </cell>
          <cell r="G19">
            <v>0</v>
          </cell>
          <cell r="H19">
            <v>748</v>
          </cell>
        </row>
        <row r="20">
          <cell r="A20" t="str">
            <v>Equity in earnings of uncon. JV</v>
          </cell>
          <cell r="B20">
            <v>0</v>
          </cell>
          <cell r="C20">
            <v>0</v>
          </cell>
          <cell r="D20">
            <v>0</v>
          </cell>
          <cell r="E20">
            <v>0</v>
          </cell>
          <cell r="G20">
            <v>-143</v>
          </cell>
          <cell r="H20">
            <v>0</v>
          </cell>
        </row>
        <row r="21">
          <cell r="A21" t="str">
            <v>Acquisition &amp; Development NOI</v>
          </cell>
          <cell r="B21">
            <v>1595.2990624999998</v>
          </cell>
          <cell r="C21">
            <v>0</v>
          </cell>
          <cell r="D21">
            <v>-1595.2990624999998</v>
          </cell>
          <cell r="E21">
            <v>-1.7257670516010383E-2</v>
          </cell>
          <cell r="G21">
            <v>0</v>
          </cell>
          <cell r="H21">
            <v>0</v>
          </cell>
        </row>
        <row r="22">
          <cell r="A22" t="str">
            <v>Net Operating Income</v>
          </cell>
          <cell r="B22">
            <v>118768.01976535271</v>
          </cell>
          <cell r="C22">
            <v>117285</v>
          </cell>
          <cell r="D22">
            <v>-1483.0197653527139</v>
          </cell>
          <cell r="E22">
            <v>-1.6043052416191191E-2</v>
          </cell>
          <cell r="G22">
            <v>113709</v>
          </cell>
          <cell r="H22">
            <v>126932</v>
          </cell>
        </row>
        <row r="24">
          <cell r="A24" t="str">
            <v>General and Administrative</v>
          </cell>
          <cell r="B24">
            <v>8873.1804867960782</v>
          </cell>
          <cell r="C24">
            <v>9175</v>
          </cell>
          <cell r="D24">
            <v>-301.81951320392182</v>
          </cell>
          <cell r="E24">
            <v>-3.2650315145383146E-3</v>
          </cell>
          <cell r="G24">
            <v>8549</v>
          </cell>
          <cell r="H24">
            <v>9390</v>
          </cell>
        </row>
        <row r="26">
          <cell r="A26" t="str">
            <v>EBITDA</v>
          </cell>
          <cell r="B26">
            <v>109894.83927855664</v>
          </cell>
          <cell r="C26">
            <v>108110</v>
          </cell>
          <cell r="D26">
            <v>-1784.8392785566393</v>
          </cell>
          <cell r="E26">
            <v>-1.9308083930729546E-2</v>
          </cell>
          <cell r="G26">
            <v>105160</v>
          </cell>
          <cell r="H26">
            <v>117542</v>
          </cell>
        </row>
        <row r="28">
          <cell r="A28" t="str">
            <v>Interest Expense - consolidated</v>
          </cell>
          <cell r="B28">
            <v>34086.710838556348</v>
          </cell>
          <cell r="C28">
            <v>33317</v>
          </cell>
          <cell r="D28">
            <v>769.71083855634788</v>
          </cell>
          <cell r="E28">
            <v>8.3265992920418426E-3</v>
          </cell>
          <cell r="G28">
            <v>30861</v>
          </cell>
          <cell r="H28">
            <v>33773</v>
          </cell>
        </row>
        <row r="29">
          <cell r="A29" t="str">
            <v>Interest Expense - unconsolidated</v>
          </cell>
          <cell r="B29">
            <v>-280</v>
          </cell>
          <cell r="C29">
            <v>-283</v>
          </cell>
          <cell r="D29">
            <v>3</v>
          </cell>
          <cell r="E29">
            <v>3.2453483340545216E-5</v>
          </cell>
        </row>
        <row r="30">
          <cell r="A30" t="str">
            <v>Depreciation and Amort.</v>
          </cell>
          <cell r="B30">
            <v>36252.716090274516</v>
          </cell>
          <cell r="C30">
            <v>37410</v>
          </cell>
          <cell r="D30">
            <v>-1157.2839097254837</v>
          </cell>
          <cell r="E30">
            <v>-1.2519298028185674E-2</v>
          </cell>
          <cell r="G30">
            <v>34068</v>
          </cell>
          <cell r="H30">
            <v>37556</v>
          </cell>
        </row>
        <row r="31">
          <cell r="A31" t="str">
            <v>JV Depreciation and Amort.</v>
          </cell>
          <cell r="B31">
            <v>-286</v>
          </cell>
          <cell r="C31">
            <v>-291</v>
          </cell>
          <cell r="D31">
            <v>5</v>
          </cell>
          <cell r="E31">
            <v>5.4089138900908696E-5</v>
          </cell>
        </row>
        <row r="32">
          <cell r="A32" t="str">
            <v>Gain (Loss) on Sale - consolidated</v>
          </cell>
          <cell r="B32">
            <v>5215.625</v>
          </cell>
          <cell r="C32">
            <v>21</v>
          </cell>
          <cell r="D32">
            <v>-5194.625</v>
          </cell>
          <cell r="E32">
            <v>-5.6194558632626568E-2</v>
          </cell>
          <cell r="G32">
            <v>128</v>
          </cell>
          <cell r="H32">
            <v>-504</v>
          </cell>
        </row>
        <row r="33">
          <cell r="A33" t="str">
            <v>Gain (Loss) on Sale - JVs</v>
          </cell>
          <cell r="B33">
            <v>0</v>
          </cell>
          <cell r="C33">
            <v>0</v>
          </cell>
          <cell r="D33">
            <v>0</v>
          </cell>
          <cell r="E33">
            <v>0</v>
          </cell>
        </row>
        <row r="34">
          <cell r="A34" t="str">
            <v>Interest &amp; Other Income</v>
          </cell>
          <cell r="B34">
            <v>1781.5202964802907</v>
          </cell>
          <cell r="C34">
            <v>2165</v>
          </cell>
          <cell r="D34">
            <v>383.47970351970935</v>
          </cell>
          <cell r="E34">
            <v>4.1484173898713693E-3</v>
          </cell>
          <cell r="G34">
            <v>1096</v>
          </cell>
          <cell r="H34">
            <v>2174</v>
          </cell>
        </row>
        <row r="35">
          <cell r="A35" t="str">
            <v>Int. &amp; Amort. of Exchangeable Sub. Deb.</v>
          </cell>
          <cell r="B35">
            <v>0</v>
          </cell>
          <cell r="C35">
            <v>0</v>
          </cell>
          <cell r="D35">
            <v>0</v>
          </cell>
          <cell r="E35">
            <v>0</v>
          </cell>
          <cell r="G35">
            <v>0</v>
          </cell>
          <cell r="H35">
            <v>0</v>
          </cell>
        </row>
        <row r="36">
          <cell r="A36" t="str">
            <v>Income Bef. Min. Interest</v>
          </cell>
          <cell r="B36">
            <v>45986.557646206064</v>
          </cell>
          <cell r="C36">
            <v>38995</v>
          </cell>
          <cell r="D36">
            <v>-6991.5576462060635</v>
          </cell>
          <cell r="E36">
            <v>-7.5633466531870003E-2</v>
          </cell>
          <cell r="G36">
            <v>41455</v>
          </cell>
          <cell r="H36">
            <v>47317</v>
          </cell>
        </row>
        <row r="37">
          <cell r="A37" t="str">
            <v>Minority Interest In Earnings</v>
          </cell>
          <cell r="B37">
            <v>-5058.7152513398196</v>
          </cell>
          <cell r="C37">
            <v>-4710</v>
          </cell>
          <cell r="D37">
            <v>348.71525133981959</v>
          </cell>
          <cell r="E37">
            <v>3.7723415333169581E-3</v>
          </cell>
          <cell r="G37">
            <v>-4360</v>
          </cell>
          <cell r="H37">
            <v>-5049</v>
          </cell>
        </row>
        <row r="38">
          <cell r="A38" t="str">
            <v>Income taxes</v>
          </cell>
          <cell r="B38">
            <v>-911</v>
          </cell>
          <cell r="C38">
            <v>-796</v>
          </cell>
          <cell r="D38">
            <v>115</v>
          </cell>
          <cell r="E38">
            <v>1.2440501947209E-3</v>
          </cell>
          <cell r="G38">
            <v>-532</v>
          </cell>
          <cell r="H38">
            <v>-911</v>
          </cell>
        </row>
        <row r="39">
          <cell r="A39" t="str">
            <v>Preferred Share Dividend</v>
          </cell>
          <cell r="B39">
            <v>0</v>
          </cell>
          <cell r="C39">
            <v>0</v>
          </cell>
          <cell r="D39">
            <v>0</v>
          </cell>
          <cell r="E39">
            <v>0</v>
          </cell>
          <cell r="G39">
            <v>0</v>
          </cell>
          <cell r="H39">
            <v>0</v>
          </cell>
        </row>
        <row r="40">
          <cell r="A40" t="str">
            <v>Other Gains/(Losses)</v>
          </cell>
          <cell r="B40">
            <v>0</v>
          </cell>
          <cell r="C40">
            <v>0</v>
          </cell>
          <cell r="D40">
            <v>0</v>
          </cell>
          <cell r="E40">
            <v>0</v>
          </cell>
          <cell r="G40">
            <v>0</v>
          </cell>
          <cell r="H40">
            <v>0</v>
          </cell>
        </row>
        <row r="41">
          <cell r="A41" t="str">
            <v>Discontinued ops net of minority interest (excluding gains)</v>
          </cell>
          <cell r="B41">
            <v>-24</v>
          </cell>
          <cell r="C41">
            <v>-1144</v>
          </cell>
          <cell r="D41">
            <v>-1120</v>
          </cell>
          <cell r="E41">
            <v>-1.2115967113803548E-2</v>
          </cell>
          <cell r="G41">
            <v>750</v>
          </cell>
          <cell r="H41">
            <v>-24</v>
          </cell>
        </row>
        <row r="42">
          <cell r="A42" t="str">
            <v>Discontinued op. gains</v>
          </cell>
          <cell r="B42">
            <v>0</v>
          </cell>
          <cell r="C42">
            <v>19529</v>
          </cell>
          <cell r="D42">
            <v>19529</v>
          </cell>
          <cell r="E42">
            <v>0.21126135871916918</v>
          </cell>
          <cell r="G42">
            <v>2166</v>
          </cell>
          <cell r="H42">
            <v>7244</v>
          </cell>
        </row>
        <row r="43">
          <cell r="A43" t="str">
            <v>Extraordinary Item</v>
          </cell>
          <cell r="B43">
            <v>0</v>
          </cell>
          <cell r="C43">
            <v>0</v>
          </cell>
          <cell r="D43">
            <v>0</v>
          </cell>
          <cell r="E43">
            <v>0</v>
          </cell>
          <cell r="G43">
            <v>0</v>
          </cell>
          <cell r="H43">
            <v>0</v>
          </cell>
        </row>
        <row r="44">
          <cell r="A44" t="str">
            <v>Net Income Available to Common SH</v>
          </cell>
          <cell r="B44">
            <v>39992.842394866246</v>
          </cell>
          <cell r="C44">
            <v>51874</v>
          </cell>
          <cell r="D44">
            <v>11881.157605133754</v>
          </cell>
          <cell r="E44">
            <v>0.12852831680153348</v>
          </cell>
          <cell r="G44">
            <v>39479</v>
          </cell>
          <cell r="H44">
            <v>44557</v>
          </cell>
        </row>
        <row r="45">
          <cell r="A45" t="str">
            <v>Adjustment: OP Minority Interest</v>
          </cell>
          <cell r="B45">
            <v>1757.0121263398196</v>
          </cell>
          <cell r="C45">
            <v>2093</v>
          </cell>
          <cell r="D45">
            <v>335.98787366018041</v>
          </cell>
          <cell r="E45">
            <v>3.6346589534852923E-3</v>
          </cell>
          <cell r="G45">
            <v>1689</v>
          </cell>
          <cell r="H45">
            <v>1797</v>
          </cell>
        </row>
        <row r="46">
          <cell r="A46" t="str">
            <v>Adjustment: Gains and Extraordinary Items</v>
          </cell>
          <cell r="B46">
            <v>5215.625</v>
          </cell>
          <cell r="C46">
            <v>21</v>
          </cell>
          <cell r="D46">
            <v>-5194.625</v>
          </cell>
          <cell r="E46">
            <v>-5.6194558632626568E-2</v>
          </cell>
          <cell r="G46">
            <v>128</v>
          </cell>
          <cell r="H46">
            <v>-504</v>
          </cell>
        </row>
        <row r="47">
          <cell r="A47" t="str">
            <v>Normalized Earnings</v>
          </cell>
          <cell r="B47">
            <v>36534.229521206064</v>
          </cell>
          <cell r="C47">
            <v>53946</v>
          </cell>
          <cell r="D47">
            <v>17411.770478793936</v>
          </cell>
          <cell r="E47">
            <v>0.18835753438764535</v>
          </cell>
          <cell r="G47">
            <v>41040</v>
          </cell>
          <cell r="H47">
            <v>46858</v>
          </cell>
        </row>
        <row r="49">
          <cell r="A49" t="str">
            <v>Adjustments</v>
          </cell>
        </row>
        <row r="50">
          <cell r="A50" t="str">
            <v>Depreciation and Amortization</v>
          </cell>
          <cell r="B50">
            <v>35681.915033678815</v>
          </cell>
          <cell r="C50">
            <v>36997</v>
          </cell>
          <cell r="D50">
            <v>1315.0849663211848</v>
          </cell>
          <cell r="E50">
            <v>1.4226362681968681E-2</v>
          </cell>
          <cell r="G50">
            <v>33411</v>
          </cell>
          <cell r="H50">
            <v>37085</v>
          </cell>
        </row>
        <row r="51">
          <cell r="A51" t="str">
            <v>D&amp;A from unconsol. JVs</v>
          </cell>
          <cell r="B51">
            <v>286</v>
          </cell>
          <cell r="C51">
            <v>291</v>
          </cell>
          <cell r="D51">
            <v>5</v>
          </cell>
          <cell r="E51">
            <v>5.4089138900908696E-5</v>
          </cell>
          <cell r="G51">
            <v>567</v>
          </cell>
          <cell r="H51">
            <v>286</v>
          </cell>
        </row>
        <row r="52">
          <cell r="A52" t="str">
            <v>Gain (Loss) on Property Dispositions</v>
          </cell>
          <cell r="B52">
            <v>-5215.625</v>
          </cell>
          <cell r="C52">
            <v>-19550</v>
          </cell>
          <cell r="D52">
            <v>-14334.375</v>
          </cell>
          <cell r="E52">
            <v>-0.15506680008654261</v>
          </cell>
          <cell r="G52">
            <v>-2294</v>
          </cell>
          <cell r="H52">
            <v>-6740</v>
          </cell>
        </row>
        <row r="53">
          <cell r="A53" t="str">
            <v>Min. Int. in Income/(Loss), excl. pref unit dist.</v>
          </cell>
          <cell r="B53">
            <v>1757.0121263398196</v>
          </cell>
          <cell r="C53">
            <v>2093</v>
          </cell>
          <cell r="D53">
            <v>335.98787366018041</v>
          </cell>
          <cell r="E53">
            <v>3.6346589534852923E-3</v>
          </cell>
          <cell r="G53">
            <v>1689</v>
          </cell>
          <cell r="H53">
            <v>1797</v>
          </cell>
        </row>
        <row r="54">
          <cell r="A54" t="str">
            <v>Other Adjustments</v>
          </cell>
          <cell r="B54">
            <v>0</v>
          </cell>
          <cell r="C54">
            <v>0</v>
          </cell>
          <cell r="D54">
            <v>0</v>
          </cell>
          <cell r="E54">
            <v>0</v>
          </cell>
          <cell r="G54">
            <v>0</v>
          </cell>
          <cell r="H54">
            <v>0</v>
          </cell>
        </row>
        <row r="55">
          <cell r="A55" t="str">
            <v>Int. &amp; Amort. of Exchangeable Sub. Deb.</v>
          </cell>
          <cell r="B55">
            <v>0</v>
          </cell>
          <cell r="C55">
            <v>0</v>
          </cell>
          <cell r="D55">
            <v>0</v>
          </cell>
          <cell r="E55">
            <v>0</v>
          </cell>
          <cell r="G55">
            <v>0</v>
          </cell>
          <cell r="H55">
            <v>0</v>
          </cell>
        </row>
        <row r="56">
          <cell r="A56" t="str">
            <v>Funds From Operations</v>
          </cell>
          <cell r="B56">
            <v>72502.144554884871</v>
          </cell>
          <cell r="C56">
            <v>71705</v>
          </cell>
          <cell r="D56">
            <v>-797.14455488487147</v>
          </cell>
          <cell r="E56">
            <v>-8.6233725106541707E-3</v>
          </cell>
          <cell r="G56">
            <v>72852</v>
          </cell>
          <cell r="H56">
            <v>76985</v>
          </cell>
        </row>
        <row r="58">
          <cell r="A58" t="str">
            <v>Straight-lining Adjustment</v>
          </cell>
          <cell r="B58">
            <v>-2943.5800725041222</v>
          </cell>
          <cell r="C58">
            <v>-2826</v>
          </cell>
          <cell r="D58">
            <v>117.5800725041222</v>
          </cell>
          <cell r="E58">
            <v>1.2719609747308762E-3</v>
          </cell>
          <cell r="G58">
            <v>-3141</v>
          </cell>
          <cell r="H58">
            <v>-2969</v>
          </cell>
        </row>
        <row r="59">
          <cell r="A59" t="str">
            <v>Tenant Improvements &amp; LC's</v>
          </cell>
          <cell r="B59">
            <v>-7405.47968568956</v>
          </cell>
          <cell r="C59">
            <v>-18196</v>
          </cell>
          <cell r="D59">
            <v>-10790.520314310441</v>
          </cell>
          <cell r="E59">
            <v>-0.11672999041876288</v>
          </cell>
          <cell r="G59">
            <v>-11553</v>
          </cell>
          <cell r="H59">
            <v>-18060</v>
          </cell>
        </row>
        <row r="60">
          <cell r="A60" t="str">
            <v>Non-reimbursed Capital Expenditures</v>
          </cell>
          <cell r="B60">
            <v>-3720.4767116427579</v>
          </cell>
          <cell r="C60">
            <v>-2965</v>
          </cell>
          <cell r="D60">
            <v>755.47671164275789</v>
          </cell>
          <cell r="E60">
            <v>8.1726169584893753E-3</v>
          </cell>
          <cell r="G60">
            <v>-3562</v>
          </cell>
          <cell r="H60">
            <v>-1985</v>
          </cell>
        </row>
        <row r="61">
          <cell r="A61" t="str">
            <v>Adjusted Funds From Operations</v>
          </cell>
          <cell r="B61">
            <v>58432.608085048429</v>
          </cell>
          <cell r="C61">
            <v>47718</v>
          </cell>
          <cell r="D61">
            <v>-10714.608085048429</v>
          </cell>
          <cell r="E61">
            <v>-0.11590878499619676</v>
          </cell>
          <cell r="G61">
            <v>54596</v>
          </cell>
          <cell r="H61">
            <v>53971</v>
          </cell>
        </row>
        <row r="64">
          <cell r="A64" t="str">
            <v>Net Income Per Share</v>
          </cell>
          <cell r="B64">
            <v>0.45172298094366281</v>
          </cell>
          <cell r="C64">
            <v>0.58336519646431706</v>
          </cell>
          <cell r="D64">
            <v>0.13164221552065425</v>
          </cell>
          <cell r="G64">
            <v>0.45731926280306279</v>
          </cell>
          <cell r="H64">
            <v>0.50555971588717186</v>
          </cell>
        </row>
        <row r="66">
          <cell r="A66" t="str">
            <v>Diluted EPS before Extraordinary</v>
          </cell>
          <cell r="B66">
            <v>0.51021150798151094</v>
          </cell>
          <cell r="C66">
            <v>0.58403288619645177</v>
          </cell>
          <cell r="D66">
            <v>7.3821378214940836E-2</v>
          </cell>
          <cell r="G66">
            <v>0.45886993721873437</v>
          </cell>
          <cell r="H66">
            <v>0.50026731841441996</v>
          </cell>
        </row>
        <row r="67">
          <cell r="A67" t="str">
            <v>Diluted EPS after Extraordinary</v>
          </cell>
          <cell r="B67">
            <v>0.45355134133476077</v>
          </cell>
          <cell r="C67">
            <v>0.58380571181306795</v>
          </cell>
          <cell r="D67">
            <v>0.13025437047830718</v>
          </cell>
          <cell r="G67">
            <v>0.45744763597977667</v>
          </cell>
          <cell r="H67">
            <v>0.50576644008248683</v>
          </cell>
        </row>
        <row r="68">
          <cell r="A68" t="str">
            <v>Normalized Earnings Per Share</v>
          </cell>
          <cell r="B68">
            <v>0.39689117468801061</v>
          </cell>
          <cell r="C68">
            <v>0.58357853742968413</v>
          </cell>
          <cell r="D68">
            <v>0.18668736274167352</v>
          </cell>
          <cell r="G68">
            <v>0.45602533474081891</v>
          </cell>
          <cell r="H68">
            <v>0.51126556175055371</v>
          </cell>
        </row>
        <row r="69">
          <cell r="A69" t="str">
            <v>FFO Per Share</v>
          </cell>
          <cell r="B69">
            <v>0.78763016756890059</v>
          </cell>
          <cell r="C69">
            <v>0.7756923409779316</v>
          </cell>
          <cell r="D69">
            <v>-1.1937826590968981E-2</v>
          </cell>
          <cell r="G69">
            <v>0.80951163953552974</v>
          </cell>
          <cell r="H69">
            <v>0.83997992384152931</v>
          </cell>
        </row>
        <row r="70">
          <cell r="D70">
            <v>0</v>
          </cell>
        </row>
        <row r="71">
          <cell r="A71" t="str">
            <v>AFFO Per Share</v>
          </cell>
          <cell r="B71">
            <v>0.63478515263330582</v>
          </cell>
          <cell r="C71">
            <v>0.51620510601471226</v>
          </cell>
          <cell r="D71">
            <v>-0.11858004661859356</v>
          </cell>
          <cell r="G71">
            <v>0.606655925329185</v>
          </cell>
          <cell r="H71">
            <v>0.58887518957785512</v>
          </cell>
        </row>
        <row r="72">
          <cell r="A72" t="str">
            <v>NOI Per Share</v>
          </cell>
          <cell r="B72">
            <v>1.2902414940125877</v>
          </cell>
          <cell r="C72">
            <v>1.2687689311986152</v>
          </cell>
          <cell r="D72">
            <v>-2.1472562813972473E-2</v>
          </cell>
          <cell r="G72">
            <v>1.2635035279737763</v>
          </cell>
          <cell r="H72">
            <v>1.384949427720374</v>
          </cell>
        </row>
        <row r="73">
          <cell r="A73" t="str">
            <v>EBITDA Per Share</v>
          </cell>
          <cell r="B73">
            <v>1.1938473159287422</v>
          </cell>
          <cell r="C73">
            <v>1.1695153613154479</v>
          </cell>
          <cell r="D73">
            <v>-2.4331954613294293E-2</v>
          </cell>
          <cell r="G73">
            <v>1.1685093616312017</v>
          </cell>
          <cell r="H73">
            <v>1.282495553785556</v>
          </cell>
        </row>
        <row r="75">
          <cell r="A75" t="str">
            <v>Dividends Per Share</v>
          </cell>
          <cell r="B75">
            <v>0.64049999999999996</v>
          </cell>
          <cell r="C75">
            <v>0.61499999999999999</v>
          </cell>
          <cell r="D75">
            <v>-2.5499999999999967E-2</v>
          </cell>
          <cell r="G75">
            <v>0.61</v>
          </cell>
          <cell r="H75">
            <v>0.61</v>
          </cell>
        </row>
        <row r="77">
          <cell r="A77" t="str">
            <v>Payout Ratio (Net Income)</v>
          </cell>
          <cell r="B77">
            <v>1.4179043949944197</v>
          </cell>
          <cell r="C77">
            <v>1.0542281296988858</v>
          </cell>
          <cell r="D77">
            <v>-0.36367626529553387</v>
          </cell>
          <cell r="G77">
            <v>1.3338602801489399</v>
          </cell>
          <cell r="H77">
            <v>1.206583477343627</v>
          </cell>
        </row>
        <row r="78">
          <cell r="A78" t="str">
            <v>Payout Ratio (FFO)</v>
          </cell>
          <cell r="B78">
            <v>0.8131989179350092</v>
          </cell>
          <cell r="C78">
            <v>0.79284010877902522</v>
          </cell>
          <cell r="D78">
            <v>-2.0358809155983981E-2</v>
          </cell>
          <cell r="G78">
            <v>0.75354074013067585</v>
          </cell>
          <cell r="H78">
            <v>0.7262078326946807</v>
          </cell>
        </row>
        <row r="79">
          <cell r="A79" t="str">
            <v>Payout Ratio (AFFO)</v>
          </cell>
          <cell r="B79">
            <v>1.0090028056626514</v>
          </cell>
          <cell r="C79">
            <v>1.1913868980259021</v>
          </cell>
          <cell r="D79">
            <v>0.1823840923632507</v>
          </cell>
          <cell r="G79">
            <v>1.0055123085940361</v>
          </cell>
          <cell r="H79">
            <v>1.0358731541012767</v>
          </cell>
        </row>
        <row r="81">
          <cell r="A81" t="str">
            <v>Diluted Weighted Avg. Common Shares</v>
          </cell>
          <cell r="B81">
            <v>88534</v>
          </cell>
          <cell r="C81">
            <v>88922</v>
          </cell>
          <cell r="D81">
            <v>388</v>
          </cell>
          <cell r="G81">
            <v>86327</v>
          </cell>
          <cell r="H81">
            <v>88134</v>
          </cell>
        </row>
        <row r="82">
          <cell r="A82" t="str">
            <v>Diluted Wght. Avg. Shares &amp; OP Units</v>
          </cell>
          <cell r="B82">
            <v>92051</v>
          </cell>
          <cell r="C82">
            <v>92440</v>
          </cell>
          <cell r="D82">
            <v>389</v>
          </cell>
          <cell r="G82">
            <v>89995</v>
          </cell>
          <cell r="H82">
            <v>91651</v>
          </cell>
        </row>
        <row r="85">
          <cell r="A85" t="str">
            <v>Gregory Whyte</v>
          </cell>
          <cell r="H85" t="str">
            <v>(212) 761-6331</v>
          </cell>
        </row>
        <row r="86">
          <cell r="A86" t="str">
            <v>Morgan Stanley  REIT Research</v>
          </cell>
          <cell r="H86" t="str">
            <v>Gregory.Whyte@morganstanley.com</v>
          </cell>
        </row>
      </sheetData>
      <sheetData sheetId="19" refreshError="1"/>
      <sheetData sheetId="20" refreshError="1"/>
      <sheetData sheetId="21" refreshError="1">
        <row r="1">
          <cell r="A1" t="str">
            <v>Liberty Property Trust (LRY)</v>
          </cell>
          <cell r="H1" t="str">
            <v>Gregory Whyte</v>
          </cell>
        </row>
        <row r="2">
          <cell r="A2" t="str">
            <v>4Q05 Earnings Variance Analysis Worksheet</v>
          </cell>
          <cell r="H2" t="str">
            <v>Morgan Stanley REIT Research Team</v>
          </cell>
        </row>
        <row r="3">
          <cell r="A3" t="str">
            <v>($ in Thousands, Except per Share Amounts)</v>
          </cell>
          <cell r="H3" t="str">
            <v>(212) 761-6331   Gregory.Whtye@morganstanley.com</v>
          </cell>
        </row>
        <row r="5">
          <cell r="B5">
            <v>44</v>
          </cell>
          <cell r="C5">
            <v>44</v>
          </cell>
          <cell r="G5">
            <v>39</v>
          </cell>
          <cell r="H5">
            <v>43</v>
          </cell>
        </row>
        <row r="7">
          <cell r="B7" t="str">
            <v>MS</v>
          </cell>
          <cell r="C7" t="str">
            <v>Reported</v>
          </cell>
          <cell r="E7" t="str">
            <v>Per Share</v>
          </cell>
        </row>
        <row r="8">
          <cell r="A8" t="str">
            <v>Year Ends December 31</v>
          </cell>
          <cell r="B8" t="str">
            <v>4Q05E</v>
          </cell>
          <cell r="C8" t="str">
            <v>4Q05A</v>
          </cell>
          <cell r="D8" t="str">
            <v>Variance</v>
          </cell>
          <cell r="E8" t="str">
            <v>Impact</v>
          </cell>
          <cell r="F8" t="str">
            <v>Comments</v>
          </cell>
          <cell r="G8" t="str">
            <v>4Q04A</v>
          </cell>
          <cell r="H8" t="str">
            <v>3Q05A</v>
          </cell>
        </row>
        <row r="9">
          <cell r="A9" t="str">
            <v>Revenue</v>
          </cell>
        </row>
        <row r="10">
          <cell r="A10" t="str">
            <v>Rental</v>
          </cell>
          <cell r="B10">
            <v>121398.4005</v>
          </cell>
          <cell r="C10">
            <v>121467</v>
          </cell>
          <cell r="D10">
            <v>68.599499999996624</v>
          </cell>
          <cell r="E10">
            <v>7.3905946994178647E-4</v>
          </cell>
          <cell r="G10">
            <v>120228</v>
          </cell>
          <cell r="H10">
            <v>120808</v>
          </cell>
        </row>
        <row r="11">
          <cell r="A11" t="str">
            <v>Operating Expense Reimbursement</v>
          </cell>
          <cell r="B11">
            <v>48172.292965596163</v>
          </cell>
          <cell r="C11">
            <v>50421</v>
          </cell>
          <cell r="D11">
            <v>2248.7070344038366</v>
          </cell>
          <cell r="E11">
            <v>2.4226535600127521E-2</v>
          </cell>
          <cell r="G11">
            <v>47426</v>
          </cell>
          <cell r="H11">
            <v>51646</v>
          </cell>
        </row>
        <row r="12">
          <cell r="A12" t="str">
            <v>Total Revenue</v>
          </cell>
          <cell r="B12">
            <v>169570.69346559618</v>
          </cell>
          <cell r="C12">
            <v>171888</v>
          </cell>
          <cell r="D12">
            <v>2317.3065344038187</v>
          </cell>
          <cell r="E12">
            <v>2.4965595070069152E-2</v>
          </cell>
          <cell r="G12">
            <v>167654</v>
          </cell>
          <cell r="H12">
            <v>172454</v>
          </cell>
        </row>
        <row r="14">
          <cell r="A14" t="str">
            <v>Expenses</v>
          </cell>
        </row>
        <row r="15">
          <cell r="A15" t="str">
            <v>Rental Property Expenses</v>
          </cell>
          <cell r="B15">
            <v>35212.483120708159</v>
          </cell>
          <cell r="C15">
            <v>37132</v>
          </cell>
          <cell r="D15">
            <v>-1919.5168792918412</v>
          </cell>
          <cell r="E15">
            <v>-2.067999223542169E-2</v>
          </cell>
          <cell r="G15">
            <v>34873</v>
          </cell>
          <cell r="H15">
            <v>38076</v>
          </cell>
        </row>
        <row r="16">
          <cell r="A16" t="str">
            <v>Real Estate Taxes</v>
          </cell>
          <cell r="B16">
            <v>16995.776070000004</v>
          </cell>
          <cell r="C16">
            <v>18783</v>
          </cell>
          <cell r="D16">
            <v>-1787.2239299999965</v>
          </cell>
          <cell r="E16">
            <v>-1.9254728829993496E-2</v>
          </cell>
          <cell r="G16">
            <v>16515</v>
          </cell>
          <cell r="H16">
            <v>17897</v>
          </cell>
        </row>
        <row r="17">
          <cell r="A17" t="str">
            <v>Total Expenses</v>
          </cell>
          <cell r="B17">
            <v>52208.259190708166</v>
          </cell>
          <cell r="C17">
            <v>55915</v>
          </cell>
          <cell r="D17">
            <v>-3706.740809291834</v>
          </cell>
          <cell r="E17">
            <v>-3.9934721065415145E-2</v>
          </cell>
          <cell r="G17">
            <v>51388</v>
          </cell>
          <cell r="H17">
            <v>55973</v>
          </cell>
        </row>
        <row r="19">
          <cell r="A19" t="str">
            <v>NOI of JVs</v>
          </cell>
          <cell r="B19">
            <v>804</v>
          </cell>
          <cell r="C19">
            <v>892.05</v>
          </cell>
          <cell r="D19">
            <v>88.05</v>
          </cell>
          <cell r="E19">
            <v>9.4861021331609516E-4</v>
          </cell>
          <cell r="G19">
            <v>0</v>
          </cell>
          <cell r="H19">
            <v>804</v>
          </cell>
        </row>
        <row r="20">
          <cell r="A20" t="str">
            <v>Equity in earnings of uncon. JV</v>
          </cell>
          <cell r="B20">
            <v>0</v>
          </cell>
          <cell r="C20">
            <v>0</v>
          </cell>
          <cell r="D20">
            <v>0</v>
          </cell>
          <cell r="E20">
            <v>0</v>
          </cell>
          <cell r="G20">
            <v>-102</v>
          </cell>
          <cell r="H20">
            <v>0</v>
          </cell>
        </row>
        <row r="21">
          <cell r="A21" t="str">
            <v>Acquisition &amp; Development NOI</v>
          </cell>
          <cell r="B21">
            <v>277.00087499999995</v>
          </cell>
          <cell r="C21">
            <v>0</v>
          </cell>
          <cell r="D21">
            <v>-277.00087499999995</v>
          </cell>
          <cell r="E21">
            <v>-2.9842800581771165E-3</v>
          </cell>
          <cell r="G21">
            <v>0</v>
          </cell>
          <cell r="H21">
            <v>0</v>
          </cell>
        </row>
        <row r="22">
          <cell r="A22" t="str">
            <v>Net Operating Income</v>
          </cell>
          <cell r="B22">
            <v>118443.43514988801</v>
          </cell>
          <cell r="C22">
            <v>116865.05</v>
          </cell>
          <cell r="D22">
            <v>-1578.3851498880103</v>
          </cell>
          <cell r="E22">
            <v>-1.7004795840206963E-2</v>
          </cell>
          <cell r="G22">
            <v>116164</v>
          </cell>
          <cell r="H22">
            <v>117285</v>
          </cell>
        </row>
        <row r="24">
          <cell r="A24" t="str">
            <v>General and Administrative</v>
          </cell>
          <cell r="B24">
            <v>8980.6430269356824</v>
          </cell>
          <cell r="C24">
            <v>10816</v>
          </cell>
          <cell r="D24">
            <v>-1835.3569730643176</v>
          </cell>
          <cell r="E24">
            <v>-1.9773292103687973E-2</v>
          </cell>
          <cell r="G24">
            <v>8217</v>
          </cell>
          <cell r="H24">
            <v>9175</v>
          </cell>
        </row>
        <row r="26">
          <cell r="A26" t="str">
            <v>EBITDA</v>
          </cell>
          <cell r="B26">
            <v>109462.79212295233</v>
          </cell>
          <cell r="C26">
            <v>106049.05</v>
          </cell>
          <cell r="D26">
            <v>-3413.7421229523316</v>
          </cell>
          <cell r="E26">
            <v>-3.6778087943894977E-2</v>
          </cell>
          <cell r="G26">
            <v>107947</v>
          </cell>
          <cell r="H26">
            <v>108110</v>
          </cell>
        </row>
        <row r="28">
          <cell r="A28" t="str">
            <v>Interest Expense - consolidated</v>
          </cell>
          <cell r="B28">
            <v>33443.403863567299</v>
          </cell>
          <cell r="C28">
            <v>32843</v>
          </cell>
          <cell r="D28">
            <v>600.40386356729869</v>
          </cell>
          <cell r="E28">
            <v>6.4684751515546078E-3</v>
          </cell>
          <cell r="G28">
            <v>32119</v>
          </cell>
          <cell r="H28">
            <v>33317</v>
          </cell>
        </row>
        <row r="29">
          <cell r="A29" t="str">
            <v>Interest Expense - unconsolidated</v>
          </cell>
          <cell r="B29">
            <v>-283</v>
          </cell>
          <cell r="C29">
            <v>-411.05</v>
          </cell>
          <cell r="D29">
            <v>128.05000000000001</v>
          </cell>
          <cell r="E29">
            <v>1.3795518207282914E-3</v>
          </cell>
        </row>
        <row r="30">
          <cell r="A30" t="str">
            <v>Depreciation and Amort.</v>
          </cell>
          <cell r="B30">
            <v>37151.751214176315</v>
          </cell>
          <cell r="C30">
            <v>39121</v>
          </cell>
          <cell r="D30">
            <v>-1969.2487858236855</v>
          </cell>
          <cell r="E30">
            <v>-2.1215780928934339E-2</v>
          </cell>
          <cell r="G30">
            <v>35286</v>
          </cell>
          <cell r="H30">
            <v>37410</v>
          </cell>
        </row>
        <row r="31">
          <cell r="A31" t="str">
            <v>JV Depreciation and Amort.</v>
          </cell>
          <cell r="B31">
            <v>-291</v>
          </cell>
          <cell r="C31">
            <v>-373</v>
          </cell>
          <cell r="D31">
            <v>82</v>
          </cell>
          <cell r="E31">
            <v>8.8343029519500108E-4</v>
          </cell>
        </row>
        <row r="32">
          <cell r="A32" t="str">
            <v>Gain (Loss) on Sale - consolidated</v>
          </cell>
          <cell r="B32">
            <v>40000</v>
          </cell>
          <cell r="C32">
            <v>75258</v>
          </cell>
          <cell r="D32">
            <v>35258</v>
          </cell>
          <cell r="E32">
            <v>0.37985347985347984</v>
          </cell>
          <cell r="G32">
            <v>2120</v>
          </cell>
          <cell r="H32">
            <v>21</v>
          </cell>
        </row>
        <row r="33">
          <cell r="A33" t="str">
            <v>Gain (Loss) on Sale - JVs</v>
          </cell>
          <cell r="B33">
            <v>0</v>
          </cell>
          <cell r="C33">
            <v>0</v>
          </cell>
          <cell r="D33">
            <v>0</v>
          </cell>
          <cell r="E33">
            <v>0</v>
          </cell>
        </row>
        <row r="34">
          <cell r="A34" t="str">
            <v>Interest &amp; Other Income</v>
          </cell>
          <cell r="B34">
            <v>1776.6515272483202</v>
          </cell>
          <cell r="C34">
            <v>2411</v>
          </cell>
          <cell r="D34">
            <v>634.34847275167976</v>
          </cell>
          <cell r="E34">
            <v>6.8341787626770064E-3</v>
          </cell>
          <cell r="G34">
            <v>2255</v>
          </cell>
          <cell r="H34">
            <v>2165</v>
          </cell>
        </row>
        <row r="35">
          <cell r="A35" t="str">
            <v>Int. &amp; Amort. of Exchangeable Sub. Deb.</v>
          </cell>
          <cell r="B35">
            <v>0</v>
          </cell>
          <cell r="C35">
            <v>0</v>
          </cell>
          <cell r="D35">
            <v>0</v>
          </cell>
          <cell r="E35">
            <v>0</v>
          </cell>
          <cell r="G35">
            <v>0</v>
          </cell>
          <cell r="H35">
            <v>0</v>
          </cell>
        </row>
        <row r="36">
          <cell r="A36" t="str">
            <v>Income Bef. Min. Interest</v>
          </cell>
          <cell r="B36">
            <v>80070.288572457051</v>
          </cell>
          <cell r="C36">
            <v>110970</v>
          </cell>
          <cell r="D36">
            <v>30899.711427542949</v>
          </cell>
          <cell r="E36">
            <v>0.33289928277895869</v>
          </cell>
          <cell r="G36">
            <v>44917</v>
          </cell>
          <cell r="H36">
            <v>38995</v>
          </cell>
        </row>
        <row r="37">
          <cell r="A37" t="str">
            <v>Minority Interest In Earnings</v>
          </cell>
          <cell r="B37">
            <v>-6335.818540746488</v>
          </cell>
          <cell r="C37">
            <v>-7560</v>
          </cell>
          <cell r="D37">
            <v>-1224.181459253512</v>
          </cell>
          <cell r="E37">
            <v>-1.3188768145372894E-2</v>
          </cell>
          <cell r="G37">
            <v>-4168</v>
          </cell>
          <cell r="H37">
            <v>-4710</v>
          </cell>
        </row>
        <row r="38">
          <cell r="A38" t="str">
            <v>Income taxes</v>
          </cell>
          <cell r="B38">
            <v>-796</v>
          </cell>
          <cell r="C38">
            <v>-12586</v>
          </cell>
          <cell r="D38">
            <v>-11790</v>
          </cell>
          <cell r="E38">
            <v>-0.12702003878474466</v>
          </cell>
          <cell r="G38">
            <v>-441</v>
          </cell>
          <cell r="H38">
            <v>-796</v>
          </cell>
        </row>
        <row r="39">
          <cell r="A39" t="str">
            <v>Preferred Share Dividend</v>
          </cell>
          <cell r="B39">
            <v>0</v>
          </cell>
          <cell r="C39">
            <v>0</v>
          </cell>
          <cell r="D39">
            <v>0</v>
          </cell>
          <cell r="E39">
            <v>0</v>
          </cell>
          <cell r="G39">
            <v>0</v>
          </cell>
          <cell r="H39">
            <v>0</v>
          </cell>
        </row>
        <row r="40">
          <cell r="A40" t="str">
            <v>Other Gains/(Losses)</v>
          </cell>
          <cell r="B40">
            <v>0</v>
          </cell>
          <cell r="C40">
            <v>13945</v>
          </cell>
          <cell r="D40">
            <v>13945</v>
          </cell>
          <cell r="E40">
            <v>0.1502370178840767</v>
          </cell>
          <cell r="G40">
            <v>0</v>
          </cell>
          <cell r="H40">
            <v>0</v>
          </cell>
        </row>
        <row r="41">
          <cell r="A41" t="str">
            <v>Discontinued ops net of minority interest (excluding gains)</v>
          </cell>
          <cell r="B41">
            <v>-1144</v>
          </cell>
          <cell r="C41">
            <v>-1419</v>
          </cell>
          <cell r="D41">
            <v>-275</v>
          </cell>
          <cell r="E41">
            <v>-2.962723550958845E-3</v>
          </cell>
          <cell r="G41">
            <v>-425</v>
          </cell>
          <cell r="H41">
            <v>-1144</v>
          </cell>
        </row>
        <row r="42">
          <cell r="A42" t="str">
            <v>Discontinued op. gains</v>
          </cell>
          <cell r="B42">
            <v>19529</v>
          </cell>
          <cell r="C42">
            <v>3966</v>
          </cell>
          <cell r="D42">
            <v>-15563</v>
          </cell>
          <cell r="E42">
            <v>-0.16766860590390001</v>
          </cell>
          <cell r="G42">
            <v>7399</v>
          </cell>
          <cell r="H42">
            <v>19529</v>
          </cell>
        </row>
        <row r="43">
          <cell r="A43" t="str">
            <v>Extraordinary Item</v>
          </cell>
          <cell r="B43">
            <v>0</v>
          </cell>
          <cell r="C43">
            <v>0</v>
          </cell>
          <cell r="D43">
            <v>0</v>
          </cell>
          <cell r="E43">
            <v>0</v>
          </cell>
          <cell r="G43">
            <v>0</v>
          </cell>
          <cell r="H43">
            <v>0</v>
          </cell>
        </row>
        <row r="44">
          <cell r="A44" t="str">
            <v>Net Income Available to Common SH</v>
          </cell>
          <cell r="B44">
            <v>91323.47003171056</v>
          </cell>
          <cell r="C44">
            <v>107316</v>
          </cell>
          <cell r="D44">
            <v>15992.52996828944</v>
          </cell>
          <cell r="E44">
            <v>0.17229616427805905</v>
          </cell>
          <cell r="G44">
            <v>45939</v>
          </cell>
          <cell r="H44">
            <v>51874</v>
          </cell>
        </row>
        <row r="45">
          <cell r="A45" t="str">
            <v>Adjustment: OP Minority Interest</v>
          </cell>
          <cell r="B45">
            <v>3034.115415746488</v>
          </cell>
          <cell r="C45">
            <v>4273</v>
          </cell>
          <cell r="D45">
            <v>1238.884584253512</v>
          </cell>
          <cell r="E45">
            <v>1.3347172853409955E-2</v>
          </cell>
          <cell r="G45">
            <v>1962</v>
          </cell>
          <cell r="H45">
            <v>2093</v>
          </cell>
        </row>
        <row r="46">
          <cell r="A46" t="str">
            <v>Adjustment: Gains and Extraordinary Items</v>
          </cell>
          <cell r="B46">
            <v>40000</v>
          </cell>
          <cell r="C46">
            <v>75258</v>
          </cell>
          <cell r="D46">
            <v>35258</v>
          </cell>
          <cell r="E46">
            <v>0.37985347985347984</v>
          </cell>
          <cell r="G46">
            <v>2120</v>
          </cell>
          <cell r="H46">
            <v>21</v>
          </cell>
        </row>
        <row r="47">
          <cell r="A47" t="str">
            <v>Normalized Earnings</v>
          </cell>
          <cell r="B47">
            <v>54357.585447457051</v>
          </cell>
          <cell r="C47">
            <v>36331</v>
          </cell>
          <cell r="D47">
            <v>-18026.585447457051</v>
          </cell>
          <cell r="E47">
            <v>-0.1942101427220109</v>
          </cell>
          <cell r="G47">
            <v>45781</v>
          </cell>
          <cell r="H47">
            <v>53946</v>
          </cell>
        </row>
        <row r="49">
          <cell r="A49" t="str">
            <v>Adjustments</v>
          </cell>
        </row>
        <row r="50">
          <cell r="A50" t="str">
            <v>Depreciation and Amortization</v>
          </cell>
          <cell r="B50">
            <v>36566.794798921088</v>
          </cell>
          <cell r="C50">
            <v>38889</v>
          </cell>
          <cell r="D50">
            <v>2322.2052010789121</v>
          </cell>
          <cell r="E50">
            <v>2.5018371052347683E-2</v>
          </cell>
          <cell r="G50">
            <v>34784</v>
          </cell>
          <cell r="H50">
            <v>36997</v>
          </cell>
        </row>
        <row r="51">
          <cell r="A51" t="str">
            <v>D&amp;A from unconsol. JVs</v>
          </cell>
          <cell r="B51">
            <v>291</v>
          </cell>
          <cell r="C51">
            <v>373</v>
          </cell>
          <cell r="D51">
            <v>82</v>
          </cell>
          <cell r="E51">
            <v>8.8343029519500108E-4</v>
          </cell>
          <cell r="G51">
            <v>555</v>
          </cell>
          <cell r="H51">
            <v>291</v>
          </cell>
        </row>
        <row r="52">
          <cell r="A52" t="str">
            <v>Gain (Loss) on Property Dispositions</v>
          </cell>
          <cell r="B52">
            <v>-59529</v>
          </cell>
          <cell r="C52">
            <v>-79224</v>
          </cell>
          <cell r="D52">
            <v>-19695</v>
          </cell>
          <cell r="E52">
            <v>-0.21218487394957983</v>
          </cell>
          <cell r="G52">
            <v>-9519</v>
          </cell>
          <cell r="H52">
            <v>-19550</v>
          </cell>
        </row>
        <row r="53">
          <cell r="A53" t="str">
            <v>Min. Int. in Income/(Loss), excl. pref unit dist.</v>
          </cell>
          <cell r="B53">
            <v>3034.115415746488</v>
          </cell>
          <cell r="C53">
            <v>4273</v>
          </cell>
          <cell r="D53">
            <v>1238.884584253512</v>
          </cell>
          <cell r="E53">
            <v>1.3347172853409955E-2</v>
          </cell>
          <cell r="G53">
            <v>1962</v>
          </cell>
          <cell r="H53">
            <v>2093</v>
          </cell>
        </row>
        <row r="54">
          <cell r="A54" t="str">
            <v>Other Adjustments</v>
          </cell>
          <cell r="B54">
            <v>0</v>
          </cell>
          <cell r="C54">
            <v>0</v>
          </cell>
          <cell r="D54">
            <v>0</v>
          </cell>
          <cell r="E54">
            <v>0</v>
          </cell>
          <cell r="G54">
            <v>0</v>
          </cell>
          <cell r="H54">
            <v>0</v>
          </cell>
        </row>
        <row r="55">
          <cell r="A55" t="str">
            <v>Int. &amp; Amort. of Exchangeable Sub. Deb.</v>
          </cell>
          <cell r="B55">
            <v>0</v>
          </cell>
          <cell r="C55">
            <v>0</v>
          </cell>
          <cell r="D55">
            <v>0</v>
          </cell>
          <cell r="E55">
            <v>0</v>
          </cell>
          <cell r="G55">
            <v>0</v>
          </cell>
          <cell r="H55">
            <v>0</v>
          </cell>
        </row>
        <row r="56">
          <cell r="A56" t="str">
            <v>Funds From Operations</v>
          </cell>
          <cell r="B56">
            <v>71686.380246378132</v>
          </cell>
          <cell r="C56">
            <v>71627</v>
          </cell>
          <cell r="D56">
            <v>-59.380246378132142</v>
          </cell>
          <cell r="E56">
            <v>-6.3973547056811182E-4</v>
          </cell>
          <cell r="G56">
            <v>73721</v>
          </cell>
          <cell r="H56">
            <v>71705</v>
          </cell>
        </row>
        <row r="58">
          <cell r="A58" t="str">
            <v>Straight-lining Adjustment</v>
          </cell>
          <cell r="B58">
            <v>-2853.912671983489</v>
          </cell>
          <cell r="C58">
            <v>-3395</v>
          </cell>
          <cell r="D58">
            <v>-541.08732801651104</v>
          </cell>
          <cell r="E58">
            <v>-5.8294260721451305E-3</v>
          </cell>
          <cell r="G58">
            <v>-2657</v>
          </cell>
          <cell r="H58">
            <v>-2826</v>
          </cell>
        </row>
        <row r="59">
          <cell r="A59" t="str">
            <v>Tenant Improvements &amp; LC's</v>
          </cell>
          <cell r="B59">
            <v>-18375.723630365028</v>
          </cell>
          <cell r="C59">
            <v>-10814</v>
          </cell>
          <cell r="D59">
            <v>7561.7236303650279</v>
          </cell>
          <cell r="E59">
            <v>8.1466533401907223E-2</v>
          </cell>
          <cell r="G59">
            <v>-14435</v>
          </cell>
          <cell r="H59">
            <v>-18196</v>
          </cell>
        </row>
        <row r="60">
          <cell r="A60" t="str">
            <v>Non-reimbursed Capital Expenditures</v>
          </cell>
          <cell r="B60">
            <v>-4060.1370370067671</v>
          </cell>
          <cell r="C60">
            <v>-5936</v>
          </cell>
          <cell r="D60">
            <v>-1875.8629629932329</v>
          </cell>
          <cell r="E60">
            <v>-2.0209685013932697E-2</v>
          </cell>
          <cell r="G60">
            <v>-3982</v>
          </cell>
          <cell r="H60">
            <v>-2965</v>
          </cell>
        </row>
        <row r="61">
          <cell r="A61" t="str">
            <v>Adjusted Funds From Operations</v>
          </cell>
          <cell r="B61">
            <v>46396.606907022848</v>
          </cell>
          <cell r="C61">
            <v>51482</v>
          </cell>
          <cell r="D61">
            <v>5085.3930929771523</v>
          </cell>
          <cell r="E61">
            <v>5.478768684526128E-2</v>
          </cell>
          <cell r="G61">
            <v>52647</v>
          </cell>
          <cell r="H61">
            <v>47718</v>
          </cell>
        </row>
        <row r="64">
          <cell r="A64" t="str">
            <v>Net Income Per Share</v>
          </cell>
          <cell r="B64">
            <v>1.0224073580048652</v>
          </cell>
          <cell r="C64">
            <v>1.2017200062708562</v>
          </cell>
          <cell r="D64">
            <v>0.17931264826599103</v>
          </cell>
          <cell r="G64">
            <v>0.52897691289078241</v>
          </cell>
          <cell r="H64">
            <v>0.58336519646431706</v>
          </cell>
        </row>
        <row r="66">
          <cell r="A66" t="str">
            <v>Diluted EPS before Extraordinary</v>
          </cell>
          <cell r="B66">
            <v>1.4471950177451209</v>
          </cell>
          <cell r="C66">
            <v>2.013003663003663</v>
          </cell>
          <cell r="D66">
            <v>0.56580864525854202</v>
          </cell>
          <cell r="G66">
            <v>0.5526388474583761</v>
          </cell>
          <cell r="H66">
            <v>0.58403288619645177</v>
          </cell>
        </row>
        <row r="67">
          <cell r="A67" t="str">
            <v>Diluted EPS after Extraordinary</v>
          </cell>
          <cell r="B67">
            <v>1.0163462456641217</v>
          </cell>
          <cell r="C67">
            <v>1.2022085757379875</v>
          </cell>
          <cell r="D67">
            <v>0.18586233007386577</v>
          </cell>
          <cell r="G67">
            <v>0.52921679758708695</v>
          </cell>
          <cell r="H67">
            <v>0.58380571181306795</v>
          </cell>
        </row>
        <row r="68">
          <cell r="A68" t="str">
            <v>Normalized Earnings Per Share</v>
          </cell>
          <cell r="B68">
            <v>0.5854974735831221</v>
          </cell>
          <cell r="C68">
            <v>0.391413488472312</v>
          </cell>
          <cell r="D68">
            <v>-0.1940839851108101</v>
          </cell>
          <cell r="G68">
            <v>0.50579474771579769</v>
          </cell>
          <cell r="H68">
            <v>0.58357853742968413</v>
          </cell>
        </row>
        <row r="69">
          <cell r="A69" t="str">
            <v>FFO Per Share</v>
          </cell>
          <cell r="B69">
            <v>0.77214972260209103</v>
          </cell>
          <cell r="C69">
            <v>0.77167636285283348</v>
          </cell>
          <cell r="D69">
            <v>-4.7335974925755142E-4</v>
          </cell>
          <cell r="G69">
            <v>0.81447968800061865</v>
          </cell>
          <cell r="H69">
            <v>0.7756923409779316</v>
          </cell>
        </row>
        <row r="70">
          <cell r="D70">
            <v>0</v>
          </cell>
        </row>
        <row r="71">
          <cell r="A71" t="str">
            <v>AFFO Per Share</v>
          </cell>
          <cell r="B71">
            <v>0.49974802786539041</v>
          </cell>
          <cell r="C71">
            <v>0.55464339581986644</v>
          </cell>
          <cell r="D71">
            <v>5.4895367954476026E-2</v>
          </cell>
          <cell r="G71">
            <v>0.58165125451592592</v>
          </cell>
          <cell r="H71">
            <v>0.51620510601471226</v>
          </cell>
        </row>
        <row r="72">
          <cell r="A72" t="str">
            <v>NOI Per Share</v>
          </cell>
          <cell r="B72">
            <v>1.2757802148846189</v>
          </cell>
          <cell r="C72">
            <v>1.2590503124326653</v>
          </cell>
          <cell r="D72">
            <v>-1.6729902451953604E-2</v>
          </cell>
          <cell r="G72">
            <v>1.2833957553058677</v>
          </cell>
          <cell r="H72">
            <v>1.2687689311986152</v>
          </cell>
        </row>
        <row r="73">
          <cell r="A73" t="str">
            <v>EBITDA Per Share</v>
          </cell>
          <cell r="B73">
            <v>1.1790477393682932</v>
          </cell>
          <cell r="C73">
            <v>1.1425237017884078</v>
          </cell>
          <cell r="D73">
            <v>-3.6524037579885427E-2</v>
          </cell>
          <cell r="G73">
            <v>1.1926132157811584</v>
          </cell>
          <cell r="H73">
            <v>1.1695153613154479</v>
          </cell>
        </row>
        <row r="75">
          <cell r="A75" t="str">
            <v>Dividends Per Share</v>
          </cell>
          <cell r="B75">
            <v>0.61499999999999999</v>
          </cell>
          <cell r="C75">
            <v>0.61499999999999999</v>
          </cell>
          <cell r="D75">
            <v>0</v>
          </cell>
          <cell r="G75">
            <v>0.61</v>
          </cell>
          <cell r="H75">
            <v>0.61499999999999999</v>
          </cell>
        </row>
        <row r="77">
          <cell r="A77" t="str">
            <v>Payout Ratio (Net Income)</v>
          </cell>
          <cell r="B77">
            <v>0.60152149256839904</v>
          </cell>
          <cell r="C77">
            <v>0.51176646539192661</v>
          </cell>
          <cell r="D77">
            <v>-8.9755027176472435E-2</v>
          </cell>
          <cell r="G77">
            <v>1.1531694203182481</v>
          </cell>
          <cell r="H77">
            <v>1.0542281296988858</v>
          </cell>
        </row>
        <row r="78">
          <cell r="A78" t="str">
            <v>Payout Ratio (FFO)</v>
          </cell>
          <cell r="B78">
            <v>0.79647765452468544</v>
          </cell>
          <cell r="C78">
            <v>0.79696622781911841</v>
          </cell>
          <cell r="D78">
            <v>4.8857329443297015E-4</v>
          </cell>
          <cell r="G78">
            <v>0.74894439847533267</v>
          </cell>
          <cell r="H78">
            <v>0.79284010877902522</v>
          </cell>
        </row>
        <row r="79">
          <cell r="A79" t="str">
            <v>Payout Ratio (AFFO)</v>
          </cell>
          <cell r="B79">
            <v>1.2306201639792229</v>
          </cell>
          <cell r="C79">
            <v>1.1088205586418554</v>
          </cell>
          <cell r="D79">
            <v>-0.12179960533736756</v>
          </cell>
          <cell r="G79">
            <v>1.0487383896518319</v>
          </cell>
          <cell r="H79">
            <v>1.1913868980259021</v>
          </cell>
        </row>
        <row r="81">
          <cell r="A81" t="str">
            <v>Diluted Weighted Avg. Common Shares</v>
          </cell>
          <cell r="B81">
            <v>89322</v>
          </cell>
          <cell r="C81">
            <v>89302</v>
          </cell>
          <cell r="D81">
            <v>-20</v>
          </cell>
          <cell r="G81">
            <v>86845</v>
          </cell>
          <cell r="H81">
            <v>88922</v>
          </cell>
        </row>
        <row r="82">
          <cell r="A82" t="str">
            <v>Diluted Wght. Avg. Shares &amp; OP Units</v>
          </cell>
          <cell r="B82">
            <v>92840</v>
          </cell>
          <cell r="C82">
            <v>92820</v>
          </cell>
          <cell r="D82">
            <v>-20</v>
          </cell>
          <cell r="G82">
            <v>90513</v>
          </cell>
          <cell r="H82">
            <v>92440</v>
          </cell>
        </row>
        <row r="85">
          <cell r="A85" t="str">
            <v>Gregory Whyte</v>
          </cell>
          <cell r="H85" t="str">
            <v>(212) 761-6331</v>
          </cell>
        </row>
        <row r="86">
          <cell r="A86" t="str">
            <v>Morgan Stanley  REIT Research</v>
          </cell>
          <cell r="H86" t="str">
            <v>Gregory.Whyte@morganstanley.com</v>
          </cell>
        </row>
      </sheetData>
      <sheetData sheetId="22" refreshError="1">
        <row r="1">
          <cell r="A1" t="str">
            <v>Liberty Property Trust</v>
          </cell>
        </row>
        <row r="2">
          <cell r="A2" t="str">
            <v>NAV Calculation</v>
          </cell>
        </row>
        <row r="3">
          <cell r="A3" t="str">
            <v>(Dollars in Thousands, Except Per Share)</v>
          </cell>
        </row>
        <row r="6">
          <cell r="E6" t="str">
            <v>1998A</v>
          </cell>
          <cell r="J6" t="str">
            <v>1999A</v>
          </cell>
        </row>
        <row r="7">
          <cell r="A7" t="str">
            <v>Real Estate Value</v>
          </cell>
          <cell r="C7" t="str">
            <v>1997</v>
          </cell>
          <cell r="E7" t="str">
            <v>1QA</v>
          </cell>
          <cell r="F7" t="str">
            <v>2QA</v>
          </cell>
          <cell r="G7" t="str">
            <v>3QA</v>
          </cell>
          <cell r="H7" t="str">
            <v>4QA</v>
          </cell>
          <cell r="J7" t="str">
            <v>1QA</v>
          </cell>
          <cell r="K7" t="str">
            <v>2QA</v>
          </cell>
          <cell r="L7" t="str">
            <v>3QA</v>
          </cell>
          <cell r="M7" t="str">
            <v>4QA</v>
          </cell>
        </row>
        <row r="8">
          <cell r="A8" t="str">
            <v>Consolidated Property NOI -- Quarterly</v>
          </cell>
          <cell r="C8">
            <v>164282</v>
          </cell>
          <cell r="E8">
            <v>59330</v>
          </cell>
          <cell r="F8">
            <v>66901</v>
          </cell>
          <cell r="G8">
            <v>72563</v>
          </cell>
          <cell r="H8">
            <v>75841</v>
          </cell>
          <cell r="J8">
            <v>80021</v>
          </cell>
          <cell r="K8">
            <v>83071</v>
          </cell>
          <cell r="L8">
            <v>86113</v>
          </cell>
          <cell r="M8">
            <v>87878</v>
          </cell>
        </row>
        <row r="9">
          <cell r="A9" t="str">
            <v>Less: Straight-line Rents -- Quarterly</v>
          </cell>
          <cell r="C9">
            <v>-3269</v>
          </cell>
          <cell r="E9">
            <v>-1242</v>
          </cell>
          <cell r="F9">
            <v>-1632</v>
          </cell>
          <cell r="G9">
            <v>-1335</v>
          </cell>
          <cell r="H9">
            <v>-1516</v>
          </cell>
          <cell r="J9">
            <v>-1807</v>
          </cell>
          <cell r="K9">
            <v>-1968</v>
          </cell>
          <cell r="L9">
            <v>-2378</v>
          </cell>
          <cell r="M9">
            <v>-2109.0720000000001</v>
          </cell>
        </row>
        <row r="10">
          <cell r="A10" t="str">
            <v>Total Quarterly NOI</v>
          </cell>
          <cell r="C10">
            <v>161013</v>
          </cell>
          <cell r="E10">
            <v>58088</v>
          </cell>
          <cell r="F10">
            <v>65269</v>
          </cell>
          <cell r="G10">
            <v>71228</v>
          </cell>
          <cell r="H10">
            <v>74325</v>
          </cell>
          <cell r="J10">
            <v>78214</v>
          </cell>
          <cell r="K10">
            <v>81103</v>
          </cell>
          <cell r="L10">
            <v>83735</v>
          </cell>
          <cell r="M10">
            <v>85768.928</v>
          </cell>
        </row>
        <row r="11">
          <cell r="A11" t="str">
            <v>Annualization Factor</v>
          </cell>
          <cell r="C11">
            <v>1</v>
          </cell>
          <cell r="E11">
            <v>4</v>
          </cell>
          <cell r="F11">
            <v>4</v>
          </cell>
          <cell r="G11">
            <v>4</v>
          </cell>
          <cell r="H11">
            <v>4</v>
          </cell>
          <cell r="J11">
            <v>4</v>
          </cell>
          <cell r="K11">
            <v>4</v>
          </cell>
          <cell r="L11">
            <v>4</v>
          </cell>
          <cell r="M11">
            <v>4</v>
          </cell>
        </row>
        <row r="12">
          <cell r="A12" t="str">
            <v>Annualized NOI</v>
          </cell>
          <cell r="C12">
            <v>161013</v>
          </cell>
          <cell r="E12">
            <v>232352</v>
          </cell>
          <cell r="F12">
            <v>261076</v>
          </cell>
          <cell r="G12">
            <v>284912</v>
          </cell>
          <cell r="H12">
            <v>297300</v>
          </cell>
          <cell r="J12">
            <v>312856</v>
          </cell>
          <cell r="K12">
            <v>324412</v>
          </cell>
          <cell r="L12">
            <v>334940</v>
          </cell>
          <cell r="M12">
            <v>343075.712</v>
          </cell>
        </row>
        <row r="13">
          <cell r="A13" t="str">
            <v xml:space="preserve">Plus: Adjustments for Recently Acq./Develop. Properties </v>
          </cell>
          <cell r="C13">
            <v>6864</v>
          </cell>
          <cell r="E13">
            <v>14572</v>
          </cell>
          <cell r="F13">
            <v>9552</v>
          </cell>
          <cell r="G13">
            <v>10986</v>
          </cell>
          <cell r="H13">
            <v>9070</v>
          </cell>
          <cell r="J13">
            <v>1413.625</v>
          </cell>
          <cell r="K13">
            <v>-2107</v>
          </cell>
          <cell r="L13">
            <v>-1075</v>
          </cell>
          <cell r="M13">
            <v>297.07625000000002</v>
          </cell>
        </row>
        <row r="14">
          <cell r="A14" t="str">
            <v>Total Consolidated NOI</v>
          </cell>
          <cell r="C14">
            <v>167877</v>
          </cell>
          <cell r="E14">
            <v>246924</v>
          </cell>
          <cell r="F14">
            <v>270628</v>
          </cell>
          <cell r="G14">
            <v>295898</v>
          </cell>
          <cell r="H14">
            <v>306370</v>
          </cell>
          <cell r="J14">
            <v>314269.625</v>
          </cell>
          <cell r="K14">
            <v>322305</v>
          </cell>
          <cell r="L14">
            <v>333865</v>
          </cell>
          <cell r="M14">
            <v>343372.78824999998</v>
          </cell>
        </row>
        <row r="15">
          <cell r="A15" t="str">
            <v>Unconsolidated Property NOI -- Quarterly</v>
          </cell>
          <cell r="C15">
            <v>0</v>
          </cell>
          <cell r="E15">
            <v>0</v>
          </cell>
          <cell r="F15">
            <v>0</v>
          </cell>
          <cell r="G15">
            <v>0</v>
          </cell>
          <cell r="H15">
            <v>0</v>
          </cell>
          <cell r="J15">
            <v>0</v>
          </cell>
          <cell r="K15">
            <v>0</v>
          </cell>
          <cell r="L15">
            <v>0</v>
          </cell>
          <cell r="M15">
            <v>0</v>
          </cell>
        </row>
        <row r="16">
          <cell r="A16" t="str">
            <v>Less: Straight-Line Rents -- Quarterly</v>
          </cell>
          <cell r="C16">
            <v>0</v>
          </cell>
          <cell r="E16">
            <v>0</v>
          </cell>
          <cell r="F16">
            <v>0</v>
          </cell>
          <cell r="G16">
            <v>0</v>
          </cell>
          <cell r="H16">
            <v>0</v>
          </cell>
          <cell r="J16">
            <v>0</v>
          </cell>
          <cell r="K16">
            <v>0</v>
          </cell>
          <cell r="L16">
            <v>0</v>
          </cell>
          <cell r="M16">
            <v>0</v>
          </cell>
        </row>
        <row r="17">
          <cell r="A17" t="str">
            <v>Total Quarterly NOI</v>
          </cell>
          <cell r="C17">
            <v>0</v>
          </cell>
          <cell r="E17">
            <v>0</v>
          </cell>
          <cell r="F17">
            <v>0</v>
          </cell>
          <cell r="G17">
            <v>0</v>
          </cell>
          <cell r="H17">
            <v>0</v>
          </cell>
          <cell r="J17">
            <v>0</v>
          </cell>
          <cell r="K17">
            <v>0</v>
          </cell>
          <cell r="L17">
            <v>0</v>
          </cell>
          <cell r="M17">
            <v>0</v>
          </cell>
        </row>
        <row r="18">
          <cell r="A18" t="str">
            <v>Annualization Factor</v>
          </cell>
          <cell r="C18">
            <v>1</v>
          </cell>
          <cell r="E18">
            <v>4</v>
          </cell>
          <cell r="F18">
            <v>4</v>
          </cell>
          <cell r="G18">
            <v>4</v>
          </cell>
          <cell r="H18">
            <v>4</v>
          </cell>
          <cell r="J18">
            <v>4</v>
          </cell>
          <cell r="K18">
            <v>4</v>
          </cell>
          <cell r="L18">
            <v>4</v>
          </cell>
          <cell r="M18">
            <v>4</v>
          </cell>
        </row>
        <row r="19">
          <cell r="A19" t="str">
            <v>Annualized NOI</v>
          </cell>
          <cell r="C19">
            <v>0</v>
          </cell>
          <cell r="E19">
            <v>0</v>
          </cell>
          <cell r="F19">
            <v>0</v>
          </cell>
          <cell r="G19">
            <v>0</v>
          </cell>
          <cell r="H19">
            <v>0</v>
          </cell>
          <cell r="J19">
            <v>0</v>
          </cell>
          <cell r="K19">
            <v>0</v>
          </cell>
          <cell r="L19">
            <v>0</v>
          </cell>
          <cell r="M19">
            <v>0</v>
          </cell>
        </row>
        <row r="20">
          <cell r="A20" t="str">
            <v>Total Unconsolidated NOI</v>
          </cell>
          <cell r="C20">
            <v>0</v>
          </cell>
          <cell r="E20">
            <v>0</v>
          </cell>
          <cell r="F20">
            <v>0</v>
          </cell>
          <cell r="G20">
            <v>0</v>
          </cell>
          <cell r="H20">
            <v>0</v>
          </cell>
          <cell r="J20">
            <v>0</v>
          </cell>
          <cell r="K20">
            <v>0</v>
          </cell>
          <cell r="L20">
            <v>0</v>
          </cell>
          <cell r="M20">
            <v>0</v>
          </cell>
        </row>
        <row r="21">
          <cell r="A21" t="str">
            <v>Total Annualized NOI</v>
          </cell>
          <cell r="C21">
            <v>167877</v>
          </cell>
          <cell r="E21">
            <v>246924</v>
          </cell>
          <cell r="F21">
            <v>270628</v>
          </cell>
          <cell r="G21">
            <v>295898</v>
          </cell>
          <cell r="H21">
            <v>306370</v>
          </cell>
          <cell r="J21">
            <v>314269.625</v>
          </cell>
          <cell r="K21">
            <v>322305</v>
          </cell>
          <cell r="L21">
            <v>333865</v>
          </cell>
          <cell r="M21">
            <v>343372.78824999998</v>
          </cell>
        </row>
        <row r="22">
          <cell r="A22" t="str">
            <v>Portfolio Composition</v>
          </cell>
        </row>
        <row r="23">
          <cell r="A23" t="str">
            <v xml:space="preserve">     Office</v>
          </cell>
          <cell r="C23">
            <v>0.47099999999999997</v>
          </cell>
          <cell r="E23">
            <v>0.47099999999999997</v>
          </cell>
          <cell r="F23">
            <v>0.47099999999999997</v>
          </cell>
          <cell r="G23">
            <v>0.47099999999999997</v>
          </cell>
          <cell r="H23">
            <v>0.47099999999999997</v>
          </cell>
          <cell r="J23">
            <v>0.47099999999999997</v>
          </cell>
          <cell r="K23">
            <v>0.47099999999999997</v>
          </cell>
          <cell r="L23">
            <v>0.47099999999999997</v>
          </cell>
          <cell r="M23">
            <v>0.47099999999999997</v>
          </cell>
        </row>
        <row r="24">
          <cell r="A24" t="str">
            <v xml:space="preserve">     Industrial - Distribution</v>
          </cell>
          <cell r="C24">
            <v>0.23499999999999999</v>
          </cell>
          <cell r="E24">
            <v>0.23499999999999999</v>
          </cell>
          <cell r="F24">
            <v>0.23499999999999999</v>
          </cell>
          <cell r="G24">
            <v>0.23499999999999999</v>
          </cell>
          <cell r="H24">
            <v>0.23499999999999999</v>
          </cell>
          <cell r="J24">
            <v>0.23499999999999999</v>
          </cell>
          <cell r="K24">
            <v>0.23499999999999999</v>
          </cell>
          <cell r="L24">
            <v>0.23499999999999999</v>
          </cell>
          <cell r="M24">
            <v>0.23499999999999999</v>
          </cell>
        </row>
        <row r="25">
          <cell r="A25" t="str">
            <v xml:space="preserve">     Industrial - Flex</v>
          </cell>
          <cell r="C25">
            <v>0.29399999999999998</v>
          </cell>
          <cell r="E25">
            <v>0.29399999999999998</v>
          </cell>
          <cell r="F25">
            <v>0.29399999999999998</v>
          </cell>
          <cell r="G25">
            <v>0.29399999999999998</v>
          </cell>
          <cell r="H25">
            <v>0.29399999999999998</v>
          </cell>
          <cell r="J25">
            <v>0.29399999999999998</v>
          </cell>
          <cell r="K25">
            <v>0.29399999999999998</v>
          </cell>
          <cell r="L25">
            <v>0.29399999999999998</v>
          </cell>
          <cell r="M25">
            <v>0.29399999999999998</v>
          </cell>
        </row>
        <row r="26">
          <cell r="A26" t="str">
            <v>Portfolio By NOI</v>
          </cell>
        </row>
        <row r="27">
          <cell r="A27" t="str">
            <v xml:space="preserve">     Office</v>
          </cell>
          <cell r="C27">
            <v>79070.066999999995</v>
          </cell>
          <cell r="E27">
            <v>116301.204</v>
          </cell>
          <cell r="F27">
            <v>127465.78799999999</v>
          </cell>
          <cell r="G27">
            <v>139367.95799999998</v>
          </cell>
          <cell r="H27">
            <v>144300.26999999999</v>
          </cell>
          <cell r="J27">
            <v>148020.99337499999</v>
          </cell>
          <cell r="K27">
            <v>151805.655</v>
          </cell>
          <cell r="L27">
            <v>157250.41499999998</v>
          </cell>
          <cell r="M27">
            <v>161728.58326574997</v>
          </cell>
        </row>
        <row r="28">
          <cell r="A28" t="str">
            <v xml:space="preserve">     Industrial - Distribution</v>
          </cell>
          <cell r="C28">
            <v>39451.095000000001</v>
          </cell>
          <cell r="E28">
            <v>58027.14</v>
          </cell>
          <cell r="F28">
            <v>63597.579999999994</v>
          </cell>
          <cell r="G28">
            <v>69536.03</v>
          </cell>
          <cell r="H28">
            <v>71996.95</v>
          </cell>
          <cell r="J28">
            <v>73853.361875000002</v>
          </cell>
          <cell r="K28">
            <v>75741.675000000003</v>
          </cell>
          <cell r="L28">
            <v>78458.274999999994</v>
          </cell>
          <cell r="M28">
            <v>80692.605238749995</v>
          </cell>
        </row>
        <row r="29">
          <cell r="A29" t="str">
            <v xml:space="preserve">     Industrial - Flex</v>
          </cell>
          <cell r="C29">
            <v>49355.837999999996</v>
          </cell>
          <cell r="E29">
            <v>72595.656000000003</v>
          </cell>
          <cell r="F29">
            <v>79564.631999999998</v>
          </cell>
          <cell r="G29">
            <v>86994.011999999988</v>
          </cell>
          <cell r="H29">
            <v>90072.78</v>
          </cell>
          <cell r="J29">
            <v>92395.269749999992</v>
          </cell>
          <cell r="K29">
            <v>94757.67</v>
          </cell>
          <cell r="L29">
            <v>98156.31</v>
          </cell>
          <cell r="M29">
            <v>100951.59974549999</v>
          </cell>
        </row>
        <row r="30">
          <cell r="A30" t="str">
            <v xml:space="preserve">          Total</v>
          </cell>
          <cell r="C30">
            <v>167877</v>
          </cell>
          <cell r="E30">
            <v>246924</v>
          </cell>
          <cell r="F30">
            <v>270628</v>
          </cell>
          <cell r="G30">
            <v>295898</v>
          </cell>
          <cell r="H30">
            <v>306370</v>
          </cell>
          <cell r="J30">
            <v>314269.625</v>
          </cell>
          <cell r="K30">
            <v>322305</v>
          </cell>
          <cell r="L30">
            <v>333865</v>
          </cell>
          <cell r="M30">
            <v>343372.78824999998</v>
          </cell>
        </row>
        <row r="31">
          <cell r="A31" t="str">
            <v>Cap Rates to be Used</v>
          </cell>
        </row>
        <row r="32">
          <cell r="A32" t="str">
            <v xml:space="preserve">     Office</v>
          </cell>
          <cell r="C32">
            <v>9.5000000000000001E-2</v>
          </cell>
          <cell r="E32">
            <v>9.5000000000000001E-2</v>
          </cell>
          <cell r="F32">
            <v>9.5000000000000001E-2</v>
          </cell>
          <cell r="G32">
            <v>9.5000000000000001E-2</v>
          </cell>
          <cell r="H32">
            <v>9.5000000000000001E-2</v>
          </cell>
          <cell r="J32">
            <v>9.5000000000000001E-2</v>
          </cell>
          <cell r="K32">
            <v>9.5000000000000001E-2</v>
          </cell>
          <cell r="L32">
            <v>9.5000000000000001E-2</v>
          </cell>
          <cell r="M32">
            <v>9.5000000000000001E-2</v>
          </cell>
        </row>
        <row r="33">
          <cell r="A33" t="str">
            <v xml:space="preserve">     Industrial - Distribution</v>
          </cell>
          <cell r="C33">
            <v>9.8799999999999999E-2</v>
          </cell>
          <cell r="E33">
            <v>9.8799999999999999E-2</v>
          </cell>
          <cell r="F33">
            <v>9.8799999999999999E-2</v>
          </cell>
          <cell r="G33">
            <v>9.8799999999999999E-2</v>
          </cell>
          <cell r="H33">
            <v>9.8799999999999999E-2</v>
          </cell>
          <cell r="J33">
            <v>9.8799999999999999E-2</v>
          </cell>
          <cell r="K33">
            <v>9.8799999999999999E-2</v>
          </cell>
          <cell r="L33">
            <v>9.8799999999999999E-2</v>
          </cell>
          <cell r="M33">
            <v>9.8799999999999999E-2</v>
          </cell>
        </row>
        <row r="34">
          <cell r="A34" t="str">
            <v xml:space="preserve">     Industrial - Flex</v>
          </cell>
          <cell r="C34">
            <v>9.8799999999999999E-2</v>
          </cell>
          <cell r="E34">
            <v>9.8799999999999999E-2</v>
          </cell>
          <cell r="F34">
            <v>9.8799999999999999E-2</v>
          </cell>
          <cell r="G34">
            <v>9.8799999999999999E-2</v>
          </cell>
          <cell r="H34">
            <v>9.8799999999999999E-2</v>
          </cell>
          <cell r="J34">
            <v>9.8799999999999999E-2</v>
          </cell>
          <cell r="K34">
            <v>9.8799999999999999E-2</v>
          </cell>
          <cell r="L34">
            <v>9.8799999999999999E-2</v>
          </cell>
          <cell r="M34">
            <v>9.8799999999999999E-2</v>
          </cell>
        </row>
        <row r="36">
          <cell r="A36" t="str">
            <v>Estimated Capitalization Rate</v>
          </cell>
          <cell r="C36">
            <v>9.7010199999999991E-2</v>
          </cell>
          <cell r="E36">
            <v>9.7010199999999991E-2</v>
          </cell>
          <cell r="F36">
            <v>9.7010199999999991E-2</v>
          </cell>
          <cell r="G36">
            <v>9.7010199999999991E-2</v>
          </cell>
          <cell r="H36">
            <v>9.7010199999999991E-2</v>
          </cell>
          <cell r="J36">
            <v>9.7010199999999991E-2</v>
          </cell>
          <cell r="K36">
            <v>9.7010199999999991E-2</v>
          </cell>
          <cell r="L36">
            <v>9.7010199999999991E-2</v>
          </cell>
          <cell r="M36">
            <v>9.7010199999999991E-2</v>
          </cell>
        </row>
        <row r="38">
          <cell r="A38" t="str">
            <v>Estimated Operating Real Estate Value</v>
          </cell>
          <cell r="C38">
            <v>1731172.0919028339</v>
          </cell>
          <cell r="E38">
            <v>2546316.2769230772</v>
          </cell>
          <cell r="F38">
            <v>2790755.3797570849</v>
          </cell>
          <cell r="G38">
            <v>3051343.3028340074</v>
          </cell>
          <cell r="H38">
            <v>3159332.0931174089</v>
          </cell>
          <cell r="J38">
            <v>3240794.177479757</v>
          </cell>
          <cell r="K38">
            <v>3323656.1356275305</v>
          </cell>
          <cell r="L38">
            <v>3442864.5404858296</v>
          </cell>
          <cell r="M38">
            <v>3540910.2386703435</v>
          </cell>
        </row>
        <row r="40">
          <cell r="A40" t="str">
            <v>Value of Development Pipeline (115% of Work in Prog)</v>
          </cell>
          <cell r="C40">
            <v>250697</v>
          </cell>
          <cell r="E40">
            <v>302550</v>
          </cell>
          <cell r="F40">
            <v>349672</v>
          </cell>
          <cell r="G40">
            <v>359399</v>
          </cell>
          <cell r="H40">
            <v>315000</v>
          </cell>
          <cell r="J40">
            <v>370519.64999999997</v>
          </cell>
          <cell r="K40">
            <v>275000.25</v>
          </cell>
          <cell r="L40">
            <v>315619.8</v>
          </cell>
          <cell r="M40">
            <v>207955.65000000002</v>
          </cell>
        </row>
        <row r="41">
          <cell r="A41" t="str">
            <v>Total Estimated Real Estate Value</v>
          </cell>
          <cell r="C41">
            <v>1981869.0919028339</v>
          </cell>
          <cell r="E41">
            <v>2848866.2769230772</v>
          </cell>
          <cell r="F41">
            <v>3140427.3797570849</v>
          </cell>
          <cell r="G41">
            <v>3410742.3028340074</v>
          </cell>
          <cell r="H41">
            <v>3474332.0931174089</v>
          </cell>
          <cell r="J41">
            <v>3611313.8274797569</v>
          </cell>
          <cell r="K41">
            <v>3598656.3856275305</v>
          </cell>
          <cell r="L41">
            <v>3758484.3404858294</v>
          </cell>
          <cell r="M41">
            <v>3748865.8886703434</v>
          </cell>
        </row>
        <row r="42">
          <cell r="A42" t="str">
            <v>Value of Other Income</v>
          </cell>
        </row>
        <row r="43">
          <cell r="A43" t="str">
            <v>Other Income -- Annualized</v>
          </cell>
          <cell r="C43">
            <v>6483</v>
          </cell>
          <cell r="E43">
            <v>1207</v>
          </cell>
          <cell r="F43">
            <v>1164</v>
          </cell>
          <cell r="G43">
            <v>1458</v>
          </cell>
          <cell r="H43">
            <v>735</v>
          </cell>
          <cell r="I43" t="str">
            <v xml:space="preserve"> </v>
          </cell>
          <cell r="J43">
            <v>4316</v>
          </cell>
          <cell r="K43">
            <v>5160</v>
          </cell>
          <cell r="L43">
            <v>6120</v>
          </cell>
          <cell r="M43">
            <v>5908</v>
          </cell>
        </row>
        <row r="44">
          <cell r="A44" t="str">
            <v>Third-Party Management Income -- Annualized</v>
          </cell>
          <cell r="C44">
            <v>0</v>
          </cell>
          <cell r="E44">
            <v>0</v>
          </cell>
          <cell r="F44">
            <v>0</v>
          </cell>
          <cell r="G44">
            <v>0</v>
          </cell>
          <cell r="H44">
            <v>0</v>
          </cell>
          <cell r="J44">
            <v>0</v>
          </cell>
          <cell r="K44">
            <v>0</v>
          </cell>
          <cell r="L44">
            <v>0</v>
          </cell>
          <cell r="M44">
            <v>0</v>
          </cell>
        </row>
        <row r="45">
          <cell r="A45" t="str">
            <v>Other Income -- Annualized</v>
          </cell>
          <cell r="C45">
            <v>6483</v>
          </cell>
          <cell r="E45">
            <v>1207</v>
          </cell>
          <cell r="F45">
            <v>1164</v>
          </cell>
          <cell r="G45">
            <v>1458</v>
          </cell>
          <cell r="H45">
            <v>735</v>
          </cell>
          <cell r="J45">
            <v>4316</v>
          </cell>
          <cell r="K45">
            <v>5160</v>
          </cell>
          <cell r="L45">
            <v>6120</v>
          </cell>
          <cell r="M45">
            <v>5908</v>
          </cell>
        </row>
        <row r="46">
          <cell r="A46" t="str">
            <v>Multiple on Other Income</v>
          </cell>
          <cell r="C46">
            <v>7</v>
          </cell>
          <cell r="E46">
            <v>7</v>
          </cell>
          <cell r="F46">
            <v>7</v>
          </cell>
          <cell r="G46">
            <v>7</v>
          </cell>
          <cell r="H46">
            <v>7</v>
          </cell>
          <cell r="J46">
            <v>7</v>
          </cell>
          <cell r="K46">
            <v>7</v>
          </cell>
          <cell r="L46">
            <v>7</v>
          </cell>
          <cell r="M46">
            <v>7</v>
          </cell>
        </row>
        <row r="47">
          <cell r="A47" t="str">
            <v>Value of Other Income</v>
          </cell>
          <cell r="C47">
            <v>45381</v>
          </cell>
          <cell r="E47">
            <v>8449</v>
          </cell>
          <cell r="F47">
            <v>8148</v>
          </cell>
          <cell r="G47">
            <v>10206</v>
          </cell>
          <cell r="H47">
            <v>5145</v>
          </cell>
          <cell r="J47">
            <v>30212</v>
          </cell>
          <cell r="K47">
            <v>36120</v>
          </cell>
          <cell r="L47">
            <v>42840</v>
          </cell>
          <cell r="M47">
            <v>41356</v>
          </cell>
        </row>
        <row r="49">
          <cell r="A49" t="str">
            <v>Total Value of Assets</v>
          </cell>
          <cell r="C49">
            <v>2027250.0919028339</v>
          </cell>
          <cell r="E49">
            <v>2857315.2769230772</v>
          </cell>
          <cell r="F49">
            <v>3148575.3797570849</v>
          </cell>
          <cell r="G49">
            <v>3420948.3028340074</v>
          </cell>
          <cell r="H49">
            <v>3479477.0931174089</v>
          </cell>
          <cell r="J49">
            <v>3641525.8274797569</v>
          </cell>
          <cell r="K49">
            <v>3634776.3856275305</v>
          </cell>
          <cell r="L49">
            <v>3801324.3404858294</v>
          </cell>
          <cell r="M49">
            <v>3790221.8886703434</v>
          </cell>
        </row>
        <row r="50">
          <cell r="A50" t="str">
            <v>Adjustments</v>
          </cell>
        </row>
        <row r="51">
          <cell r="A51" t="str">
            <v>Total Debt Outstanding-Consolidated</v>
          </cell>
          <cell r="C51">
            <v>0</v>
          </cell>
          <cell r="E51">
            <v>-1049701</v>
          </cell>
          <cell r="F51">
            <v>-1174004</v>
          </cell>
          <cell r="G51">
            <v>-1237917</v>
          </cell>
          <cell r="H51">
            <v>-1423843</v>
          </cell>
          <cell r="J51">
            <v>-1384686</v>
          </cell>
          <cell r="K51">
            <v>-1416150</v>
          </cell>
          <cell r="L51">
            <v>-1372224</v>
          </cell>
          <cell r="M51">
            <v>-1406825</v>
          </cell>
        </row>
        <row r="52">
          <cell r="A52" t="str">
            <v>Preferred Equity</v>
          </cell>
          <cell r="E52">
            <v>125000</v>
          </cell>
          <cell r="F52">
            <v>125000</v>
          </cell>
          <cell r="G52">
            <v>125000</v>
          </cell>
          <cell r="H52">
            <v>125000</v>
          </cell>
          <cell r="J52">
            <v>125000</v>
          </cell>
          <cell r="K52">
            <v>-125000</v>
          </cell>
          <cell r="L52">
            <v>220000</v>
          </cell>
          <cell r="M52">
            <v>220000</v>
          </cell>
        </row>
        <row r="53">
          <cell r="A53" t="str">
            <v>Cash on Hand</v>
          </cell>
          <cell r="E53">
            <v>37119</v>
          </cell>
          <cell r="F53">
            <v>40342</v>
          </cell>
          <cell r="G53">
            <v>10610</v>
          </cell>
          <cell r="H53">
            <v>14391</v>
          </cell>
          <cell r="J53">
            <v>14726</v>
          </cell>
          <cell r="K53">
            <v>33555</v>
          </cell>
          <cell r="L53">
            <v>48376</v>
          </cell>
          <cell r="M53">
            <v>14391</v>
          </cell>
        </row>
        <row r="54">
          <cell r="A54" t="str">
            <v>Total Adjustments</v>
          </cell>
          <cell r="C54">
            <v>0</v>
          </cell>
          <cell r="E54">
            <v>-887582</v>
          </cell>
          <cell r="F54">
            <v>-1008662</v>
          </cell>
          <cell r="G54">
            <v>-1102307</v>
          </cell>
          <cell r="H54">
            <v>-1284452</v>
          </cell>
          <cell r="J54">
            <v>-1244960</v>
          </cell>
          <cell r="K54">
            <v>-1507595</v>
          </cell>
          <cell r="L54">
            <v>-1103848</v>
          </cell>
          <cell r="M54">
            <v>-1172434</v>
          </cell>
        </row>
        <row r="56">
          <cell r="A56" t="str">
            <v>Implied NAV</v>
          </cell>
          <cell r="C56">
            <v>2027250.0919028339</v>
          </cell>
          <cell r="E56">
            <v>1969733.2769230772</v>
          </cell>
          <cell r="F56">
            <v>2139913.3797570849</v>
          </cell>
          <cell r="G56">
            <v>2318641.3028340074</v>
          </cell>
          <cell r="H56">
            <v>2195025.0931174089</v>
          </cell>
          <cell r="J56">
            <v>2396565.8274797569</v>
          </cell>
          <cell r="K56">
            <v>2127181.3856275305</v>
          </cell>
          <cell r="L56">
            <v>2697476.3404858294</v>
          </cell>
          <cell r="M56">
            <v>2617787.8886703434</v>
          </cell>
        </row>
        <row r="58">
          <cell r="A58" t="str">
            <v>Total Period-End Shares &amp; Units Outstanding</v>
          </cell>
          <cell r="C58">
            <v>52088</v>
          </cell>
          <cell r="E58">
            <v>65832</v>
          </cell>
          <cell r="F58">
            <v>70682</v>
          </cell>
          <cell r="G58">
            <v>74481</v>
          </cell>
          <cell r="H58">
            <v>76160</v>
          </cell>
          <cell r="J58">
            <v>76072</v>
          </cell>
          <cell r="K58">
            <v>76112</v>
          </cell>
          <cell r="L58">
            <v>76203</v>
          </cell>
          <cell r="M58">
            <v>76468</v>
          </cell>
        </row>
        <row r="59">
          <cell r="A59" t="str">
            <v>LRY</v>
          </cell>
        </row>
        <row r="60">
          <cell r="A60" t="str">
            <v>Implied NAV/Share</v>
          </cell>
          <cell r="C60">
            <v>38.919714558110002</v>
          </cell>
          <cell r="E60">
            <v>29.920605130074694</v>
          </cell>
          <cell r="F60">
            <v>30.275223957401952</v>
          </cell>
          <cell r="G60">
            <v>31.13064140967505</v>
          </cell>
          <cell r="H60">
            <v>28.821232840302113</v>
          </cell>
          <cell r="J60">
            <v>31.503915073611275</v>
          </cell>
          <cell r="K60">
            <v>27.948042169796228</v>
          </cell>
          <cell r="L60">
            <v>35.398558330850875</v>
          </cell>
          <cell r="M60">
            <v>34.233769533273311</v>
          </cell>
        </row>
        <row r="61">
          <cell r="A61" t="str">
            <v>Current Value of Shares</v>
          </cell>
          <cell r="C61">
            <v>28.5625</v>
          </cell>
          <cell r="E61">
            <v>26.875</v>
          </cell>
          <cell r="F61">
            <v>25.5625</v>
          </cell>
          <cell r="G61">
            <v>23.8125</v>
          </cell>
          <cell r="H61">
            <v>24.625</v>
          </cell>
          <cell r="J61">
            <v>20.75</v>
          </cell>
          <cell r="K61">
            <v>24.875</v>
          </cell>
          <cell r="L61">
            <v>22.6875</v>
          </cell>
          <cell r="M61">
            <v>24.5625</v>
          </cell>
        </row>
        <row r="62">
          <cell r="A62" t="str">
            <v>Premium or Discount</v>
          </cell>
          <cell r="C62">
            <v>-0.26611743368893204</v>
          </cell>
          <cell r="E62">
            <v>-0.10178955662275035</v>
          </cell>
          <cell r="F62">
            <v>-0.15566272817776283</v>
          </cell>
          <cell r="G62">
            <v>-0.23507840116010759</v>
          </cell>
          <cell r="H62">
            <v>-0.14559518892038226</v>
          </cell>
          <cell r="J62">
            <v>-0.34135170338302212</v>
          </cell>
          <cell r="K62">
            <v>-0.10995554361647919</v>
          </cell>
          <cell r="L62">
            <v>-0.35908406811507965</v>
          </cell>
          <cell r="M62">
            <v>-0.28250670799992905</v>
          </cell>
        </row>
        <row r="64">
          <cell r="A64" t="str">
            <v>Market Implied Capitalization Rate</v>
          </cell>
          <cell r="C64">
            <v>0.14087357780219698</v>
          </cell>
          <cell r="E64">
            <v>0.10526136298723941</v>
          </cell>
          <cell r="F64">
            <v>0.11011654677320133</v>
          </cell>
          <cell r="G64">
            <v>0.11806258840757893</v>
          </cell>
          <cell r="H64">
            <v>0.10788637156760796</v>
          </cell>
          <cell r="J64">
            <v>0.12971755719346048</v>
          </cell>
          <cell r="K64">
            <v>0.10431390197444899</v>
          </cell>
          <cell r="L64">
            <v>0.13493617931268806</v>
          </cell>
          <cell r="M64">
            <v>0.12257327037337049</v>
          </cell>
        </row>
        <row r="65">
          <cell r="A65" t="str">
            <v>NAV Implied Capitalization Rate</v>
          </cell>
        </row>
        <row r="67">
          <cell r="A67" t="str">
            <v>Total Square Footage</v>
          </cell>
        </row>
        <row r="70">
          <cell r="A70" t="str">
            <v xml:space="preserve">E = Morgan Stanley Research Estimates </v>
          </cell>
        </row>
      </sheetData>
      <sheetData sheetId="23" refreshError="1"/>
      <sheetData sheetId="24" refreshError="1"/>
      <sheetData sheetId="25" refreshError="1"/>
      <sheetData sheetId="26" refreshError="1"/>
      <sheetData sheetId="27" refreshError="1">
        <row r="1">
          <cell r="A1" t="str">
            <v>Liberty Property Trust (LRY)</v>
          </cell>
          <cell r="H1" t="str">
            <v>Gregory Whyte</v>
          </cell>
        </row>
        <row r="2">
          <cell r="A2" t="str">
            <v>1Q06 Earnings Variance Analysis Worksheet</v>
          </cell>
          <cell r="H2" t="str">
            <v>Morgan Stanley REIT Research Team</v>
          </cell>
        </row>
        <row r="3">
          <cell r="A3" t="str">
            <v>($ in Thousands, Except per Share Amounts)</v>
          </cell>
          <cell r="H3" t="str">
            <v>(212) 761-6331   Gregory.Whtye@morganstanley.com</v>
          </cell>
        </row>
        <row r="5">
          <cell r="B5">
            <v>46</v>
          </cell>
          <cell r="C5">
            <v>46</v>
          </cell>
          <cell r="G5">
            <v>41</v>
          </cell>
          <cell r="H5">
            <v>44</v>
          </cell>
        </row>
        <row r="7">
          <cell r="B7" t="str">
            <v>MS</v>
          </cell>
          <cell r="C7" t="str">
            <v>Reported</v>
          </cell>
          <cell r="E7" t="str">
            <v>Per Share</v>
          </cell>
        </row>
        <row r="8">
          <cell r="A8" t="str">
            <v>Year Ends December 31</v>
          </cell>
          <cell r="B8" t="str">
            <v>1Q06E</v>
          </cell>
          <cell r="C8" t="str">
            <v>1Q06A</v>
          </cell>
          <cell r="D8" t="str">
            <v>Variance</v>
          </cell>
          <cell r="E8" t="str">
            <v>Impact</v>
          </cell>
          <cell r="F8" t="str">
            <v>Comments</v>
          </cell>
          <cell r="G8" t="str">
            <v>1Q05A</v>
          </cell>
          <cell r="H8" t="str">
            <v>4Q05A</v>
          </cell>
        </row>
        <row r="9">
          <cell r="A9" t="str">
            <v>Revenue</v>
          </cell>
        </row>
        <row r="10">
          <cell r="A10" t="str">
            <v>Rental</v>
          </cell>
          <cell r="B10">
            <v>122963.87589564704</v>
          </cell>
          <cell r="C10">
            <v>117940</v>
          </cell>
          <cell r="D10">
            <v>-5023.875895647041</v>
          </cell>
          <cell r="E10">
            <v>-5.3792276759181974E-2</v>
          </cell>
          <cell r="G10">
            <v>121819</v>
          </cell>
          <cell r="H10">
            <v>121467</v>
          </cell>
        </row>
        <row r="11">
          <cell r="A11" t="str">
            <v>Operating Expense Reimbursement</v>
          </cell>
          <cell r="B11">
            <v>49070.782796702821</v>
          </cell>
          <cell r="C11">
            <v>50838</v>
          </cell>
          <cell r="D11">
            <v>1767.2172032971794</v>
          </cell>
          <cell r="E11">
            <v>1.8922170624421048E-2</v>
          </cell>
          <cell r="G11">
            <v>49581</v>
          </cell>
          <cell r="H11">
            <v>50421</v>
          </cell>
        </row>
        <row r="12">
          <cell r="A12" t="str">
            <v>Total Revenue</v>
          </cell>
          <cell r="B12">
            <v>172034.65869234985</v>
          </cell>
          <cell r="C12">
            <v>168778</v>
          </cell>
          <cell r="D12">
            <v>-3256.6586923498544</v>
          </cell>
          <cell r="E12">
            <v>-3.4870106134760846E-2</v>
          </cell>
          <cell r="G12">
            <v>171400</v>
          </cell>
          <cell r="H12">
            <v>171888</v>
          </cell>
        </row>
        <row r="14">
          <cell r="A14" t="str">
            <v>Expenses</v>
          </cell>
        </row>
        <row r="15">
          <cell r="A15" t="str">
            <v>Rental Property Expenses</v>
          </cell>
          <cell r="B15">
            <v>36274.343389215872</v>
          </cell>
          <cell r="C15">
            <v>36894</v>
          </cell>
          <cell r="D15">
            <v>-619.65661078412813</v>
          </cell>
          <cell r="E15">
            <v>-6.6348653102354339E-3</v>
          </cell>
          <cell r="G15">
            <v>38259</v>
          </cell>
          <cell r="H15">
            <v>37132</v>
          </cell>
        </row>
        <row r="16">
          <cell r="A16" t="str">
            <v>Real Estate Taxes</v>
          </cell>
          <cell r="B16">
            <v>17214.942625390588</v>
          </cell>
          <cell r="C16">
            <v>17664</v>
          </cell>
          <cell r="D16">
            <v>-449.05737460941236</v>
          </cell>
          <cell r="E16">
            <v>-4.8082036812794439E-3</v>
          </cell>
          <cell r="G16">
            <v>15960</v>
          </cell>
          <cell r="H16">
            <v>18783</v>
          </cell>
        </row>
        <row r="17">
          <cell r="A17" t="str">
            <v>Total Expenses</v>
          </cell>
          <cell r="B17">
            <v>53489.286014606463</v>
          </cell>
          <cell r="C17">
            <v>54558</v>
          </cell>
          <cell r="D17">
            <v>-1068.7139853935369</v>
          </cell>
          <cell r="E17">
            <v>-1.144306899151484E-2</v>
          </cell>
          <cell r="G17">
            <v>54219</v>
          </cell>
          <cell r="H17">
            <v>55915</v>
          </cell>
        </row>
        <row r="19">
          <cell r="A19" t="str">
            <v>NOI of JVs</v>
          </cell>
          <cell r="B19">
            <v>804.97</v>
          </cell>
          <cell r="C19">
            <v>1618.3</v>
          </cell>
          <cell r="D19">
            <v>813.33</v>
          </cell>
          <cell r="E19">
            <v>8.7085894168790305E-3</v>
          </cell>
          <cell r="G19">
            <v>797</v>
          </cell>
          <cell r="H19">
            <v>892.05</v>
          </cell>
        </row>
        <row r="20">
          <cell r="A20" t="str">
            <v>Equity in earnings of uncon. JV</v>
          </cell>
          <cell r="B20">
            <v>480</v>
          </cell>
          <cell r="C20">
            <v>0</v>
          </cell>
          <cell r="D20">
            <v>-480</v>
          </cell>
          <cell r="E20">
            <v>-5.1395164571599889E-3</v>
          </cell>
          <cell r="G20">
            <v>0</v>
          </cell>
          <cell r="H20">
            <v>0</v>
          </cell>
        </row>
        <row r="21">
          <cell r="A21" t="str">
            <v>Acquisition &amp; Development NOI</v>
          </cell>
          <cell r="B21">
            <v>258.91659713972103</v>
          </cell>
          <cell r="C21">
            <v>0</v>
          </cell>
          <cell r="D21">
            <v>-258.91659713972103</v>
          </cell>
          <cell r="E21">
            <v>-2.7723044000655399E-3</v>
          </cell>
          <cell r="G21">
            <v>0</v>
          </cell>
          <cell r="H21">
            <v>0</v>
          </cell>
        </row>
        <row r="22">
          <cell r="A22" t="str">
            <v>Net Operating Income</v>
          </cell>
          <cell r="B22">
            <v>120089.25927488311</v>
          </cell>
          <cell r="C22">
            <v>115838.3</v>
          </cell>
          <cell r="D22">
            <v>-4250.9592748831055</v>
          </cell>
          <cell r="E22">
            <v>-4.5516406566622113E-2</v>
          </cell>
          <cell r="G22">
            <v>117978</v>
          </cell>
          <cell r="H22">
            <v>116865.05</v>
          </cell>
        </row>
        <row r="24">
          <cell r="A24" t="str">
            <v>General and Administrative</v>
          </cell>
          <cell r="B24">
            <v>9837.1100716517631</v>
          </cell>
          <cell r="C24">
            <v>10019</v>
          </cell>
          <cell r="D24">
            <v>-181.88992834823694</v>
          </cell>
          <cell r="E24">
            <v>-1.947554750286281E-3</v>
          </cell>
          <cell r="G24">
            <v>8313</v>
          </cell>
          <cell r="H24">
            <v>10816</v>
          </cell>
        </row>
        <row r="26">
          <cell r="A26" t="str">
            <v>EBITDA</v>
          </cell>
          <cell r="B26">
            <v>110252.14920323134</v>
          </cell>
          <cell r="C26">
            <v>105819.3</v>
          </cell>
          <cell r="D26">
            <v>-4432.849203231337</v>
          </cell>
          <cell r="E26">
            <v>-4.7463961316908332E-2</v>
          </cell>
          <cell r="G26">
            <v>109665</v>
          </cell>
          <cell r="H26">
            <v>106049.05</v>
          </cell>
        </row>
        <row r="28">
          <cell r="A28" t="str">
            <v>Interest Expense - consolidated</v>
          </cell>
          <cell r="B28">
            <v>33124.166012504713</v>
          </cell>
          <cell r="C28">
            <v>32052</v>
          </cell>
          <cell r="D28">
            <v>1072.1660125047129</v>
          </cell>
          <cell r="E28">
            <v>1.148003097099078E-2</v>
          </cell>
          <cell r="G28">
            <v>33188</v>
          </cell>
          <cell r="H28">
            <v>32843</v>
          </cell>
        </row>
        <row r="29">
          <cell r="A29" t="str">
            <v>Interest Expense - unconsolidated</v>
          </cell>
          <cell r="B29">
            <v>-411.05</v>
          </cell>
          <cell r="C29">
            <v>-910.15</v>
          </cell>
          <cell r="D29">
            <v>499.1</v>
          </cell>
          <cell r="E29">
            <v>5.3440263828511475E-3</v>
          </cell>
        </row>
        <row r="30">
          <cell r="A30" t="str">
            <v>Depreciation and Amort.</v>
          </cell>
          <cell r="B30">
            <v>39323.83433770376</v>
          </cell>
          <cell r="C30">
            <v>36693</v>
          </cell>
          <cell r="D30">
            <v>2630.83433770376</v>
          </cell>
          <cell r="E30">
            <v>2.8169200780604323E-2</v>
          </cell>
          <cell r="G30">
            <v>35100</v>
          </cell>
          <cell r="H30">
            <v>39121</v>
          </cell>
        </row>
        <row r="31">
          <cell r="A31" t="str">
            <v>JV Depreciation and Amort.</v>
          </cell>
          <cell r="B31">
            <v>-329</v>
          </cell>
          <cell r="C31">
            <v>-553</v>
          </cell>
          <cell r="D31">
            <v>224</v>
          </cell>
          <cell r="E31">
            <v>2.3984410133413283E-3</v>
          </cell>
        </row>
        <row r="32">
          <cell r="A32" t="str">
            <v>Gain (Loss) on Sale - consolidated</v>
          </cell>
          <cell r="B32">
            <v>-2500</v>
          </cell>
          <cell r="C32">
            <v>116</v>
          </cell>
          <cell r="D32">
            <v>2616</v>
          </cell>
          <cell r="E32">
            <v>2.801036469152194E-2</v>
          </cell>
          <cell r="G32">
            <v>-68</v>
          </cell>
          <cell r="H32">
            <v>75258</v>
          </cell>
        </row>
        <row r="33">
          <cell r="A33" t="str">
            <v>Gain (Loss) on Sale - JVs</v>
          </cell>
          <cell r="B33">
            <v>0</v>
          </cell>
          <cell r="C33">
            <v>0</v>
          </cell>
          <cell r="D33">
            <v>0</v>
          </cell>
          <cell r="E33">
            <v>0</v>
          </cell>
        </row>
        <row r="34">
          <cell r="A34" t="str">
            <v>Interest &amp; Other Income</v>
          </cell>
          <cell r="B34">
            <v>2050.25</v>
          </cell>
          <cell r="C34">
            <v>1951</v>
          </cell>
          <cell r="D34">
            <v>-99.25</v>
          </cell>
          <cell r="E34">
            <v>-1.062702100777352E-3</v>
          </cell>
          <cell r="G34">
            <v>1451</v>
          </cell>
          <cell r="H34">
            <v>2411</v>
          </cell>
        </row>
        <row r="35">
          <cell r="A35" t="str">
            <v>Int. &amp; Amort. of Exchangeable Sub. Deb.</v>
          </cell>
          <cell r="B35">
            <v>0</v>
          </cell>
          <cell r="C35">
            <v>0</v>
          </cell>
          <cell r="D35">
            <v>0</v>
          </cell>
          <cell r="E35">
            <v>0</v>
          </cell>
          <cell r="G35">
            <v>0</v>
          </cell>
          <cell r="H35">
            <v>0</v>
          </cell>
        </row>
        <row r="36">
          <cell r="A36" t="str">
            <v>Income Bef. Min. Interest</v>
          </cell>
          <cell r="B36">
            <v>36614.348853022871</v>
          </cell>
          <cell r="C36">
            <v>37678.15</v>
          </cell>
          <cell r="D36">
            <v>1063.80114697713</v>
          </cell>
          <cell r="E36">
            <v>1.1390465629238816E-2</v>
          </cell>
          <cell r="G36">
            <v>43983</v>
          </cell>
          <cell r="H36">
            <v>110970</v>
          </cell>
        </row>
        <row r="37">
          <cell r="A37" t="str">
            <v>Minority Interest In Earnings</v>
          </cell>
          <cell r="B37">
            <v>-4688.8372975709071</v>
          </cell>
          <cell r="C37">
            <v>-4691</v>
          </cell>
          <cell r="D37">
            <v>-2.1627024290928603</v>
          </cell>
          <cell r="E37">
            <v>-2.3156759846380498E-5</v>
          </cell>
          <cell r="G37">
            <v>-4249</v>
          </cell>
          <cell r="H37">
            <v>-7560</v>
          </cell>
        </row>
        <row r="38">
          <cell r="A38" t="str">
            <v>Income taxes</v>
          </cell>
          <cell r="B38">
            <v>-796</v>
          </cell>
          <cell r="C38">
            <v>-375</v>
          </cell>
          <cell r="D38">
            <v>421</v>
          </cell>
          <cell r="E38">
            <v>4.507784225967407E-3</v>
          </cell>
          <cell r="G38">
            <v>-534</v>
          </cell>
          <cell r="H38">
            <v>-12586</v>
          </cell>
        </row>
        <row r="39">
          <cell r="A39" t="str">
            <v>Preferred Share Dividend</v>
          </cell>
          <cell r="B39">
            <v>0</v>
          </cell>
          <cell r="C39">
            <v>0</v>
          </cell>
          <cell r="D39">
            <v>0</v>
          </cell>
          <cell r="E39">
            <v>0</v>
          </cell>
          <cell r="G39">
            <v>0</v>
          </cell>
          <cell r="H39">
            <v>0</v>
          </cell>
        </row>
        <row r="40">
          <cell r="A40" t="str">
            <v>Other Gains/(Losses)</v>
          </cell>
          <cell r="B40">
            <v>350.7</v>
          </cell>
          <cell r="C40">
            <v>-71</v>
          </cell>
          <cell r="D40">
            <v>-421.7</v>
          </cell>
          <cell r="E40">
            <v>-4.5152793541340984E-3</v>
          </cell>
          <cell r="G40">
            <v>0</v>
          </cell>
          <cell r="H40">
            <v>13945</v>
          </cell>
        </row>
        <row r="41">
          <cell r="A41" t="str">
            <v>Discontinued ops net of minority interest (excluding gains)</v>
          </cell>
          <cell r="B41">
            <v>-1419</v>
          </cell>
          <cell r="C41">
            <v>-1644</v>
          </cell>
          <cell r="D41">
            <v>-225</v>
          </cell>
          <cell r="E41">
            <v>-2.4091483392937449E-3</v>
          </cell>
          <cell r="G41">
            <v>-438</v>
          </cell>
          <cell r="H41">
            <v>-1419</v>
          </cell>
        </row>
        <row r="42">
          <cell r="A42" t="str">
            <v>Discontinued op. gains</v>
          </cell>
          <cell r="B42">
            <v>3966</v>
          </cell>
          <cell r="C42">
            <v>59530</v>
          </cell>
          <cell r="D42">
            <v>55564</v>
          </cell>
          <cell r="E42">
            <v>0.59494185922007836</v>
          </cell>
          <cell r="G42">
            <v>7051</v>
          </cell>
          <cell r="H42">
            <v>3966</v>
          </cell>
        </row>
        <row r="43">
          <cell r="A43" t="str">
            <v>Extraordinary Item</v>
          </cell>
          <cell r="B43">
            <v>0</v>
          </cell>
          <cell r="C43">
            <v>0</v>
          </cell>
          <cell r="D43">
            <v>0</v>
          </cell>
          <cell r="E43">
            <v>0</v>
          </cell>
          <cell r="G43">
            <v>0</v>
          </cell>
          <cell r="H43">
            <v>0</v>
          </cell>
        </row>
        <row r="44">
          <cell r="A44" t="str">
            <v>Net Income Available to Common SH</v>
          </cell>
          <cell r="B44">
            <v>34027.21155545197</v>
          </cell>
          <cell r="C44">
            <v>90427.15</v>
          </cell>
          <cell r="D44">
            <v>56399.938444548025</v>
          </cell>
          <cell r="E44">
            <v>0.60389252462201026</v>
          </cell>
          <cell r="G44">
            <v>45601</v>
          </cell>
          <cell r="H44">
            <v>107316</v>
          </cell>
        </row>
        <row r="45">
          <cell r="A45" t="str">
            <v>Adjustment: OP Minority Interest</v>
          </cell>
          <cell r="B45">
            <v>1387.1341725709074</v>
          </cell>
          <cell r="C45">
            <v>3582</v>
          </cell>
          <cell r="D45">
            <v>2194.8658274290929</v>
          </cell>
          <cell r="E45">
            <v>2.3501143836103956E-2</v>
          </cell>
          <cell r="G45">
            <v>1855</v>
          </cell>
          <cell r="H45">
            <v>4273</v>
          </cell>
        </row>
        <row r="46">
          <cell r="A46" t="str">
            <v>Adjustment: Gains and Extraordinary Items</v>
          </cell>
          <cell r="B46">
            <v>-2500</v>
          </cell>
          <cell r="C46">
            <v>116</v>
          </cell>
          <cell r="D46">
            <v>2616</v>
          </cell>
          <cell r="E46">
            <v>2.801036469152194E-2</v>
          </cell>
          <cell r="G46">
            <v>1816</v>
          </cell>
          <cell r="H46">
            <v>75258</v>
          </cell>
        </row>
        <row r="47">
          <cell r="A47" t="str">
            <v>Normalized Earnings</v>
          </cell>
          <cell r="B47">
            <v>37914.345728022876</v>
          </cell>
          <cell r="C47">
            <v>93893.15</v>
          </cell>
          <cell r="D47">
            <v>55978.804271977118</v>
          </cell>
          <cell r="E47">
            <v>0.59938330376659232</v>
          </cell>
          <cell r="G47">
            <v>45640</v>
          </cell>
          <cell r="H47">
            <v>36331</v>
          </cell>
        </row>
        <row r="49">
          <cell r="A49" t="str">
            <v>Adjustments</v>
          </cell>
        </row>
        <row r="50">
          <cell r="A50" t="str">
            <v>Depreciation and Amortization</v>
          </cell>
          <cell r="B50">
            <v>38704.678351336792</v>
          </cell>
          <cell r="C50">
            <v>36591</v>
          </cell>
          <cell r="D50">
            <v>-2113.6783513367918</v>
          </cell>
          <cell r="E50">
            <v>-2.2631843066329656E-2</v>
          </cell>
          <cell r="G50">
            <v>34698</v>
          </cell>
          <cell r="H50">
            <v>38889</v>
          </cell>
        </row>
        <row r="51">
          <cell r="A51" t="str">
            <v>D&amp;A from unconsol. JVs</v>
          </cell>
          <cell r="B51">
            <v>329</v>
          </cell>
          <cell r="C51">
            <v>553</v>
          </cell>
          <cell r="D51">
            <v>224</v>
          </cell>
          <cell r="E51">
            <v>2.3984410133413283E-3</v>
          </cell>
          <cell r="G51">
            <v>366</v>
          </cell>
          <cell r="H51">
            <v>373</v>
          </cell>
        </row>
        <row r="52">
          <cell r="A52" t="str">
            <v>Gain (Loss) on Property Dispositions</v>
          </cell>
          <cell r="B52">
            <v>-1466</v>
          </cell>
          <cell r="C52">
            <v>-59646</v>
          </cell>
          <cell r="D52">
            <v>-58180</v>
          </cell>
          <cell r="E52">
            <v>-0.62295222391160032</v>
          </cell>
          <cell r="G52">
            <v>-8867</v>
          </cell>
          <cell r="H52">
            <v>-79224</v>
          </cell>
        </row>
        <row r="53">
          <cell r="A53" t="str">
            <v>Min. Int. in Income/(Loss), excl. pref unit dist.</v>
          </cell>
          <cell r="B53">
            <v>1387.1341725709074</v>
          </cell>
          <cell r="C53">
            <v>3582</v>
          </cell>
          <cell r="D53">
            <v>2194.8658274290929</v>
          </cell>
          <cell r="E53">
            <v>2.3501143836103956E-2</v>
          </cell>
          <cell r="G53">
            <v>1855</v>
          </cell>
          <cell r="H53">
            <v>4273</v>
          </cell>
        </row>
        <row r="54">
          <cell r="A54" t="str">
            <v>Other Adjustments</v>
          </cell>
          <cell r="B54">
            <v>0</v>
          </cell>
          <cell r="C54">
            <v>0</v>
          </cell>
          <cell r="D54">
            <v>0</v>
          </cell>
          <cell r="E54">
            <v>0</v>
          </cell>
          <cell r="G54">
            <v>0</v>
          </cell>
          <cell r="H54">
            <v>0</v>
          </cell>
        </row>
        <row r="55">
          <cell r="A55" t="str">
            <v>Int. &amp; Amort. of Exchangeable Sub. Deb.</v>
          </cell>
          <cell r="B55">
            <v>0</v>
          </cell>
          <cell r="C55">
            <v>0</v>
          </cell>
          <cell r="D55">
            <v>0</v>
          </cell>
          <cell r="E55">
            <v>0</v>
          </cell>
          <cell r="G55">
            <v>0</v>
          </cell>
          <cell r="H55">
            <v>0</v>
          </cell>
        </row>
        <row r="56">
          <cell r="A56" t="str">
            <v>Funds From Operations</v>
          </cell>
          <cell r="B56">
            <v>72982.02407935966</v>
          </cell>
          <cell r="C56">
            <v>71507.149999999994</v>
          </cell>
          <cell r="D56">
            <v>-1474.8740793596662</v>
          </cell>
          <cell r="E56">
            <v>-1.5791957506474358E-2</v>
          </cell>
          <cell r="G56">
            <v>73653</v>
          </cell>
          <cell r="H56">
            <v>71627</v>
          </cell>
        </row>
        <row r="58">
          <cell r="A58" t="str">
            <v>Straight-lining Adjustment</v>
          </cell>
          <cell r="B58">
            <v>-3242.410000421844</v>
          </cell>
          <cell r="C58">
            <v>-2676</v>
          </cell>
          <cell r="D58">
            <v>566.41000042184396</v>
          </cell>
          <cell r="E58">
            <v>6.064736497225132E-3</v>
          </cell>
          <cell r="G58">
            <v>-2924</v>
          </cell>
          <cell r="H58">
            <v>-3395</v>
          </cell>
        </row>
        <row r="59">
          <cell r="A59" t="str">
            <v>Tenant Improvements &amp; LC's</v>
          </cell>
          <cell r="B59">
            <v>-13879.643797118481</v>
          </cell>
          <cell r="C59">
            <v>-11422</v>
          </cell>
          <cell r="D59">
            <v>2457.6437971184805</v>
          </cell>
          <cell r="E59">
            <v>2.6314793210682492E-2</v>
          </cell>
          <cell r="G59">
            <v>-8536</v>
          </cell>
          <cell r="H59">
            <v>-10814</v>
          </cell>
        </row>
        <row r="60">
          <cell r="A60" t="str">
            <v>Non-reimbursed Capital Expenditures</v>
          </cell>
          <cell r="B60">
            <v>-6099.7692899263393</v>
          </cell>
          <cell r="C60">
            <v>-1222</v>
          </cell>
          <cell r="D60">
            <v>4877.7692899263393</v>
          </cell>
          <cell r="E60">
            <v>5.2227865707929193E-2</v>
          </cell>
          <cell r="G60">
            <v>-1010</v>
          </cell>
          <cell r="H60">
            <v>-5936</v>
          </cell>
        </row>
        <row r="61">
          <cell r="A61" t="str">
            <v>Adjusted Funds From Operations</v>
          </cell>
          <cell r="B61">
            <v>49760.200991892998</v>
          </cell>
          <cell r="C61">
            <v>56187.15</v>
          </cell>
          <cell r="D61">
            <v>6426.9490081069962</v>
          </cell>
          <cell r="E61">
            <v>6.881543790936244E-2</v>
          </cell>
          <cell r="G61">
            <v>61183</v>
          </cell>
          <cell r="H61">
            <v>51482</v>
          </cell>
        </row>
        <row r="64">
          <cell r="A64" t="str">
            <v>Net Income Per Share</v>
          </cell>
          <cell r="B64">
            <v>0.38086467233162419</v>
          </cell>
          <cell r="C64">
            <v>1.0061323378877565</v>
          </cell>
          <cell r="D64">
            <v>0.62526766555613222</v>
          </cell>
          <cell r="G64">
            <v>0.52250383848568871</v>
          </cell>
          <cell r="H64">
            <v>1.2017200062708562</v>
          </cell>
        </row>
        <row r="66">
          <cell r="A66" t="str">
            <v>Diluted EPS before Extraordinary</v>
          </cell>
          <cell r="B66">
            <v>0.40829577566253367</v>
          </cell>
          <cell r="C66">
            <v>1.0053445617491488</v>
          </cell>
          <cell r="D66">
            <v>0.59704878608661516</v>
          </cell>
          <cell r="G66">
            <v>0.50186936441609853</v>
          </cell>
          <cell r="H66">
            <v>2.013003663003663</v>
          </cell>
        </row>
        <row r="67">
          <cell r="A67" t="str">
            <v>Diluted EPS after Extraordinary</v>
          </cell>
          <cell r="B67">
            <v>0.3813735271163351</v>
          </cell>
          <cell r="C67">
            <v>1.0065866115596291</v>
          </cell>
          <cell r="D67">
            <v>0.62521308444329404</v>
          </cell>
          <cell r="G67">
            <v>0.52183857488453922</v>
          </cell>
          <cell r="H67">
            <v>1.2022085757379875</v>
          </cell>
        </row>
        <row r="68">
          <cell r="A68" t="str">
            <v>Normalized Earnings Per Share</v>
          </cell>
          <cell r="B68">
            <v>0.40829577566253367</v>
          </cell>
          <cell r="C68">
            <v>1.0053445617491488</v>
          </cell>
          <cell r="D68">
            <v>0.59704878608661516</v>
          </cell>
          <cell r="G68">
            <v>0.50186936441609853</v>
          </cell>
          <cell r="H68">
            <v>0.391413488472312</v>
          </cell>
        </row>
        <row r="69">
          <cell r="A69" t="str">
            <v>FFO Per Share</v>
          </cell>
          <cell r="B69">
            <v>0.78593607666766807</v>
          </cell>
          <cell r="C69">
            <v>0.76565036297834976</v>
          </cell>
          <cell r="D69">
            <v>-2.0285713689318308E-2</v>
          </cell>
          <cell r="G69">
            <v>0.80990763140532218</v>
          </cell>
          <cell r="H69">
            <v>0.77167636285283348</v>
          </cell>
        </row>
        <row r="70">
          <cell r="D70">
            <v>0</v>
          </cell>
        </row>
        <row r="71">
          <cell r="A71" t="str">
            <v>AFFO Per Share</v>
          </cell>
          <cell r="B71">
            <v>0.53586259952501614</v>
          </cell>
          <cell r="C71">
            <v>0.60161412938732672</v>
          </cell>
          <cell r="D71">
            <v>6.5751529862310587E-2</v>
          </cell>
          <cell r="G71">
            <v>0.67278425335385972</v>
          </cell>
          <cell r="H71">
            <v>0.55464339581986644</v>
          </cell>
        </row>
        <row r="72">
          <cell r="A72" t="str">
            <v>NOI Per Share</v>
          </cell>
          <cell r="B72">
            <v>1.2932291543709145</v>
          </cell>
          <cell r="C72">
            <v>1.2403184358738248</v>
          </cell>
          <cell r="D72">
            <v>-5.2910718497089615E-2</v>
          </cell>
          <cell r="G72">
            <v>1.2973169122498351</v>
          </cell>
          <cell r="H72">
            <v>1.2590503124326653</v>
          </cell>
        </row>
        <row r="73">
          <cell r="A73" t="str">
            <v>EBITDA Per Share</v>
          </cell>
          <cell r="B73">
            <v>1.1872943054407854</v>
          </cell>
          <cell r="C73">
            <v>1.1330417371565626</v>
          </cell>
          <cell r="D73">
            <v>-5.4252568284222757E-2</v>
          </cell>
          <cell r="G73">
            <v>1.2059049923026171</v>
          </cell>
          <cell r="H73">
            <v>1.1425237017884078</v>
          </cell>
        </row>
        <row r="75">
          <cell r="A75" t="str">
            <v>Dividends Per Share</v>
          </cell>
          <cell r="B75">
            <v>0.61499999999999999</v>
          </cell>
          <cell r="C75">
            <v>0.61499999999999999</v>
          </cell>
          <cell r="D75">
            <v>0</v>
          </cell>
          <cell r="G75">
            <v>0.61</v>
          </cell>
          <cell r="H75">
            <v>0.61499999999999999</v>
          </cell>
        </row>
        <row r="77">
          <cell r="A77" t="str">
            <v>Payout Ratio (Net Income)</v>
          </cell>
          <cell r="B77">
            <v>1.6147467714320085</v>
          </cell>
          <cell r="C77">
            <v>0.61125159866256984</v>
          </cell>
          <cell r="D77">
            <v>-1.0034951727694388</v>
          </cell>
          <cell r="G77">
            <v>1.1674555382557401</v>
          </cell>
          <cell r="H77">
            <v>0.51176646539192661</v>
          </cell>
        </row>
        <row r="78">
          <cell r="A78" t="str">
            <v>Payout Ratio (FFO)</v>
          </cell>
          <cell r="B78">
            <v>0.78250638729751532</v>
          </cell>
          <cell r="C78">
            <v>0.80323869710931006</v>
          </cell>
          <cell r="D78">
            <v>2.0732309811794747E-2</v>
          </cell>
          <cell r="G78">
            <v>0.75317230798473922</v>
          </cell>
          <cell r="H78">
            <v>0.79696622781911841</v>
          </cell>
        </row>
        <row r="79">
          <cell r="A79" t="str">
            <v>Payout Ratio (AFFO)</v>
          </cell>
          <cell r="B79">
            <v>1.1476822613579125</v>
          </cell>
          <cell r="C79">
            <v>1.0222499272520498</v>
          </cell>
          <cell r="D79">
            <v>-0.12543233410586274</v>
          </cell>
          <cell r="G79">
            <v>0.90667996011964103</v>
          </cell>
          <cell r="H79">
            <v>1.1088205586418554</v>
          </cell>
        </row>
        <row r="81">
          <cell r="A81" t="str">
            <v>Diluted Weighted Avg. Common Shares</v>
          </cell>
          <cell r="B81">
            <v>89342</v>
          </cell>
          <cell r="C81">
            <v>89876</v>
          </cell>
          <cell r="D81">
            <v>534</v>
          </cell>
          <cell r="G81">
            <v>87274</v>
          </cell>
          <cell r="H81">
            <v>89302</v>
          </cell>
        </row>
        <row r="82">
          <cell r="A82" t="str">
            <v>Diluted Wght. Avg. Shares &amp; OP Units</v>
          </cell>
          <cell r="B82">
            <v>92860</v>
          </cell>
          <cell r="C82">
            <v>93394</v>
          </cell>
          <cell r="D82">
            <v>534</v>
          </cell>
          <cell r="G82">
            <v>90940</v>
          </cell>
          <cell r="H82">
            <v>92820</v>
          </cell>
        </row>
        <row r="85">
          <cell r="A85" t="str">
            <v>Gregory Whyte</v>
          </cell>
          <cell r="H85" t="str">
            <v>(212) 761-6331</v>
          </cell>
        </row>
        <row r="86">
          <cell r="A86" t="str">
            <v>Morgan Stanley  REIT Research</v>
          </cell>
          <cell r="H86" t="str">
            <v>Gregory.Whyte@morganstanley.com</v>
          </cell>
        </row>
      </sheetData>
      <sheetData sheetId="28" refreshError="1">
        <row r="1">
          <cell r="A1" t="str">
            <v>Liberty Property Trust (LRY)</v>
          </cell>
          <cell r="H1" t="str">
            <v>Matt Ostrower</v>
          </cell>
        </row>
        <row r="2">
          <cell r="A2" t="str">
            <v>2Q06 Earnings Variance Analysis Worksheet</v>
          </cell>
          <cell r="H2" t="str">
            <v>Morgan Stanley REIT Research Team</v>
          </cell>
        </row>
        <row r="3">
          <cell r="A3" t="str">
            <v>($ in Thousands, Except per Share Amounts)</v>
          </cell>
          <cell r="H3" t="str">
            <v>(212) 761-6284   Matthew.Ostrower@morganstanley.com</v>
          </cell>
        </row>
        <row r="5">
          <cell r="B5">
            <v>47</v>
          </cell>
          <cell r="C5">
            <v>47</v>
          </cell>
          <cell r="G5">
            <v>42</v>
          </cell>
          <cell r="H5">
            <v>46</v>
          </cell>
        </row>
        <row r="7">
          <cell r="B7" t="str">
            <v>MS</v>
          </cell>
          <cell r="C7" t="str">
            <v>Reported</v>
          </cell>
          <cell r="E7" t="str">
            <v>Per Share</v>
          </cell>
        </row>
        <row r="8">
          <cell r="A8" t="str">
            <v>Year Ends December 31</v>
          </cell>
          <cell r="B8" t="str">
            <v>2Q06E</v>
          </cell>
          <cell r="C8" t="str">
            <v>2Q06A</v>
          </cell>
          <cell r="D8" t="str">
            <v>Variance</v>
          </cell>
          <cell r="E8" t="str">
            <v>Impact</v>
          </cell>
          <cell r="F8" t="str">
            <v>Comments</v>
          </cell>
          <cell r="G8" t="str">
            <v>2Q05A</v>
          </cell>
          <cell r="H8" t="str">
            <v>1Q06A</v>
          </cell>
        </row>
        <row r="9">
          <cell r="A9" t="str">
            <v>Revenue</v>
          </cell>
        </row>
        <row r="10">
          <cell r="A10" t="str">
            <v>Rental</v>
          </cell>
          <cell r="B10">
            <v>121528.06453735562</v>
          </cell>
          <cell r="C10">
            <v>119519</v>
          </cell>
          <cell r="D10">
            <v>-2009.0645373556181</v>
          </cell>
          <cell r="E10">
            <v>-2.1378257843468276E-2</v>
          </cell>
          <cell r="G10">
            <v>129749</v>
          </cell>
          <cell r="H10">
            <v>117940</v>
          </cell>
        </row>
        <row r="11">
          <cell r="A11" t="str">
            <v>Operating Expense Reimbursement</v>
          </cell>
          <cell r="B11">
            <v>49260.164028250423</v>
          </cell>
          <cell r="C11">
            <v>49446</v>
          </cell>
          <cell r="D11">
            <v>185.83597174957686</v>
          </cell>
          <cell r="E11">
            <v>1.9774622700190138E-3</v>
          </cell>
          <cell r="G11">
            <v>48522</v>
          </cell>
          <cell r="H11">
            <v>50838</v>
          </cell>
        </row>
        <row r="12">
          <cell r="A12" t="str">
            <v>Total Revenue</v>
          </cell>
          <cell r="B12">
            <v>170788.22856560606</v>
          </cell>
          <cell r="C12">
            <v>168965</v>
          </cell>
          <cell r="D12">
            <v>-1823.2285656060558</v>
          </cell>
          <cell r="E12">
            <v>-1.9400795573449415E-2</v>
          </cell>
          <cell r="G12">
            <v>178271</v>
          </cell>
          <cell r="H12">
            <v>168778</v>
          </cell>
        </row>
        <row r="14">
          <cell r="A14" t="str">
            <v>Expenses</v>
          </cell>
        </row>
        <row r="15">
          <cell r="A15" t="str">
            <v>Rental Property Expenses</v>
          </cell>
          <cell r="B15">
            <v>35850.779038519904</v>
          </cell>
          <cell r="C15">
            <v>34694</v>
          </cell>
          <cell r="D15">
            <v>1156.7790385199041</v>
          </cell>
          <cell r="E15">
            <v>1.2309171802886921E-2</v>
          </cell>
          <cell r="G15">
            <v>35056</v>
          </cell>
          <cell r="H15">
            <v>36894</v>
          </cell>
        </row>
        <row r="16">
          <cell r="A16" t="str">
            <v>Real Estate Taxes</v>
          </cell>
          <cell r="B16">
            <v>17013.929035229787</v>
          </cell>
          <cell r="C16">
            <v>18152</v>
          </cell>
          <cell r="D16">
            <v>-1138.0709647702133</v>
          </cell>
          <cell r="E16">
            <v>-1.2110101032914579E-2</v>
          </cell>
          <cell r="G16">
            <v>17031</v>
          </cell>
          <cell r="H16">
            <v>17664</v>
          </cell>
        </row>
        <row r="17">
          <cell r="A17" t="str">
            <v>Total Expenses</v>
          </cell>
          <cell r="B17">
            <v>52864.708073749687</v>
          </cell>
          <cell r="C17">
            <v>52846</v>
          </cell>
          <cell r="D17">
            <v>18.708073749687173</v>
          </cell>
          <cell r="E17">
            <v>1.9907076997230358E-4</v>
          </cell>
          <cell r="G17">
            <v>52087</v>
          </cell>
          <cell r="H17">
            <v>54558</v>
          </cell>
        </row>
        <row r="19">
          <cell r="A19" t="str">
            <v>NOI of JVs</v>
          </cell>
          <cell r="B19">
            <v>1650.6660000000002</v>
          </cell>
          <cell r="C19">
            <v>1958</v>
          </cell>
          <cell r="D19">
            <v>307.33399999999983</v>
          </cell>
          <cell r="E19">
            <v>3.2703108207327307E-3</v>
          </cell>
          <cell r="G19">
            <v>748</v>
          </cell>
          <cell r="H19">
            <v>1618.3</v>
          </cell>
        </row>
        <row r="20">
          <cell r="A20" t="str">
            <v>Equity in earnings of uncon. JV</v>
          </cell>
          <cell r="B20">
            <v>0</v>
          </cell>
          <cell r="C20">
            <v>0</v>
          </cell>
          <cell r="D20">
            <v>0</v>
          </cell>
          <cell r="E20">
            <v>0</v>
          </cell>
          <cell r="G20">
            <v>0</v>
          </cell>
          <cell r="H20">
            <v>0</v>
          </cell>
        </row>
        <row r="21">
          <cell r="A21" t="str">
            <v>Acquisition &amp; Development NOI</v>
          </cell>
          <cell r="B21">
            <v>-1995.5339583333334</v>
          </cell>
          <cell r="C21">
            <v>0</v>
          </cell>
          <cell r="D21">
            <v>1995.5339583333334</v>
          </cell>
          <cell r="E21">
            <v>2.1234280284892403E-2</v>
          </cell>
          <cell r="G21">
            <v>0</v>
          </cell>
          <cell r="H21">
            <v>0</v>
          </cell>
        </row>
        <row r="22">
          <cell r="A22" t="str">
            <v>Net Operating Income</v>
          </cell>
          <cell r="B22">
            <v>117578.65253352304</v>
          </cell>
          <cell r="C22">
            <v>118077</v>
          </cell>
          <cell r="D22">
            <v>498.34746647696011</v>
          </cell>
          <cell r="E22">
            <v>5.3028663021479731E-3</v>
          </cell>
          <cell r="G22">
            <v>126932</v>
          </cell>
          <cell r="H22">
            <v>115838.3</v>
          </cell>
        </row>
        <row r="24">
          <cell r="A24" t="str">
            <v>General and Administrative</v>
          </cell>
          <cell r="B24">
            <v>10268.058749163021</v>
          </cell>
          <cell r="C24">
            <v>11501</v>
          </cell>
          <cell r="D24">
            <v>-1232.9412508369787</v>
          </cell>
          <cell r="E24">
            <v>-1.3119606401959827E-2</v>
          </cell>
          <cell r="G24">
            <v>9390</v>
          </cell>
          <cell r="H24">
            <v>10019</v>
          </cell>
        </row>
        <row r="26">
          <cell r="A26" t="str">
            <v>EBITDA</v>
          </cell>
          <cell r="B26">
            <v>107310.59378436001</v>
          </cell>
          <cell r="C26">
            <v>106576</v>
          </cell>
          <cell r="D26">
            <v>-734.59378436001134</v>
          </cell>
          <cell r="E26">
            <v>-7.816740099811776E-3</v>
          </cell>
          <cell r="G26">
            <v>117542</v>
          </cell>
          <cell r="H26">
            <v>105819.3</v>
          </cell>
        </row>
        <row r="28">
          <cell r="A28" t="str">
            <v>Interest Expense - consolidated</v>
          </cell>
          <cell r="B28">
            <v>31541.002875277027</v>
          </cell>
          <cell r="C28">
            <v>29628</v>
          </cell>
          <cell r="D28">
            <v>1913.0028752770268</v>
          </cell>
          <cell r="E28">
            <v>2.0356075159635088E-2</v>
          </cell>
          <cell r="G28">
            <v>33773</v>
          </cell>
          <cell r="H28">
            <v>32052</v>
          </cell>
        </row>
        <row r="29">
          <cell r="A29" t="str">
            <v>Interest Expense - unconsolidated</v>
          </cell>
          <cell r="B29">
            <v>-910.15</v>
          </cell>
          <cell r="C29">
            <v>-1115.25</v>
          </cell>
          <cell r="D29">
            <v>205.1</v>
          </cell>
          <cell r="E29">
            <v>2.1824488970705602E-3</v>
          </cell>
        </row>
        <row r="30">
          <cell r="A30" t="str">
            <v>Depreciation and Amort.</v>
          </cell>
          <cell r="B30">
            <v>36928.7647457739</v>
          </cell>
          <cell r="C30">
            <v>37323</v>
          </cell>
          <cell r="D30">
            <v>-394.23525422609964</v>
          </cell>
          <cell r="E30">
            <v>-4.1950185069336079E-3</v>
          </cell>
          <cell r="G30">
            <v>37556</v>
          </cell>
          <cell r="H30">
            <v>36693</v>
          </cell>
        </row>
        <row r="31">
          <cell r="A31" t="str">
            <v>JV Depreciation and Amort.</v>
          </cell>
          <cell r="B31">
            <v>-553</v>
          </cell>
          <cell r="C31">
            <v>-763</v>
          </cell>
          <cell r="D31">
            <v>210</v>
          </cell>
          <cell r="E31">
            <v>2.2345893144067167E-3</v>
          </cell>
        </row>
        <row r="32">
          <cell r="A32" t="str">
            <v>Gain (Loss) on Sale - consolidated</v>
          </cell>
          <cell r="B32">
            <v>11200</v>
          </cell>
          <cell r="C32">
            <v>17438</v>
          </cell>
          <cell r="D32">
            <v>6238</v>
          </cell>
          <cell r="E32">
            <v>6.6377943539376649E-2</v>
          </cell>
          <cell r="G32">
            <v>-504</v>
          </cell>
          <cell r="H32">
            <v>116</v>
          </cell>
        </row>
        <row r="33">
          <cell r="A33" t="str">
            <v>Gain (Loss) on Sale - JVs</v>
          </cell>
          <cell r="B33">
            <v>0</v>
          </cell>
          <cell r="C33">
            <v>661</v>
          </cell>
          <cell r="D33">
            <v>-661</v>
          </cell>
          <cell r="E33">
            <v>-7.0336358896325698E-3</v>
          </cell>
        </row>
        <row r="34">
          <cell r="A34" t="str">
            <v>Interest &amp; Other Income</v>
          </cell>
          <cell r="B34">
            <v>2101</v>
          </cell>
          <cell r="C34">
            <v>2222</v>
          </cell>
          <cell r="D34">
            <v>121</v>
          </cell>
          <cell r="E34">
            <v>1.2875490811581557E-3</v>
          </cell>
          <cell r="G34">
            <v>2174</v>
          </cell>
          <cell r="H34">
            <v>1951</v>
          </cell>
        </row>
        <row r="35">
          <cell r="A35" t="str">
            <v>Int. &amp; Amort. of Exchangeable Sub. Deb.</v>
          </cell>
          <cell r="B35">
            <v>0</v>
          </cell>
          <cell r="C35">
            <v>0</v>
          </cell>
          <cell r="D35">
            <v>0</v>
          </cell>
          <cell r="E35">
            <v>0</v>
          </cell>
          <cell r="G35">
            <v>0</v>
          </cell>
          <cell r="H35">
            <v>0</v>
          </cell>
        </row>
        <row r="36">
          <cell r="A36" t="str">
            <v>Income Bef. Min. Interest</v>
          </cell>
          <cell r="B36">
            <v>50678.676163309079</v>
          </cell>
          <cell r="C36">
            <v>58067.75</v>
          </cell>
          <cell r="D36">
            <v>7389.0738366909209</v>
          </cell>
          <cell r="E36">
            <v>7.8626406851579858E-2</v>
          </cell>
          <cell r="G36">
            <v>47317</v>
          </cell>
          <cell r="H36">
            <v>37678.15</v>
          </cell>
        </row>
        <row r="37">
          <cell r="A37" t="str">
            <v>Minority Interest In Earnings</v>
          </cell>
          <cell r="B37">
            <v>-5201.7349124386828</v>
          </cell>
          <cell r="C37">
            <v>-5839</v>
          </cell>
          <cell r="D37">
            <v>-637.26508756131716</v>
          </cell>
          <cell r="E37">
            <v>-6.781075024328476E-3</v>
          </cell>
          <cell r="G37">
            <v>-5049</v>
          </cell>
          <cell r="H37">
            <v>-4691</v>
          </cell>
        </row>
        <row r="38">
          <cell r="A38" t="str">
            <v>Income taxes</v>
          </cell>
          <cell r="B38">
            <v>-375</v>
          </cell>
          <cell r="C38">
            <v>-235</v>
          </cell>
          <cell r="D38">
            <v>140</v>
          </cell>
          <cell r="E38">
            <v>1.4897262096044777E-3</v>
          </cell>
          <cell r="G38">
            <v>-911</v>
          </cell>
          <cell r="H38">
            <v>-375</v>
          </cell>
        </row>
        <row r="39">
          <cell r="A39" t="str">
            <v>Preferred Share Dividend</v>
          </cell>
          <cell r="B39">
            <v>0</v>
          </cell>
          <cell r="C39">
            <v>0</v>
          </cell>
          <cell r="D39">
            <v>0</v>
          </cell>
          <cell r="E39">
            <v>0</v>
          </cell>
          <cell r="G39">
            <v>0</v>
          </cell>
          <cell r="H39">
            <v>0</v>
          </cell>
        </row>
        <row r="40">
          <cell r="A40" t="str">
            <v>Other Gains/(Losses)</v>
          </cell>
          <cell r="B40">
            <v>2450.6933333333332</v>
          </cell>
          <cell r="C40">
            <v>0</v>
          </cell>
          <cell r="D40">
            <v>-2450.6933333333332</v>
          </cell>
          <cell r="E40">
            <v>-2.6077586359783064E-2</v>
          </cell>
          <cell r="G40">
            <v>0</v>
          </cell>
          <cell r="H40">
            <v>-71</v>
          </cell>
        </row>
        <row r="41">
          <cell r="A41" t="str">
            <v>Discontinued ops net of minority interest (excluding gains)</v>
          </cell>
          <cell r="B41">
            <v>-1644</v>
          </cell>
          <cell r="C41">
            <v>-94</v>
          </cell>
          <cell r="D41">
            <v>1550</v>
          </cell>
          <cell r="E41">
            <v>1.6493397320621002E-2</v>
          </cell>
          <cell r="G41">
            <v>-24</v>
          </cell>
          <cell r="H41">
            <v>-1644</v>
          </cell>
        </row>
        <row r="42">
          <cell r="A42" t="str">
            <v>Discontinued op. gains</v>
          </cell>
          <cell r="B42">
            <v>0</v>
          </cell>
          <cell r="C42">
            <v>16550</v>
          </cell>
          <cell r="D42">
            <v>16550</v>
          </cell>
          <cell r="E42">
            <v>0.17610691977824361</v>
          </cell>
          <cell r="G42">
            <v>7244</v>
          </cell>
          <cell r="H42">
            <v>59530</v>
          </cell>
        </row>
        <row r="43">
          <cell r="A43" t="str">
            <v>Extraordinary Item</v>
          </cell>
          <cell r="B43">
            <v>0</v>
          </cell>
          <cell r="C43">
            <v>0</v>
          </cell>
          <cell r="D43">
            <v>0</v>
          </cell>
          <cell r="E43">
            <v>0</v>
          </cell>
          <cell r="G43">
            <v>0</v>
          </cell>
          <cell r="H43">
            <v>0</v>
          </cell>
        </row>
        <row r="44">
          <cell r="A44" t="str">
            <v>Net Income Available to Common SH</v>
          </cell>
          <cell r="B44">
            <v>45908.634584203734</v>
          </cell>
          <cell r="C44">
            <v>68449.75</v>
          </cell>
          <cell r="D44">
            <v>22541.115415796266</v>
          </cell>
          <cell r="E44">
            <v>0.23985778877593739</v>
          </cell>
          <cell r="G44">
            <v>44557</v>
          </cell>
          <cell r="H44">
            <v>90427.15</v>
          </cell>
        </row>
        <row r="45">
          <cell r="A45" t="str">
            <v>Adjustment: OP Minority Interest</v>
          </cell>
          <cell r="B45">
            <v>1900.0317874386826</v>
          </cell>
          <cell r="C45">
            <v>3210</v>
          </cell>
          <cell r="D45">
            <v>1309.9682125613174</v>
          </cell>
          <cell r="E45">
            <v>1.3939242714295173E-2</v>
          </cell>
          <cell r="G45">
            <v>1797</v>
          </cell>
          <cell r="H45">
            <v>3582</v>
          </cell>
        </row>
        <row r="46">
          <cell r="A46" t="str">
            <v>Adjustment: Gains and Extraordinary Items</v>
          </cell>
          <cell r="B46">
            <v>11200</v>
          </cell>
          <cell r="C46">
            <v>18099</v>
          </cell>
          <cell r="D46">
            <v>6899</v>
          </cell>
          <cell r="E46">
            <v>7.3411579429009222E-2</v>
          </cell>
          <cell r="G46">
            <v>-504</v>
          </cell>
          <cell r="H46">
            <v>116</v>
          </cell>
        </row>
        <row r="47">
          <cell r="A47" t="str">
            <v>Normalized Earnings</v>
          </cell>
          <cell r="B47">
            <v>36608.666371642415</v>
          </cell>
          <cell r="C47">
            <v>53560.75</v>
          </cell>
          <cell r="D47">
            <v>16952.083628357585</v>
          </cell>
          <cell r="E47">
            <v>0.18038545206122333</v>
          </cell>
          <cell r="G47">
            <v>46858</v>
          </cell>
          <cell r="H47">
            <v>93893.15</v>
          </cell>
        </row>
        <row r="49">
          <cell r="A49" t="str">
            <v>Adjustments</v>
          </cell>
        </row>
        <row r="50">
          <cell r="A50" t="str">
            <v>Depreciation and Amortization</v>
          </cell>
          <cell r="B50">
            <v>36347.319265022277</v>
          </cell>
          <cell r="C50">
            <v>37809</v>
          </cell>
          <cell r="D50">
            <v>1461.6807349777228</v>
          </cell>
          <cell r="E50">
            <v>1.5553600721216072E-2</v>
          </cell>
          <cell r="G50">
            <v>37085</v>
          </cell>
          <cell r="H50">
            <v>36591</v>
          </cell>
        </row>
        <row r="51">
          <cell r="A51" t="str">
            <v>D&amp;A from unconsol. JVs</v>
          </cell>
          <cell r="B51">
            <v>553</v>
          </cell>
          <cell r="C51">
            <v>763</v>
          </cell>
          <cell r="D51">
            <v>210</v>
          </cell>
          <cell r="E51">
            <v>2.2345893144067167E-3</v>
          </cell>
          <cell r="G51">
            <v>286</v>
          </cell>
          <cell r="H51">
            <v>553</v>
          </cell>
        </row>
        <row r="52">
          <cell r="A52" t="str">
            <v>Gain (Loss) on Property Dispositions</v>
          </cell>
          <cell r="B52">
            <v>-11200</v>
          </cell>
          <cell r="C52">
            <v>-34649</v>
          </cell>
          <cell r="D52">
            <v>-23449</v>
          </cell>
          <cell r="E52">
            <v>-0.24951849920725283</v>
          </cell>
          <cell r="G52">
            <v>-6740</v>
          </cell>
          <cell r="H52">
            <v>-59646</v>
          </cell>
        </row>
        <row r="53">
          <cell r="A53" t="str">
            <v>Min. Int. in Income/(Loss), excl. pref unit dist.</v>
          </cell>
          <cell r="B53">
            <v>1900.0317874386826</v>
          </cell>
          <cell r="C53">
            <v>3210</v>
          </cell>
          <cell r="D53">
            <v>1309.9682125613174</v>
          </cell>
          <cell r="E53">
            <v>1.3939242714295173E-2</v>
          </cell>
          <cell r="G53">
            <v>1797</v>
          </cell>
          <cell r="H53">
            <v>3582</v>
          </cell>
        </row>
        <row r="54">
          <cell r="A54" t="str">
            <v>Other Adjustments</v>
          </cell>
          <cell r="B54">
            <v>0</v>
          </cell>
          <cell r="C54">
            <v>0</v>
          </cell>
          <cell r="D54">
            <v>0</v>
          </cell>
          <cell r="E54">
            <v>0</v>
          </cell>
          <cell r="G54">
            <v>0</v>
          </cell>
          <cell r="H54">
            <v>0</v>
          </cell>
        </row>
        <row r="55">
          <cell r="A55" t="str">
            <v>Int. &amp; Amort. of Exchangeable Sub. Deb.</v>
          </cell>
          <cell r="B55">
            <v>0</v>
          </cell>
          <cell r="C55">
            <v>0</v>
          </cell>
          <cell r="D55">
            <v>0</v>
          </cell>
          <cell r="E55">
            <v>0</v>
          </cell>
          <cell r="G55">
            <v>0</v>
          </cell>
          <cell r="H55">
            <v>0</v>
          </cell>
        </row>
        <row r="56">
          <cell r="A56" t="str">
            <v>Funds From Operations</v>
          </cell>
          <cell r="B56">
            <v>73508.9856366647</v>
          </cell>
          <cell r="C56">
            <v>75582.75</v>
          </cell>
          <cell r="D56">
            <v>2073.7643633353</v>
          </cell>
          <cell r="E56">
            <v>2.2066722318602423E-2</v>
          </cell>
          <cell r="G56">
            <v>76985</v>
          </cell>
          <cell r="H56">
            <v>71507.149999999994</v>
          </cell>
        </row>
        <row r="58">
          <cell r="A58" t="str">
            <v>Straight-lining Adjustment</v>
          </cell>
          <cell r="B58">
            <v>-2716.2041758184264</v>
          </cell>
          <cell r="C58">
            <v>-2397</v>
          </cell>
          <cell r="D58">
            <v>319.20417581842639</v>
          </cell>
          <cell r="E58">
            <v>3.3966201923707547E-3</v>
          </cell>
          <cell r="G58">
            <v>-2969</v>
          </cell>
          <cell r="H58">
            <v>-2676</v>
          </cell>
        </row>
        <row r="59">
          <cell r="A59" t="str">
            <v>Tenant Improvements &amp; LC's</v>
          </cell>
          <cell r="B59">
            <v>-11593.603922346065</v>
          </cell>
          <cell r="C59">
            <v>-16519</v>
          </cell>
          <cell r="D59">
            <v>-4925.3960776539352</v>
          </cell>
          <cell r="E59">
            <v>-5.2410654496886845E-2</v>
          </cell>
          <cell r="G59">
            <v>-18060</v>
          </cell>
          <cell r="H59">
            <v>-11422</v>
          </cell>
        </row>
        <row r="60">
          <cell r="A60" t="str">
            <v>Non-reimbursed Capital Expenditures</v>
          </cell>
          <cell r="B60">
            <v>-1240.3593059978016</v>
          </cell>
          <cell r="C60">
            <v>-2100</v>
          </cell>
          <cell r="D60">
            <v>-859.64069400219842</v>
          </cell>
          <cell r="E60">
            <v>-9.1473519478404118E-3</v>
          </cell>
          <cell r="G60">
            <v>-1985</v>
          </cell>
          <cell r="H60">
            <v>-1222</v>
          </cell>
        </row>
        <row r="61">
          <cell r="A61" t="str">
            <v>Adjusted Funds From Operations</v>
          </cell>
          <cell r="B61">
            <v>57958.81823250241</v>
          </cell>
          <cell r="C61">
            <v>54566.75</v>
          </cell>
          <cell r="D61">
            <v>-3392.06823250241</v>
          </cell>
          <cell r="E61">
            <v>-3.6094663933754108E-2</v>
          </cell>
          <cell r="G61">
            <v>53971</v>
          </cell>
          <cell r="H61">
            <v>56187.15</v>
          </cell>
        </row>
        <row r="64">
          <cell r="A64" t="str">
            <v>Net Income Per Share</v>
          </cell>
          <cell r="B64">
            <v>0.508311202712739</v>
          </cell>
          <cell r="C64">
            <v>0.75782460918471284</v>
          </cell>
          <cell r="D64">
            <v>0.24951340647197384</v>
          </cell>
          <cell r="G64">
            <v>0.50555971588717186</v>
          </cell>
          <cell r="H64">
            <v>1.0061323378877565</v>
          </cell>
        </row>
        <row r="66">
          <cell r="A66" t="str">
            <v>Diluted EPS before Extraordinary</v>
          </cell>
          <cell r="B66">
            <v>0.62886231399751069</v>
          </cell>
          <cell r="C66">
            <v>0.95511401725954226</v>
          </cell>
          <cell r="D66">
            <v>0.32625170326203157</v>
          </cell>
          <cell r="G66">
            <v>0.50026731841441996</v>
          </cell>
          <cell r="H66">
            <v>1.0053445617491488</v>
          </cell>
        </row>
        <row r="67">
          <cell r="A67" t="str">
            <v>Diluted EPS after Extraordinary</v>
          </cell>
          <cell r="B67">
            <v>0.50950259364028405</v>
          </cell>
          <cell r="C67">
            <v>0.76252434106217482</v>
          </cell>
          <cell r="D67">
            <v>0.25302174742189076</v>
          </cell>
          <cell r="G67">
            <v>0.50576644008248683</v>
          </cell>
          <cell r="H67">
            <v>1.0065866115596291</v>
          </cell>
        </row>
        <row r="68">
          <cell r="A68" t="str">
            <v>Normalized Earnings Per Share</v>
          </cell>
          <cell r="B68">
            <v>0.39014287328305747</v>
          </cell>
          <cell r="C68">
            <v>0.56993466486480737</v>
          </cell>
          <cell r="D68">
            <v>0.1797917915817499</v>
          </cell>
          <cell r="G68">
            <v>0.51126556175055371</v>
          </cell>
          <cell r="H68">
            <v>1.0053445617491488</v>
          </cell>
        </row>
        <row r="69">
          <cell r="A69" t="str">
            <v>FFO Per Share</v>
          </cell>
          <cell r="B69">
            <v>0.78339392583354328</v>
          </cell>
          <cell r="C69">
            <v>0.80426859763559166</v>
          </cell>
          <cell r="D69">
            <v>2.0874671802048383E-2</v>
          </cell>
          <cell r="G69">
            <v>0.83997992384152931</v>
          </cell>
          <cell r="H69">
            <v>0.76565036297834976</v>
          </cell>
        </row>
        <row r="70">
          <cell r="D70">
            <v>0</v>
          </cell>
        </row>
        <row r="71">
          <cell r="A71" t="str">
            <v>AFFO Per Share</v>
          </cell>
          <cell r="B71">
            <v>0.61767395861310836</v>
          </cell>
          <cell r="C71">
            <v>0.58063941177096523</v>
          </cell>
          <cell r="D71">
            <v>-3.7034546842143135E-2</v>
          </cell>
          <cell r="G71">
            <v>0.58887518957785512</v>
          </cell>
          <cell r="H71">
            <v>0.60161412938732672</v>
          </cell>
        </row>
        <row r="72">
          <cell r="A72" t="str">
            <v>NOI Per Share</v>
          </cell>
          <cell r="B72">
            <v>1.253049561284002</v>
          </cell>
          <cell r="C72">
            <v>1.2564457260819137</v>
          </cell>
          <cell r="D72">
            <v>3.396164797911716E-3</v>
          </cell>
          <cell r="G72">
            <v>1.384949427720374</v>
          </cell>
          <cell r="H72">
            <v>1.2403184358738248</v>
          </cell>
        </row>
        <row r="73">
          <cell r="A73" t="str">
            <v>EBITDA Per Share</v>
          </cell>
          <cell r="B73">
            <v>1.1436216487026025</v>
          </cell>
          <cell r="C73">
            <v>1.1340647179629058</v>
          </cell>
          <cell r="D73">
            <v>-9.5569307396967673E-3</v>
          </cell>
          <cell r="G73">
            <v>1.282495553785556</v>
          </cell>
          <cell r="H73">
            <v>1.1330417371565626</v>
          </cell>
        </row>
        <row r="75">
          <cell r="A75" t="str">
            <v>Dividends Per Share</v>
          </cell>
          <cell r="B75">
            <v>0.61499999999999999</v>
          </cell>
          <cell r="C75">
            <v>0.61499999999999999</v>
          </cell>
          <cell r="D75">
            <v>0</v>
          </cell>
          <cell r="G75">
            <v>0.61</v>
          </cell>
          <cell r="H75">
            <v>0.61499999999999999</v>
          </cell>
        </row>
        <row r="77">
          <cell r="A77" t="str">
            <v>Payout Ratio (Net Income)</v>
          </cell>
          <cell r="B77">
            <v>1.2098887388629005</v>
          </cell>
          <cell r="C77">
            <v>0.81153342415421525</v>
          </cell>
          <cell r="D77">
            <v>-0.39835531470868524</v>
          </cell>
          <cell r="G77">
            <v>1.206583477343627</v>
          </cell>
          <cell r="H77">
            <v>0.61125159866256984</v>
          </cell>
        </row>
        <row r="78">
          <cell r="A78" t="str">
            <v>Payout Ratio (FFO)</v>
          </cell>
          <cell r="B78">
            <v>0.78504565802655468</v>
          </cell>
          <cell r="C78">
            <v>0.76466991476229695</v>
          </cell>
          <cell r="D78">
            <v>-2.0375743264257729E-2</v>
          </cell>
          <cell r="G78">
            <v>0.7262078326946807</v>
          </cell>
          <cell r="H78">
            <v>0.80323869710931006</v>
          </cell>
        </row>
        <row r="79">
          <cell r="A79" t="str">
            <v>Payout Ratio (AFFO)</v>
          </cell>
          <cell r="B79">
            <v>0.99567092221418507</v>
          </cell>
          <cell r="C79">
            <v>1.059177154585897</v>
          </cell>
          <cell r="D79">
            <v>6.3506232371711935E-2</v>
          </cell>
          <cell r="G79">
            <v>1.0358731541012767</v>
          </cell>
          <cell r="H79">
            <v>1.0222499272520498</v>
          </cell>
        </row>
        <row r="81">
          <cell r="A81" t="str">
            <v>Diluted Weighted Avg. Common Shares</v>
          </cell>
          <cell r="B81">
            <v>90316</v>
          </cell>
          <cell r="C81">
            <v>90324</v>
          </cell>
          <cell r="D81">
            <v>8</v>
          </cell>
          <cell r="G81">
            <v>88134</v>
          </cell>
          <cell r="H81">
            <v>89876</v>
          </cell>
        </row>
        <row r="82">
          <cell r="A82" t="str">
            <v>Diluted Wght. Avg. Shares &amp; OP Units</v>
          </cell>
          <cell r="B82">
            <v>93834</v>
          </cell>
          <cell r="C82">
            <v>93977</v>
          </cell>
          <cell r="D82">
            <v>143</v>
          </cell>
          <cell r="G82">
            <v>91651</v>
          </cell>
          <cell r="H82">
            <v>93394</v>
          </cell>
        </row>
        <row r="85">
          <cell r="A85" t="str">
            <v>Matt Ostrower</v>
          </cell>
          <cell r="H85" t="str">
            <v>(212) 761-6284</v>
          </cell>
        </row>
        <row r="86">
          <cell r="A86" t="str">
            <v>Morgan Stanley  REIT Research</v>
          </cell>
          <cell r="H86" t="str">
            <v>Matthew.Ostrower@morganstanley.com</v>
          </cell>
        </row>
      </sheetData>
      <sheetData sheetId="29" refreshError="1">
        <row r="3">
          <cell r="C3" t="str">
            <v>Peer</v>
          </cell>
          <cell r="E3" t="str">
            <v>Peer</v>
          </cell>
          <cell r="G3" t="str">
            <v>Peer</v>
          </cell>
          <cell r="I3" t="str">
            <v>Peer</v>
          </cell>
          <cell r="K3" t="str">
            <v>Peer</v>
          </cell>
          <cell r="M3" t="str">
            <v>Peer</v>
          </cell>
          <cell r="O3" t="str">
            <v>Peer</v>
          </cell>
          <cell r="Q3" t="str">
            <v>Peer</v>
          </cell>
          <cell r="S3" t="str">
            <v>Peer</v>
          </cell>
          <cell r="U3" t="str">
            <v>Peer</v>
          </cell>
          <cell r="W3" t="str">
            <v>Peer</v>
          </cell>
          <cell r="Y3" t="str">
            <v>Peer</v>
          </cell>
          <cell r="AA3" t="str">
            <v>Peer</v>
          </cell>
        </row>
        <row r="4">
          <cell r="C4" t="str">
            <v>Group</v>
          </cell>
          <cell r="E4" t="str">
            <v>Group</v>
          </cell>
          <cell r="G4" t="str">
            <v>Group</v>
          </cell>
          <cell r="I4" t="str">
            <v>Group</v>
          </cell>
          <cell r="K4" t="str">
            <v>Group</v>
          </cell>
          <cell r="M4" t="str">
            <v>Group</v>
          </cell>
          <cell r="O4" t="str">
            <v>Group</v>
          </cell>
          <cell r="Q4" t="str">
            <v>Group</v>
          </cell>
          <cell r="S4" t="str">
            <v>Group</v>
          </cell>
          <cell r="U4" t="str">
            <v>Group</v>
          </cell>
          <cell r="W4" t="str">
            <v>Group</v>
          </cell>
          <cell r="Y4" t="str">
            <v>Group</v>
          </cell>
          <cell r="AA4" t="str">
            <v>Group</v>
          </cell>
          <cell r="AV4" t="str">
            <v>2Q03A</v>
          </cell>
          <cell r="BA4" t="str">
            <v>1Q03A</v>
          </cell>
          <cell r="BE4" t="str">
            <v>4Q02A</v>
          </cell>
          <cell r="BI4" t="str">
            <v>3Q02A</v>
          </cell>
          <cell r="BL4" t="str">
            <v>2Q02A</v>
          </cell>
          <cell r="BO4" t="str">
            <v>1Q02A</v>
          </cell>
          <cell r="BR4" t="str">
            <v>'02 Same-Store</v>
          </cell>
        </row>
        <row r="5">
          <cell r="A5" t="str">
            <v>Performance Measure</v>
          </cell>
          <cell r="B5" t="str">
            <v>3Q04A</v>
          </cell>
          <cell r="C5" t="str">
            <v>3Q04A</v>
          </cell>
          <cell r="D5" t="str">
            <v>4Q04A</v>
          </cell>
          <cell r="E5" t="str">
            <v>4Q04A</v>
          </cell>
          <cell r="F5" t="str">
            <v>1Q05A</v>
          </cell>
          <cell r="G5" t="str">
            <v>1Q05A</v>
          </cell>
          <cell r="H5" t="str">
            <v>2Q05A</v>
          </cell>
          <cell r="I5" t="str">
            <v>2Q05A</v>
          </cell>
          <cell r="J5" t="str">
            <v>3Q05A</v>
          </cell>
          <cell r="K5" t="str">
            <v>3Q05A</v>
          </cell>
          <cell r="L5" t="str">
            <v>4Q05A</v>
          </cell>
          <cell r="M5" t="str">
            <v>4Q05A</v>
          </cell>
          <cell r="N5" t="str">
            <v>1Q06A</v>
          </cell>
          <cell r="O5" t="str">
            <v>1Q06A</v>
          </cell>
          <cell r="P5" t="str">
            <v>2Q06A</v>
          </cell>
          <cell r="Q5" t="str">
            <v>2Q06A</v>
          </cell>
          <cell r="R5" t="str">
            <v>3Q06A</v>
          </cell>
          <cell r="S5" t="str">
            <v>3Q06A</v>
          </cell>
          <cell r="T5" t="str">
            <v>4Q06A</v>
          </cell>
          <cell r="U5" t="str">
            <v>4Q06A</v>
          </cell>
          <cell r="V5" t="str">
            <v>1Q07A</v>
          </cell>
          <cell r="W5" t="str">
            <v>1Q07A</v>
          </cell>
          <cell r="X5" t="str">
            <v>2Q07A</v>
          </cell>
          <cell r="Y5" t="str">
            <v>2Q07A</v>
          </cell>
          <cell r="Z5" t="str">
            <v>3Q07A</v>
          </cell>
          <cell r="AA5" t="str">
            <v>3Q07A</v>
          </cell>
          <cell r="AB5" t="str">
            <v>4Q07A</v>
          </cell>
          <cell r="AC5" t="str">
            <v>Comments</v>
          </cell>
          <cell r="AK5" t="str">
            <v>2Q01A</v>
          </cell>
          <cell r="AL5" t="str">
            <v>Trend</v>
          </cell>
          <cell r="AU5" t="str">
            <v>% of NOI</v>
          </cell>
          <cell r="AV5" t="str">
            <v>NOI</v>
          </cell>
          <cell r="AW5" t="str">
            <v>Occupancy</v>
          </cell>
          <cell r="AX5" t="str">
            <v>Turnover</v>
          </cell>
          <cell r="AZ5" t="str">
            <v>% of NOI</v>
          </cell>
          <cell r="BA5" t="str">
            <v>NOI</v>
          </cell>
          <cell r="BB5" t="str">
            <v>Occupancy</v>
          </cell>
          <cell r="BC5" t="str">
            <v>Turnover</v>
          </cell>
          <cell r="BD5" t="str">
            <v>% of NOI</v>
          </cell>
          <cell r="BE5" t="str">
            <v>NOI</v>
          </cell>
          <cell r="BF5" t="str">
            <v>Occupancy</v>
          </cell>
          <cell r="BG5" t="str">
            <v>Turnover</v>
          </cell>
          <cell r="BH5" t="str">
            <v>% of NOI</v>
          </cell>
          <cell r="BI5" t="str">
            <v>NOI</v>
          </cell>
          <cell r="BJ5" t="str">
            <v>Occupancy</v>
          </cell>
          <cell r="BK5" t="str">
            <v>Turnover</v>
          </cell>
          <cell r="BL5" t="str">
            <v>NOI</v>
          </cell>
          <cell r="BM5" t="str">
            <v>Occupancy</v>
          </cell>
          <cell r="BN5" t="str">
            <v>Turnover</v>
          </cell>
          <cell r="BO5" t="str">
            <v>NOI</v>
          </cell>
          <cell r="BP5" t="str">
            <v>Occupancy</v>
          </cell>
          <cell r="BQ5" t="str">
            <v>Turnover</v>
          </cell>
          <cell r="BR5" t="str">
            <v>NOI Guidance</v>
          </cell>
        </row>
        <row r="6">
          <cell r="A6" t="str">
            <v>FFOPS</v>
          </cell>
          <cell r="B6">
            <v>0.80951163953552974</v>
          </cell>
          <cell r="D6">
            <v>0.81447968800061865</v>
          </cell>
          <cell r="F6">
            <v>0.80990763140532218</v>
          </cell>
          <cell r="H6">
            <v>0.83997992384152931</v>
          </cell>
          <cell r="J6">
            <v>0.7756923409779316</v>
          </cell>
          <cell r="L6">
            <v>0.77167636285283348</v>
          </cell>
          <cell r="N6">
            <v>0.76565036297834976</v>
          </cell>
          <cell r="P6">
            <v>0.80426859763559166</v>
          </cell>
          <cell r="R6">
            <v>0.7885521478836256</v>
          </cell>
          <cell r="T6">
            <v>0.75992822841359686</v>
          </cell>
          <cell r="V6">
            <v>0.79924798353567261</v>
          </cell>
          <cell r="X6">
            <v>0.78939783252864759</v>
          </cell>
          <cell r="Z6">
            <v>0.79979279382986079</v>
          </cell>
          <cell r="AB6">
            <v>0.7911877514761978</v>
          </cell>
          <cell r="AK6">
            <v>6.6631928927586959E-2</v>
          </cell>
          <cell r="AL6" t="str">
            <v>Deteriorating</v>
          </cell>
          <cell r="AT6" t="str">
            <v>San Fran.</v>
          </cell>
          <cell r="AU6">
            <v>0.25</v>
          </cell>
          <cell r="AV6">
            <v>-0.13</v>
          </cell>
          <cell r="AW6">
            <v>0.95</v>
          </cell>
          <cell r="AX6">
            <v>0.69</v>
          </cell>
          <cell r="AZ6">
            <v>0.26</v>
          </cell>
          <cell r="BA6">
            <v>-0.17</v>
          </cell>
          <cell r="BB6">
            <v>0.95</v>
          </cell>
          <cell r="BC6">
            <v>0.63</v>
          </cell>
          <cell r="BD6">
            <v>0.26</v>
          </cell>
          <cell r="BE6">
            <v>-0.15</v>
          </cell>
          <cell r="BF6">
            <v>0.93</v>
          </cell>
          <cell r="BG6">
            <v>0.71</v>
          </cell>
          <cell r="BH6">
            <v>0.27</v>
          </cell>
          <cell r="BI6">
            <v>-0.13</v>
          </cell>
          <cell r="BJ6">
            <v>0.95</v>
          </cell>
          <cell r="BK6">
            <v>0.72</v>
          </cell>
          <cell r="BL6">
            <v>-0.13</v>
          </cell>
          <cell r="BM6">
            <v>0.95</v>
          </cell>
          <cell r="BN6">
            <v>0.68</v>
          </cell>
          <cell r="BO6">
            <v>-0.11</v>
          </cell>
          <cell r="BP6">
            <v>0.93</v>
          </cell>
          <cell r="BQ6">
            <v>0.71</v>
          </cell>
          <cell r="BR6" t="str">
            <v>-10% to -12%</v>
          </cell>
        </row>
        <row r="8">
          <cell r="A8" t="str">
            <v>Morgan Stanley</v>
          </cell>
          <cell r="H8">
            <v>0.81</v>
          </cell>
          <cell r="J8">
            <v>0.79</v>
          </cell>
          <cell r="L8">
            <v>0.77</v>
          </cell>
          <cell r="N8">
            <v>0.79</v>
          </cell>
          <cell r="P8">
            <v>0.78</v>
          </cell>
          <cell r="R8">
            <v>0.78</v>
          </cell>
          <cell r="T8">
            <v>0.78</v>
          </cell>
          <cell r="V8">
            <v>0.79</v>
          </cell>
          <cell r="X8">
            <v>0.79</v>
          </cell>
          <cell r="Z8">
            <v>0.79</v>
          </cell>
          <cell r="AB8">
            <v>0.55000000000000004</v>
          </cell>
        </row>
        <row r="9">
          <cell r="A9" t="str">
            <v>Consensus</v>
          </cell>
          <cell r="H9">
            <v>0.81</v>
          </cell>
          <cell r="J9">
            <v>0.79</v>
          </cell>
          <cell r="L9">
            <v>0.79</v>
          </cell>
          <cell r="N9">
            <v>0.8</v>
          </cell>
          <cell r="P9">
            <v>0.78</v>
          </cell>
          <cell r="R9">
            <v>0.79</v>
          </cell>
          <cell r="T9">
            <v>0.78</v>
          </cell>
          <cell r="V9">
            <v>0.79</v>
          </cell>
          <cell r="X9">
            <v>0.79</v>
          </cell>
          <cell r="Z9">
            <v>0.8</v>
          </cell>
          <cell r="AB9">
            <v>0.54</v>
          </cell>
          <cell r="AK9">
            <v>9.1700000000000004E-2</v>
          </cell>
          <cell r="AL9" t="str">
            <v>Deteriorating</v>
          </cell>
          <cell r="AT9" t="str">
            <v>San Diego</v>
          </cell>
          <cell r="AU9">
            <v>0.19</v>
          </cell>
          <cell r="AV9">
            <v>0.03</v>
          </cell>
          <cell r="AW9">
            <v>0.95</v>
          </cell>
          <cell r="AX9">
            <v>0.65</v>
          </cell>
          <cell r="AZ9">
            <v>0.19</v>
          </cell>
          <cell r="BA9">
            <v>0.02</v>
          </cell>
          <cell r="BB9">
            <v>0.95</v>
          </cell>
          <cell r="BC9">
            <v>0.66</v>
          </cell>
          <cell r="BD9">
            <v>0.19</v>
          </cell>
          <cell r="BE9">
            <v>0.04</v>
          </cell>
          <cell r="BF9">
            <v>0.96</v>
          </cell>
          <cell r="BG9">
            <v>0.6</v>
          </cell>
          <cell r="BH9">
            <v>0.18</v>
          </cell>
          <cell r="BI9">
            <v>0.01</v>
          </cell>
          <cell r="BJ9">
            <v>0.97</v>
          </cell>
          <cell r="BK9">
            <v>0.61</v>
          </cell>
          <cell r="BL9">
            <v>0.05</v>
          </cell>
          <cell r="BM9">
            <v>0.96</v>
          </cell>
          <cell r="BN9">
            <v>0.64</v>
          </cell>
          <cell r="BO9">
            <v>0.06</v>
          </cell>
          <cell r="BP9">
            <v>0.95</v>
          </cell>
          <cell r="BQ9">
            <v>0.56000000000000005</v>
          </cell>
          <cell r="BR9" t="str">
            <v>NA</v>
          </cell>
        </row>
        <row r="11">
          <cell r="A11" t="str">
            <v>FFO Y/Y Gowth per Share</v>
          </cell>
          <cell r="B11">
            <v>-4.7058823529411709E-2</v>
          </cell>
          <cell r="C11">
            <v>-4.8344573423884998E-2</v>
          </cell>
          <cell r="D11">
            <v>-2.409638554216853E-2</v>
          </cell>
          <cell r="E11">
            <v>6.7332258914723359E-2</v>
          </cell>
          <cell r="F11">
            <v>0</v>
          </cell>
          <cell r="G11">
            <v>7.8948945999572431E-2</v>
          </cell>
          <cell r="H11">
            <v>2.8491483738090073E-2</v>
          </cell>
          <cell r="I11">
            <v>1.2954473558238117E-2</v>
          </cell>
          <cell r="J11">
            <v>-4.1777408632447166E-2</v>
          </cell>
          <cell r="K11">
            <v>7.4750787245062372E-2</v>
          </cell>
          <cell r="L11">
            <v>-5.2552968205823003E-2</v>
          </cell>
          <cell r="M11">
            <v>1.3234937994127572E-2</v>
          </cell>
          <cell r="N11">
            <v>-5.4644834436463841E-2</v>
          </cell>
          <cell r="O11">
            <v>7.5999999999999998E-2</v>
          </cell>
          <cell r="P11">
            <v>-4.2514499683060203E-2</v>
          </cell>
          <cell r="R11">
            <v>1.6578488952825543E-2</v>
          </cell>
          <cell r="T11">
            <v>-1.5224172988537066E-2</v>
          </cell>
          <cell r="V11">
            <v>4.3881152784450261E-2</v>
          </cell>
          <cell r="X11">
            <v>-1.8489799490694403E-2</v>
          </cell>
          <cell r="Z11">
            <v>1.4254790854864474E-2</v>
          </cell>
          <cell r="AB11">
            <v>4.1134836019787402E-2</v>
          </cell>
        </row>
        <row r="13">
          <cell r="A13" t="str">
            <v>Same-Store Y/Y NOI Growth</v>
          </cell>
          <cell r="B13">
            <v>-3.0000000000000001E-3</v>
          </cell>
          <cell r="C13">
            <v>-1.8120000000000008E-2</v>
          </cell>
          <cell r="D13">
            <v>-1.7999999999999999E-2</v>
          </cell>
          <cell r="E13">
            <v>7.7344827586206897E-3</v>
          </cell>
          <cell r="F13">
            <v>-8.9999999999999993E-3</v>
          </cell>
          <cell r="G13">
            <v>3.1033333333333355E-3</v>
          </cell>
          <cell r="H13">
            <v>-0.01</v>
          </cell>
          <cell r="I13">
            <v>3.022222222222223E-3</v>
          </cell>
          <cell r="J13">
            <v>-3.2000000000000001E-2</v>
          </cell>
          <cell r="K13">
            <v>3.6038461538461545E-3</v>
          </cell>
          <cell r="L13">
            <v>-2.5999999999999999E-2</v>
          </cell>
          <cell r="M13">
            <v>-1.9952380952380946E-3</v>
          </cell>
          <cell r="N13">
            <v>7.0000000000000001E-3</v>
          </cell>
          <cell r="O13">
            <v>8.7007453793265608E-3</v>
          </cell>
          <cell r="P13">
            <v>3.0000000000000001E-3</v>
          </cell>
          <cell r="Q13">
            <v>1.5150628910290604E-2</v>
          </cell>
          <cell r="R13">
            <v>4.4999999999999998E-2</v>
          </cell>
          <cell r="S13">
            <v>2.4765238320146467E-2</v>
          </cell>
          <cell r="T13">
            <v>6.9000000000000006E-2</v>
          </cell>
          <cell r="U13">
            <v>4.3616252099242685E-2</v>
          </cell>
          <cell r="V13">
            <v>4.9000000000000002E-2</v>
          </cell>
          <cell r="W13">
            <v>4.0955707671673024E-2</v>
          </cell>
          <cell r="X13">
            <v>3.1E-2</v>
          </cell>
          <cell r="Y13">
            <v>3.0108019177612896E-2</v>
          </cell>
          <cell r="Z13">
            <v>1.6E-2</v>
          </cell>
          <cell r="AA13">
            <v>2.8678155996545635E-2</v>
          </cell>
          <cell r="AB13">
            <v>0</v>
          </cell>
        </row>
        <row r="15">
          <cell r="A15" t="str">
            <v>Occupancy</v>
          </cell>
          <cell r="B15">
            <v>0.91200000000000003</v>
          </cell>
          <cell r="D15">
            <v>0.91900000000000004</v>
          </cell>
          <cell r="F15">
            <v>0.91300000000000003</v>
          </cell>
          <cell r="H15">
            <v>0.89900000000000002</v>
          </cell>
          <cell r="J15">
            <v>0.91900000000000004</v>
          </cell>
          <cell r="L15">
            <v>0.92200000000000004</v>
          </cell>
          <cell r="N15">
            <v>0.91600000000000004</v>
          </cell>
          <cell r="P15">
            <v>0.92800000000000005</v>
          </cell>
          <cell r="R15">
            <v>0.93100000000000005</v>
          </cell>
          <cell r="S15">
            <v>0.92032356192793352</v>
          </cell>
          <cell r="T15">
            <v>0.94199999999999995</v>
          </cell>
          <cell r="U15">
            <v>0.92322100532777507</v>
          </cell>
          <cell r="V15">
            <v>0.92100000000000004</v>
          </cell>
          <cell r="W15">
            <v>0.92261363792763862</v>
          </cell>
          <cell r="X15">
            <v>0.91100000000000003</v>
          </cell>
          <cell r="Y15">
            <v>0.9181793554983454</v>
          </cell>
          <cell r="Z15">
            <v>0.92900000000000005</v>
          </cell>
          <cell r="AA15">
            <v>0.92171400904913148</v>
          </cell>
          <cell r="AK15">
            <v>0.35725184099829094</v>
          </cell>
          <cell r="AT15" t="str">
            <v>Salt Lake</v>
          </cell>
          <cell r="AU15">
            <v>0.05</v>
          </cell>
          <cell r="AV15">
            <v>-0.05</v>
          </cell>
          <cell r="AW15">
            <v>0.92</v>
          </cell>
          <cell r="AX15">
            <v>0.72</v>
          </cell>
          <cell r="AZ15">
            <v>0.05</v>
          </cell>
          <cell r="BA15">
            <v>-0.09</v>
          </cell>
          <cell r="BB15">
            <v>0.92</v>
          </cell>
          <cell r="BC15">
            <v>0.53</v>
          </cell>
          <cell r="BD15">
            <v>0.05</v>
          </cell>
          <cell r="BE15">
            <v>-7.0000000000000007E-2</v>
          </cell>
          <cell r="BF15">
            <v>0.93</v>
          </cell>
          <cell r="BG15">
            <v>0.8</v>
          </cell>
          <cell r="BH15">
            <v>0.05</v>
          </cell>
          <cell r="BI15">
            <v>-7.0000000000000007E-2</v>
          </cell>
          <cell r="BJ15">
            <v>0.94</v>
          </cell>
          <cell r="BK15">
            <v>0.79</v>
          </cell>
          <cell r="BL15">
            <v>0.02</v>
          </cell>
          <cell r="BM15">
            <v>0.93</v>
          </cell>
          <cell r="BN15">
            <v>0.8</v>
          </cell>
          <cell r="BO15">
            <v>7.0000000000000007E-2</v>
          </cell>
          <cell r="BP15">
            <v>0.94</v>
          </cell>
          <cell r="BQ15">
            <v>0.74</v>
          </cell>
          <cell r="BR15" t="str">
            <v>NA</v>
          </cell>
        </row>
        <row r="16">
          <cell r="A16" t="str">
            <v>TI/LC psf/year of lease (rolling 4Q avg)</v>
          </cell>
          <cell r="B16">
            <v>3.3675000000000002</v>
          </cell>
          <cell r="D16">
            <v>1.3827025094404755</v>
          </cell>
          <cell r="F16">
            <v>1.3943642387664774</v>
          </cell>
          <cell r="H16">
            <v>1.4696442625302388</v>
          </cell>
          <cell r="J16">
            <v>2.8793444368815875</v>
          </cell>
          <cell r="L16">
            <v>3.1513905717818851</v>
          </cell>
          <cell r="N16">
            <v>2.813265026157441</v>
          </cell>
          <cell r="P16">
            <v>1.86</v>
          </cell>
          <cell r="R16">
            <v>1.9741183688153381</v>
          </cell>
          <cell r="S16">
            <v>2.5508831382846715</v>
          </cell>
          <cell r="T16">
            <v>2.0394776395125436</v>
          </cell>
          <cell r="U16">
            <v>2.5800830110919932</v>
          </cell>
          <cell r="V16">
            <v>2.1793694084430077</v>
          </cell>
          <cell r="W16">
            <v>2.6104564887478401</v>
          </cell>
          <cell r="X16">
            <v>2.0447378527099107</v>
          </cell>
          <cell r="Y16">
            <v>2.6246668112092295</v>
          </cell>
          <cell r="Z16">
            <v>2.1526254420295055</v>
          </cell>
          <cell r="AA16">
            <v>2.6246668112092295</v>
          </cell>
          <cell r="AB16">
            <v>0</v>
          </cell>
        </row>
        <row r="17">
          <cell r="A17" t="str">
            <v>AFFOPS</v>
          </cell>
          <cell r="B17">
            <v>0.606655925329185</v>
          </cell>
          <cell r="D17">
            <v>0.58165125451592592</v>
          </cell>
          <cell r="F17">
            <v>0.67278425335385972</v>
          </cell>
          <cell r="H17">
            <v>0.58887518957785512</v>
          </cell>
          <cell r="J17">
            <v>0.51620510601471226</v>
          </cell>
          <cell r="L17">
            <v>0.55464339581986644</v>
          </cell>
          <cell r="N17">
            <v>0.60161412938732672</v>
          </cell>
          <cell r="P17">
            <v>0.58063941177096523</v>
          </cell>
          <cell r="R17">
            <v>0.60802489234324109</v>
          </cell>
          <cell r="T17">
            <v>0.5209790648769107</v>
          </cell>
          <cell r="V17">
            <v>0.5968947488774321</v>
          </cell>
          <cell r="X17">
            <v>0.55620816842454268</v>
          </cell>
          <cell r="Z17">
            <v>0.5352386533691933</v>
          </cell>
          <cell r="AB17">
            <v>0.47123164550347485</v>
          </cell>
        </row>
        <row r="19">
          <cell r="A19" t="str">
            <v>Acquisitions (MM)</v>
          </cell>
          <cell r="B19">
            <v>103.6</v>
          </cell>
          <cell r="D19">
            <v>84.1</v>
          </cell>
          <cell r="F19">
            <v>64.599999999999994</v>
          </cell>
          <cell r="H19">
            <v>123.533</v>
          </cell>
          <cell r="J19">
            <v>12.4</v>
          </cell>
          <cell r="L19">
            <v>99.5</v>
          </cell>
          <cell r="N19">
            <v>33.841999999999999</v>
          </cell>
          <cell r="P19">
            <v>27.6</v>
          </cell>
          <cell r="R19">
            <v>131.04999999999998</v>
          </cell>
          <cell r="T19">
            <v>117.458</v>
          </cell>
          <cell r="V19">
            <v>131.6</v>
          </cell>
          <cell r="X19">
            <v>75.973249999999993</v>
          </cell>
          <cell r="Z19">
            <v>155.56035</v>
          </cell>
          <cell r="AB19">
            <v>232.3895</v>
          </cell>
          <cell r="AT19" t="str">
            <v>Average</v>
          </cell>
          <cell r="AU19">
            <v>0.96</v>
          </cell>
          <cell r="AV19">
            <v>-0.05</v>
          </cell>
          <cell r="AW19">
            <v>0.95</v>
          </cell>
          <cell r="AX19">
            <v>0.66</v>
          </cell>
          <cell r="AZ19">
            <v>0.96</v>
          </cell>
          <cell r="BA19">
            <v>-0.08</v>
          </cell>
          <cell r="BB19">
            <v>0.94</v>
          </cell>
          <cell r="BC19">
            <v>0.62</v>
          </cell>
          <cell r="BD19">
            <v>0.96</v>
          </cell>
          <cell r="BE19">
            <v>-0.06</v>
          </cell>
          <cell r="BF19">
            <v>0.94</v>
          </cell>
          <cell r="BG19">
            <v>0.66</v>
          </cell>
          <cell r="BH19">
            <v>1</v>
          </cell>
          <cell r="BI19">
            <v>-0.06</v>
          </cell>
          <cell r="BJ19">
            <v>0.95</v>
          </cell>
          <cell r="BK19">
            <v>0.67</v>
          </cell>
          <cell r="BL19">
            <v>-0.04</v>
          </cell>
          <cell r="BM19">
            <v>0.94</v>
          </cell>
          <cell r="BN19">
            <v>0.7</v>
          </cell>
          <cell r="BO19">
            <v>-0.02</v>
          </cell>
          <cell r="BP19">
            <v>0.94</v>
          </cell>
          <cell r="BQ19">
            <v>0.6</v>
          </cell>
        </row>
        <row r="20">
          <cell r="A20" t="str">
            <v>Devel. Starts (incl JV share) (MM)</v>
          </cell>
          <cell r="H20">
            <v>109.5</v>
          </cell>
          <cell r="J20">
            <v>120.4</v>
          </cell>
          <cell r="L20">
            <v>40.9</v>
          </cell>
          <cell r="N20">
            <v>20.8</v>
          </cell>
          <cell r="P20">
            <v>155.14999999999998</v>
          </cell>
          <cell r="R20">
            <v>116.4</v>
          </cell>
          <cell r="T20">
            <v>62</v>
          </cell>
          <cell r="V20">
            <v>82.3</v>
          </cell>
          <cell r="X20">
            <v>42.900000000000006</v>
          </cell>
          <cell r="Z20">
            <v>87.8</v>
          </cell>
          <cell r="AB20">
            <v>117</v>
          </cell>
        </row>
        <row r="21">
          <cell r="A21" t="str">
            <v>Devel. Compl. (at LRY share) (MM)</v>
          </cell>
          <cell r="H21">
            <v>22.5</v>
          </cell>
          <cell r="J21">
            <v>19.100000000000001</v>
          </cell>
          <cell r="L21">
            <v>82.2</v>
          </cell>
          <cell r="N21">
            <v>46.7</v>
          </cell>
          <cell r="P21">
            <v>77.3</v>
          </cell>
          <cell r="R21">
            <v>35.1</v>
          </cell>
          <cell r="T21">
            <v>51.2</v>
          </cell>
          <cell r="V21">
            <v>27.619060000000001</v>
          </cell>
          <cell r="X21">
            <v>170.85</v>
          </cell>
          <cell r="Z21">
            <v>210.69300000000001</v>
          </cell>
          <cell r="AB21">
            <v>137.19999999999999</v>
          </cell>
        </row>
        <row r="22">
          <cell r="A22" t="str">
            <v>Wholly Owned Dispositions (MM)</v>
          </cell>
          <cell r="B22">
            <v>6.3</v>
          </cell>
          <cell r="D22">
            <v>44.1</v>
          </cell>
          <cell r="F22">
            <v>34.575000000000003</v>
          </cell>
          <cell r="H22">
            <v>63.7</v>
          </cell>
          <cell r="J22">
            <v>58.9</v>
          </cell>
          <cell r="L22">
            <v>271.7</v>
          </cell>
          <cell r="N22">
            <v>157</v>
          </cell>
          <cell r="P22">
            <v>103.95</v>
          </cell>
          <cell r="R22">
            <v>32.799999999999997</v>
          </cell>
          <cell r="T22">
            <v>106.6</v>
          </cell>
          <cell r="V22">
            <v>84.2</v>
          </cell>
          <cell r="X22">
            <v>111</v>
          </cell>
          <cell r="Z22">
            <v>67</v>
          </cell>
          <cell r="AB22">
            <v>96.5</v>
          </cell>
        </row>
        <row r="24">
          <cell r="A24" t="str">
            <v xml:space="preserve">   Debt/Total Market Cap</v>
          </cell>
          <cell r="B24">
            <v>0.36</v>
          </cell>
          <cell r="D24">
            <v>0.34799999999999998</v>
          </cell>
          <cell r="F24">
            <v>0.38100000000000001</v>
          </cell>
          <cell r="H24">
            <v>0.35259482448115698</v>
          </cell>
          <cell r="J24">
            <v>0.36388862936473365</v>
          </cell>
          <cell r="L24">
            <v>0.35283040260073001</v>
          </cell>
          <cell r="N24">
            <v>0.32807479055012206</v>
          </cell>
          <cell r="P24">
            <v>0.3346919080840291</v>
          </cell>
          <cell r="R24">
            <v>0.3273412703077202</v>
          </cell>
          <cell r="T24">
            <v>0.32814875258131149</v>
          </cell>
          <cell r="V24">
            <v>0.34183211341836467</v>
          </cell>
          <cell r="X24">
            <v>0.3797211104650341</v>
          </cell>
          <cell r="Z24">
            <v>0.4062153357511164</v>
          </cell>
          <cell r="AB24">
            <v>0.49773009101424093</v>
          </cell>
        </row>
        <row r="25">
          <cell r="A25" t="str">
            <v xml:space="preserve">   Fixed Charge Coverage</v>
          </cell>
          <cell r="B25">
            <v>2.9</v>
          </cell>
          <cell r="D25">
            <v>2.8</v>
          </cell>
          <cell r="F25">
            <v>2.8</v>
          </cell>
          <cell r="H25">
            <v>2.8</v>
          </cell>
          <cell r="J25">
            <v>2.6</v>
          </cell>
          <cell r="L25">
            <v>2.6</v>
          </cell>
          <cell r="N25" t="str">
            <v>2.6x</v>
          </cell>
          <cell r="P25">
            <v>2.7</v>
          </cell>
          <cell r="R25">
            <v>2.6</v>
          </cell>
          <cell r="T25">
            <v>2.5</v>
          </cell>
          <cell r="V25">
            <v>2.5</v>
          </cell>
          <cell r="X25">
            <v>2.4</v>
          </cell>
          <cell r="Z25">
            <v>2.2000000000000002</v>
          </cell>
          <cell r="AB25">
            <v>2.2000000000000002</v>
          </cell>
        </row>
        <row r="27">
          <cell r="A27" t="str">
            <v>Mgt FFOPS Guidance - Next Qtr.</v>
          </cell>
          <cell r="B27" t="str">
            <v>na</v>
          </cell>
          <cell r="D27" t="str">
            <v>na</v>
          </cell>
          <cell r="F27" t="str">
            <v>na</v>
          </cell>
          <cell r="H27" t="str">
            <v>na</v>
          </cell>
          <cell r="J27" t="str">
            <v>Flat or + $0.01</v>
          </cell>
          <cell r="L27" t="str">
            <v>na</v>
          </cell>
          <cell r="N27" t="str">
            <v>na</v>
          </cell>
          <cell r="P27" t="str">
            <v>na</v>
          </cell>
        </row>
        <row r="28">
          <cell r="A28" t="str">
            <v>Mgt FFOPS Guidance - 2005</v>
          </cell>
          <cell r="B28" t="str">
            <v>$3.20-$3.35</v>
          </cell>
          <cell r="D28" t="str">
            <v>$3.20-$3.35</v>
          </cell>
          <cell r="F28" t="str">
            <v>$3.20-$3.35</v>
          </cell>
          <cell r="H28" t="str">
            <v>$3.20-$3.35</v>
          </cell>
          <cell r="J28" t="str">
            <v>$3.21-$3.22</v>
          </cell>
        </row>
        <row r="29">
          <cell r="A29" t="str">
            <v xml:space="preserve">  2005/2004 Growth Rate</v>
          </cell>
          <cell r="D29" t="str">
            <v>-2 to +3%</v>
          </cell>
          <cell r="E29">
            <v>8.2000000000000003E-2</v>
          </cell>
          <cell r="G29">
            <v>6.7000000000000004E-2</v>
          </cell>
          <cell r="I29">
            <v>-3.0000000000000001E-3</v>
          </cell>
          <cell r="K29">
            <v>-3.0000000000000001E-3</v>
          </cell>
        </row>
        <row r="30">
          <cell r="A30" t="str">
            <v>Mgt FFOPS Guidance - 2007</v>
          </cell>
          <cell r="R30" t="str">
            <v>$3.10-$3.25</v>
          </cell>
          <cell r="T30" t="str">
            <v>$3.10-$3.25</v>
          </cell>
          <cell r="V30" t="str">
            <v>$3.10-$3.25</v>
          </cell>
          <cell r="X30" t="str">
            <v>$3.10-$3.25</v>
          </cell>
          <cell r="Z30" t="str">
            <v>$3.16 - $3.18</v>
          </cell>
        </row>
        <row r="31">
          <cell r="A31" t="str">
            <v>Mgt FFOPS Guidance - 2008</v>
          </cell>
          <cell r="Z31" t="str">
            <v>$3.10 - $3.25</v>
          </cell>
          <cell r="AB31" t="str">
            <v>$3.10 - $3.25</v>
          </cell>
        </row>
        <row r="32">
          <cell r="A32" t="str">
            <v xml:space="preserve">  2007/2006 FFO Growth Rate</v>
          </cell>
          <cell r="T32" t="str">
            <v>-1.8% ~ 2.9%</v>
          </cell>
          <cell r="V32" t="str">
            <v>-1.8% ~ 2.9%</v>
          </cell>
          <cell r="X32" t="str">
            <v>-1.8% ~ 2.9%</v>
          </cell>
          <cell r="Z32" t="str">
            <v>~0%</v>
          </cell>
        </row>
        <row r="33">
          <cell r="A33" t="str">
            <v xml:space="preserve">  2008/2007 FFO Growth Rate</v>
          </cell>
          <cell r="Z33" t="str">
            <v>-1.9% ~ 2.2%</v>
          </cell>
          <cell r="AB33" t="str">
            <v>-1.9% ~ 2.2%</v>
          </cell>
        </row>
      </sheetData>
      <sheetData sheetId="30" refreshError="1">
        <row r="4">
          <cell r="C4" t="str">
            <v>Price Target Calculation</v>
          </cell>
        </row>
        <row r="6">
          <cell r="C6" t="str">
            <v>Sector Target Cap Rate</v>
          </cell>
          <cell r="D6" t="str">
            <v>Target Cap Rate Premium</v>
          </cell>
          <cell r="E6" t="str">
            <v>Target Cap Rate</v>
          </cell>
          <cell r="F6" t="str">
            <v>FTM Core Prop. NOI ($MM)</v>
          </cell>
          <cell r="G6" t="str">
            <v>Fd. 12-24 Mo. NOI Growth</v>
          </cell>
          <cell r="H6" t="str">
            <v>Core Prop Value</v>
          </cell>
          <cell r="I6" t="str">
            <v>Debt/ Pref/ Other</v>
          </cell>
          <cell r="J6" t="str">
            <v>Target Implied Value</v>
          </cell>
          <cell r="K6" t="str">
            <v>Shrs/ Units (MM)</v>
          </cell>
          <cell r="L6" t="str">
            <v>Target Value /Share</v>
          </cell>
          <cell r="M6" t="str">
            <v>Price Target Under Current Scenario</v>
          </cell>
        </row>
        <row r="7">
          <cell r="C7">
            <v>9.6199999999999994E-2</v>
          </cell>
          <cell r="D7">
            <v>-0.05</v>
          </cell>
          <cell r="E7">
            <v>0.10101</v>
          </cell>
          <cell r="F7">
            <v>524.20541843044043</v>
          </cell>
          <cell r="G7">
            <v>2.5000000000000001E-2</v>
          </cell>
          <cell r="H7">
            <v>5319.3798029026966</v>
          </cell>
          <cell r="I7">
            <v>-2844.6725499999998</v>
          </cell>
          <cell r="J7">
            <v>2474.7072529026968</v>
          </cell>
          <cell r="K7">
            <v>95.685000000000002</v>
          </cell>
          <cell r="L7">
            <v>25.86306372893031</v>
          </cell>
          <cell r="M7">
            <v>26</v>
          </cell>
        </row>
        <row r="9">
          <cell r="C9" t="str">
            <v>Check - Link From Price Target File</v>
          </cell>
        </row>
        <row r="10">
          <cell r="C10" t="str">
            <v>Sector Target</v>
          </cell>
          <cell r="D10" t="str">
            <v xml:space="preserve">Target Cap </v>
          </cell>
          <cell r="E10" t="str">
            <v xml:space="preserve">Target Cap </v>
          </cell>
          <cell r="F10" t="str">
            <v xml:space="preserve">FTM Core Prop. </v>
          </cell>
          <cell r="G10" t="str">
            <v xml:space="preserve">Fd. 12-24 Mo. </v>
          </cell>
          <cell r="H10" t="str">
            <v xml:space="preserve">Core Prop </v>
          </cell>
          <cell r="I10" t="str">
            <v xml:space="preserve">Debt/ Pref/ </v>
          </cell>
          <cell r="J10" t="str">
            <v xml:space="preserve">Target Implied </v>
          </cell>
          <cell r="K10" t="str">
            <v>Shrs/ Units</v>
          </cell>
          <cell r="L10" t="str">
            <v>Target Value</v>
          </cell>
        </row>
        <row r="11">
          <cell r="C11" t="str">
            <v xml:space="preserve"> Cap Rate</v>
          </cell>
          <cell r="D11" t="str">
            <v>Rate Premium</v>
          </cell>
          <cell r="E11" t="str">
            <v>Rate</v>
          </cell>
          <cell r="F11" t="str">
            <v>NOI ($MM)</v>
          </cell>
          <cell r="G11" t="str">
            <v>NOI Growth</v>
          </cell>
          <cell r="H11" t="str">
            <v>Value</v>
          </cell>
          <cell r="I11" t="str">
            <v>Other</v>
          </cell>
          <cell r="J11" t="str">
            <v>Value</v>
          </cell>
          <cell r="K11" t="str">
            <v xml:space="preserve"> (MM)</v>
          </cell>
          <cell r="L11" t="str">
            <v xml:space="preserve"> /Share</v>
          </cell>
        </row>
        <row r="12">
          <cell r="C12">
            <v>9.6199999999999994E-2</v>
          </cell>
          <cell r="D12">
            <v>-7.4999999999999997E-2</v>
          </cell>
          <cell r="E12">
            <v>0.10341499999999999</v>
          </cell>
          <cell r="F12">
            <v>470.54180287788893</v>
          </cell>
          <cell r="G12">
            <v>2.5000000000000001E-2</v>
          </cell>
          <cell r="H12">
            <v>4663.7852144257231</v>
          </cell>
          <cell r="I12">
            <v>-2084.7955268899959</v>
          </cell>
          <cell r="J12">
            <v>2578.9896875357272</v>
          </cell>
          <cell r="K12">
            <v>95.557000000000002</v>
          </cell>
          <cell r="L12">
            <v>27</v>
          </cell>
        </row>
      </sheetData>
      <sheetData sheetId="31" refreshError="1">
        <row r="1">
          <cell r="A1" t="str">
            <v>Liberty Property Trust (LRY)</v>
          </cell>
          <cell r="H1" t="str">
            <v>Matt Ostrower</v>
          </cell>
        </row>
        <row r="2">
          <cell r="A2" t="str">
            <v>3Q06 Earnings Variance Analysis Worksheet</v>
          </cell>
          <cell r="H2" t="str">
            <v>Morgan Stanley REIT Research Team</v>
          </cell>
        </row>
        <row r="3">
          <cell r="A3" t="str">
            <v>($ in Thousands, Except per Share Amounts)</v>
          </cell>
          <cell r="H3" t="str">
            <v>(212) 761-6284   Matthew.Ostrower@morganstanley.com</v>
          </cell>
        </row>
        <row r="5">
          <cell r="B5">
            <v>48</v>
          </cell>
          <cell r="C5">
            <v>48</v>
          </cell>
          <cell r="G5">
            <v>43</v>
          </cell>
          <cell r="H5">
            <v>47</v>
          </cell>
        </row>
        <row r="7">
          <cell r="B7" t="str">
            <v>MS</v>
          </cell>
          <cell r="C7" t="str">
            <v>Reported</v>
          </cell>
          <cell r="E7" t="str">
            <v>Per Share</v>
          </cell>
        </row>
        <row r="8">
          <cell r="A8" t="str">
            <v>Year Ends December 31</v>
          </cell>
          <cell r="B8" t="str">
            <v>3Q06E</v>
          </cell>
          <cell r="C8" t="str">
            <v>3Q06A</v>
          </cell>
          <cell r="D8" t="str">
            <v>Variance</v>
          </cell>
          <cell r="E8" t="str">
            <v>Impact</v>
          </cell>
          <cell r="F8" t="str">
            <v>Comments</v>
          </cell>
          <cell r="G8" t="str">
            <v>3Q05A</v>
          </cell>
          <cell r="H8" t="str">
            <v>2Q06A</v>
          </cell>
        </row>
        <row r="9">
          <cell r="A9" t="str">
            <v>Revenue</v>
          </cell>
          <cell r="B9">
            <v>0.93566211255345721</v>
          </cell>
          <cell r="C9">
            <v>0.98045711733174512</v>
          </cell>
          <cell r="G9">
            <v>0.92269487074125023</v>
          </cell>
          <cell r="H9">
            <v>0.93566211255345721</v>
          </cell>
        </row>
        <row r="10">
          <cell r="A10" t="str">
            <v>Rental</v>
          </cell>
          <cell r="B10">
            <v>118573.21611256068</v>
          </cell>
          <cell r="C10">
            <v>118745</v>
          </cell>
          <cell r="D10">
            <v>171.7838874393201</v>
          </cell>
          <cell r="E10">
            <v>1.8042630757201985E-3</v>
          </cell>
          <cell r="G10">
            <v>120808</v>
          </cell>
          <cell r="H10">
            <v>119519</v>
          </cell>
        </row>
        <row r="11">
          <cell r="A11" t="str">
            <v>Operating Expense Reimbursement</v>
          </cell>
          <cell r="B11">
            <v>48815.56498725991</v>
          </cell>
          <cell r="C11">
            <v>52678</v>
          </cell>
          <cell r="D11">
            <v>3862.4350127400903</v>
          </cell>
          <cell r="E11">
            <v>4.0567535056612647E-2</v>
          </cell>
          <cell r="G11">
            <v>51646</v>
          </cell>
          <cell r="H11">
            <v>49446</v>
          </cell>
        </row>
        <row r="12">
          <cell r="A12" t="str">
            <v>Total Revenue</v>
          </cell>
          <cell r="B12">
            <v>167388.7810998206</v>
          </cell>
          <cell r="C12">
            <v>171423</v>
          </cell>
          <cell r="D12">
            <v>4034.2189001794031</v>
          </cell>
          <cell r="E12">
            <v>4.2371798132332772E-2</v>
          </cell>
          <cell r="G12">
            <v>172454</v>
          </cell>
          <cell r="H12">
            <v>168965</v>
          </cell>
        </row>
        <row r="14">
          <cell r="A14" t="str">
            <v>Expenses</v>
          </cell>
        </row>
        <row r="15">
          <cell r="A15" t="str">
            <v>Rental Property Expenses</v>
          </cell>
          <cell r="B15">
            <v>35571.964833768201</v>
          </cell>
          <cell r="C15">
            <v>35526</v>
          </cell>
          <cell r="D15">
            <v>45.964833768201061</v>
          </cell>
          <cell r="E15">
            <v>4.8277317265204347E-4</v>
          </cell>
          <cell r="G15">
            <v>38076</v>
          </cell>
          <cell r="H15">
            <v>34694</v>
          </cell>
        </row>
        <row r="16">
          <cell r="A16" t="str">
            <v>Real Estate Taxes</v>
          </cell>
          <cell r="B16">
            <v>16600.250255758496</v>
          </cell>
          <cell r="C16">
            <v>18202</v>
          </cell>
          <cell r="D16">
            <v>-1601.7497442415042</v>
          </cell>
          <cell r="E16">
            <v>-1.6823335198419328E-2</v>
          </cell>
          <cell r="G16">
            <v>17897</v>
          </cell>
          <cell r="H16">
            <v>18152</v>
          </cell>
        </row>
        <row r="17">
          <cell r="A17" t="str">
            <v>Total Expenses</v>
          </cell>
          <cell r="B17">
            <v>52172.215089526697</v>
          </cell>
          <cell r="C17">
            <v>53728</v>
          </cell>
          <cell r="D17">
            <v>-1555.7849104733032</v>
          </cell>
          <cell r="E17">
            <v>-1.6340562025767284E-2</v>
          </cell>
          <cell r="G17">
            <v>55973</v>
          </cell>
          <cell r="H17">
            <v>52846</v>
          </cell>
        </row>
        <row r="19">
          <cell r="A19" t="str">
            <v>NOI of JVs</v>
          </cell>
          <cell r="B19">
            <v>1997.16</v>
          </cell>
          <cell r="C19">
            <v>2310.9</v>
          </cell>
          <cell r="D19">
            <v>313.74</v>
          </cell>
          <cell r="E19">
            <v>3.2952420964184434E-3</v>
          </cell>
          <cell r="G19">
            <v>804</v>
          </cell>
          <cell r="H19">
            <v>1958</v>
          </cell>
        </row>
        <row r="20">
          <cell r="A20" t="str">
            <v>Equity in earnings of uncon. JV</v>
          </cell>
          <cell r="B20">
            <v>0</v>
          </cell>
          <cell r="C20">
            <v>0</v>
          </cell>
          <cell r="D20">
            <v>0</v>
          </cell>
          <cell r="E20">
            <v>0</v>
          </cell>
          <cell r="G20">
            <v>0</v>
          </cell>
          <cell r="H20">
            <v>0</v>
          </cell>
        </row>
        <row r="21">
          <cell r="A21" t="str">
            <v>Acquisition &amp; Development NOI</v>
          </cell>
          <cell r="B21">
            <v>-636.21054012888089</v>
          </cell>
          <cell r="C21">
            <v>0</v>
          </cell>
          <cell r="D21">
            <v>636.21054012888089</v>
          </cell>
          <cell r="E21">
            <v>6.6821819150181799E-3</v>
          </cell>
          <cell r="G21">
            <v>0</v>
          </cell>
          <cell r="H21">
            <v>0</v>
          </cell>
        </row>
        <row r="22">
          <cell r="A22" t="str">
            <v>Net Operating Income</v>
          </cell>
          <cell r="B22">
            <v>116577.51547016502</v>
          </cell>
          <cell r="C22">
            <v>120005.9</v>
          </cell>
          <cell r="D22">
            <v>3428.384529834977</v>
          </cell>
          <cell r="E22">
            <v>3.6008660118002071E-2</v>
          </cell>
          <cell r="G22">
            <v>117285</v>
          </cell>
          <cell r="H22">
            <v>118077</v>
          </cell>
        </row>
        <row r="24">
          <cell r="A24" t="str">
            <v>General and Administrative</v>
          </cell>
          <cell r="B24">
            <v>11312.186278722484</v>
          </cell>
          <cell r="C24">
            <v>11996</v>
          </cell>
          <cell r="D24">
            <v>-683.81372127751638</v>
          </cell>
          <cell r="E24">
            <v>-7.1821628114432977E-3</v>
          </cell>
          <cell r="G24">
            <v>9175</v>
          </cell>
          <cell r="H24">
            <v>11501</v>
          </cell>
        </row>
        <row r="26">
          <cell r="A26" t="str">
            <v>EBITDA</v>
          </cell>
          <cell r="B26">
            <v>105265.32919144254</v>
          </cell>
          <cell r="C26">
            <v>108009.9</v>
          </cell>
          <cell r="D26">
            <v>2744.5708085574588</v>
          </cell>
          <cell r="E26">
            <v>2.8826497306558754E-2</v>
          </cell>
          <cell r="G26">
            <v>108110</v>
          </cell>
          <cell r="H26">
            <v>106576</v>
          </cell>
        </row>
        <row r="28">
          <cell r="A28" t="str">
            <v>Interest Expense - consolidated</v>
          </cell>
          <cell r="B28">
            <v>29443.390415215526</v>
          </cell>
          <cell r="C28">
            <v>30840</v>
          </cell>
          <cell r="D28">
            <v>-1396.6095847844736</v>
          </cell>
          <cell r="E28">
            <v>-1.4668727914971889E-2</v>
          </cell>
          <cell r="G28">
            <v>33317</v>
          </cell>
          <cell r="H28">
            <v>29628</v>
          </cell>
        </row>
        <row r="29">
          <cell r="A29" t="str">
            <v>Interest Expense - unconsolidated</v>
          </cell>
          <cell r="B29">
            <v>-1115.25</v>
          </cell>
          <cell r="C29">
            <v>-1184.8499999999999</v>
          </cell>
          <cell r="D29">
            <v>69.599999999999909</v>
          </cell>
          <cell r="E29">
            <v>7.3101564961663599E-4</v>
          </cell>
        </row>
        <row r="30">
          <cell r="A30" t="str">
            <v>Depreciation and Amort.</v>
          </cell>
          <cell r="B30">
            <v>36396.958046365427</v>
          </cell>
          <cell r="C30">
            <v>37763</v>
          </cell>
          <cell r="D30">
            <v>-1366.0419536345726</v>
          </cell>
          <cell r="E30">
            <v>-1.4347673076720644E-2</v>
          </cell>
          <cell r="G30">
            <v>37410</v>
          </cell>
          <cell r="H30">
            <v>37323</v>
          </cell>
        </row>
        <row r="31">
          <cell r="A31" t="str">
            <v>JV Depreciation and Amort.</v>
          </cell>
          <cell r="B31">
            <v>-763</v>
          </cell>
          <cell r="C31">
            <v>-792</v>
          </cell>
          <cell r="D31">
            <v>29</v>
          </cell>
          <cell r="E31">
            <v>3.0458985400693203E-4</v>
          </cell>
        </row>
        <row r="32">
          <cell r="A32" t="str">
            <v>Gain (Loss) on Sale - consolidated</v>
          </cell>
          <cell r="B32">
            <v>14530</v>
          </cell>
          <cell r="C32">
            <v>806</v>
          </cell>
          <cell r="D32">
            <v>-13724</v>
          </cell>
          <cell r="E32">
            <v>-0.14414452263417707</v>
          </cell>
          <cell r="G32">
            <v>21</v>
          </cell>
          <cell r="H32">
            <v>17438</v>
          </cell>
        </row>
        <row r="33">
          <cell r="A33" t="str">
            <v>Gain (Loss) on Sale - JVs</v>
          </cell>
          <cell r="B33">
            <v>0</v>
          </cell>
          <cell r="C33">
            <v>0</v>
          </cell>
          <cell r="D33">
            <v>0</v>
          </cell>
          <cell r="E33">
            <v>0</v>
          </cell>
        </row>
        <row r="34">
          <cell r="A34" t="str">
            <v>Interest &amp; Other Income</v>
          </cell>
          <cell r="B34">
            <v>2214.9727939331351</v>
          </cell>
          <cell r="C34">
            <v>3257</v>
          </cell>
          <cell r="D34">
            <v>1042.0272060668649</v>
          </cell>
          <cell r="E34">
            <v>1.094451429541923E-2</v>
          </cell>
          <cell r="G34">
            <v>2165</v>
          </cell>
          <cell r="H34">
            <v>2222</v>
          </cell>
        </row>
        <row r="35">
          <cell r="A35" t="str">
            <v>Int. &amp; Amort. of Exchangeable Sub. Deb.</v>
          </cell>
          <cell r="B35">
            <v>0</v>
          </cell>
          <cell r="C35">
            <v>0</v>
          </cell>
          <cell r="D35">
            <v>0</v>
          </cell>
          <cell r="E35">
            <v>0</v>
          </cell>
          <cell r="G35">
            <v>0</v>
          </cell>
          <cell r="H35">
            <v>0</v>
          </cell>
        </row>
        <row r="36">
          <cell r="A36" t="str">
            <v>Income Bef. Min. Interest</v>
          </cell>
          <cell r="B36">
            <v>54291.703523794713</v>
          </cell>
          <cell r="C36">
            <v>41493.050000000003</v>
          </cell>
          <cell r="D36">
            <v>-12798.653523794717</v>
          </cell>
          <cell r="E36">
            <v>-0.13442551752751514</v>
          </cell>
          <cell r="G36">
            <v>38995</v>
          </cell>
          <cell r="H36">
            <v>58067.75</v>
          </cell>
        </row>
        <row r="37">
          <cell r="A37" t="str">
            <v>Minority Interest In Earnings</v>
          </cell>
          <cell r="B37">
            <v>-5402.2527397136855</v>
          </cell>
          <cell r="C37">
            <v>-5087</v>
          </cell>
          <cell r="D37">
            <v>315.25273971368551</v>
          </cell>
          <cell r="E37">
            <v>3.3111305505060971E-3</v>
          </cell>
          <cell r="G37">
            <v>-4710</v>
          </cell>
          <cell r="H37">
            <v>-5839</v>
          </cell>
        </row>
        <row r="38">
          <cell r="A38" t="str">
            <v>Income taxes</v>
          </cell>
          <cell r="B38">
            <v>-235</v>
          </cell>
          <cell r="C38">
            <v>625</v>
          </cell>
          <cell r="D38">
            <v>860</v>
          </cell>
          <cell r="E38">
            <v>9.0326646360676405E-3</v>
          </cell>
          <cell r="G38">
            <v>-796</v>
          </cell>
          <cell r="H38">
            <v>-235</v>
          </cell>
        </row>
        <row r="39">
          <cell r="A39" t="str">
            <v>Preferred Share Dividend</v>
          </cell>
          <cell r="B39">
            <v>0</v>
          </cell>
          <cell r="C39">
            <v>0</v>
          </cell>
          <cell r="D39">
            <v>0</v>
          </cell>
          <cell r="E39">
            <v>0</v>
          </cell>
          <cell r="G39">
            <v>0</v>
          </cell>
          <cell r="H39">
            <v>0</v>
          </cell>
        </row>
        <row r="40">
          <cell r="A40" t="str">
            <v>Other Gains/(Losses)</v>
          </cell>
          <cell r="B40">
            <v>977.11249999999995</v>
          </cell>
          <cell r="C40">
            <v>-910</v>
          </cell>
          <cell r="D40">
            <v>-1887.1125</v>
          </cell>
          <cell r="E40">
            <v>-1.9820528305850224E-2</v>
          </cell>
          <cell r="G40">
            <v>0</v>
          </cell>
          <cell r="H40">
            <v>0</v>
          </cell>
        </row>
        <row r="41">
          <cell r="A41" t="str">
            <v>Discontinued ops net of minority interest (excluding gains)</v>
          </cell>
          <cell r="B41">
            <v>-94</v>
          </cell>
          <cell r="C41">
            <v>-622</v>
          </cell>
          <cell r="D41">
            <v>-528</v>
          </cell>
          <cell r="E41">
            <v>-5.5456359626089692E-3</v>
          </cell>
          <cell r="G41">
            <v>-1144</v>
          </cell>
          <cell r="H41">
            <v>-94</v>
          </cell>
        </row>
        <row r="42">
          <cell r="A42" t="str">
            <v>Discontinued op. gains</v>
          </cell>
          <cell r="B42">
            <v>0</v>
          </cell>
          <cell r="C42">
            <v>11386</v>
          </cell>
          <cell r="D42">
            <v>11386</v>
          </cell>
          <cell r="E42">
            <v>0.11958827854216994</v>
          </cell>
          <cell r="G42">
            <v>19529</v>
          </cell>
          <cell r="H42">
            <v>16550</v>
          </cell>
        </row>
        <row r="43">
          <cell r="A43" t="str">
            <v>Extraordinary Item</v>
          </cell>
          <cell r="B43">
            <v>0</v>
          </cell>
          <cell r="C43">
            <v>0</v>
          </cell>
          <cell r="D43">
            <v>0</v>
          </cell>
          <cell r="E43">
            <v>0</v>
          </cell>
          <cell r="G43">
            <v>0</v>
          </cell>
          <cell r="H43">
            <v>0</v>
          </cell>
        </row>
        <row r="44">
          <cell r="A44" t="str">
            <v>Net Income Available to Common SH</v>
          </cell>
          <cell r="B44">
            <v>49537.563284081029</v>
          </cell>
          <cell r="C44">
            <v>46885.05</v>
          </cell>
          <cell r="D44">
            <v>-2652.5132840810329</v>
          </cell>
          <cell r="E44">
            <v>-2.7859608067230677E-2</v>
          </cell>
          <cell r="G44">
            <v>51874</v>
          </cell>
          <cell r="H44">
            <v>68449.75</v>
          </cell>
        </row>
        <row r="45">
          <cell r="A45" t="str">
            <v>Adjustment: OP Minority Interest</v>
          </cell>
          <cell r="B45">
            <v>2100.549614713686</v>
          </cell>
          <cell r="C45">
            <v>2189</v>
          </cell>
          <cell r="D45">
            <v>88.450385286314031</v>
          </cell>
          <cell r="E45">
            <v>9.2900310142121655E-4</v>
          </cell>
          <cell r="G45">
            <v>2093</v>
          </cell>
          <cell r="H45">
            <v>3210</v>
          </cell>
        </row>
        <row r="46">
          <cell r="A46" t="str">
            <v>Adjustment: Gains and Extraordinary Items</v>
          </cell>
          <cell r="B46">
            <v>14530</v>
          </cell>
          <cell r="C46">
            <v>806</v>
          </cell>
          <cell r="D46">
            <v>-13724</v>
          </cell>
          <cell r="E46">
            <v>-0.14414452263417707</v>
          </cell>
          <cell r="G46">
            <v>21</v>
          </cell>
          <cell r="H46">
            <v>18099</v>
          </cell>
        </row>
        <row r="47">
          <cell r="A47" t="str">
            <v>Normalized Earnings</v>
          </cell>
          <cell r="B47">
            <v>37108.112898794716</v>
          </cell>
          <cell r="C47">
            <v>48268.05</v>
          </cell>
          <cell r="D47">
            <v>11159.93710120528</v>
          </cell>
          <cell r="E47">
            <v>0.11721391766836761</v>
          </cell>
          <cell r="G47">
            <v>53946</v>
          </cell>
          <cell r="H47">
            <v>53560.75</v>
          </cell>
        </row>
        <row r="49">
          <cell r="A49" t="str">
            <v>Adjustments</v>
          </cell>
        </row>
        <row r="50">
          <cell r="A50" t="str">
            <v>Depreciation and Amortization</v>
          </cell>
          <cell r="B50">
            <v>35823.885892047358</v>
          </cell>
          <cell r="C50">
            <v>37404</v>
          </cell>
          <cell r="D50">
            <v>1580.1141079526424</v>
          </cell>
          <cell r="E50">
            <v>1.6596093981227206E-2</v>
          </cell>
          <cell r="G50">
            <v>36997</v>
          </cell>
          <cell r="H50">
            <v>37809</v>
          </cell>
        </row>
        <row r="51">
          <cell r="A51" t="str">
            <v>D&amp;A from unconsol. JVs</v>
          </cell>
          <cell r="B51">
            <v>763</v>
          </cell>
          <cell r="C51">
            <v>792</v>
          </cell>
          <cell r="D51">
            <v>29</v>
          </cell>
          <cell r="E51">
            <v>3.0458985400693203E-4</v>
          </cell>
          <cell r="G51">
            <v>291</v>
          </cell>
          <cell r="H51">
            <v>763</v>
          </cell>
        </row>
        <row r="52">
          <cell r="A52" t="str">
            <v>Gain (Loss) on Property Dispositions</v>
          </cell>
          <cell r="B52">
            <v>-14530</v>
          </cell>
          <cell r="C52">
            <v>-12192</v>
          </cell>
          <cell r="D52">
            <v>2338</v>
          </cell>
          <cell r="E52">
            <v>2.4556244092007143E-2</v>
          </cell>
          <cell r="G52">
            <v>-19550</v>
          </cell>
          <cell r="H52">
            <v>-34649</v>
          </cell>
        </row>
        <row r="53">
          <cell r="A53" t="str">
            <v>Min. Int. in Income/(Loss), excl. pref unit dist.</v>
          </cell>
          <cell r="B53">
            <v>2100.549614713686</v>
          </cell>
          <cell r="C53">
            <v>2189</v>
          </cell>
          <cell r="D53">
            <v>88.450385286314031</v>
          </cell>
          <cell r="E53">
            <v>9.2900310142121655E-4</v>
          </cell>
          <cell r="G53">
            <v>2093</v>
          </cell>
          <cell r="H53">
            <v>3210</v>
          </cell>
        </row>
        <row r="54">
          <cell r="A54" t="str">
            <v>Other Adjustments</v>
          </cell>
          <cell r="B54">
            <v>0</v>
          </cell>
          <cell r="C54">
            <v>0</v>
          </cell>
          <cell r="D54">
            <v>0</v>
          </cell>
          <cell r="E54">
            <v>0</v>
          </cell>
          <cell r="G54">
            <v>0</v>
          </cell>
          <cell r="H54">
            <v>0</v>
          </cell>
        </row>
        <row r="55">
          <cell r="A55" t="str">
            <v>Int. &amp; Amort. of Exchangeable Sub. Deb.</v>
          </cell>
          <cell r="B55">
            <v>0</v>
          </cell>
          <cell r="C55">
            <v>0</v>
          </cell>
          <cell r="D55">
            <v>0</v>
          </cell>
          <cell r="E55">
            <v>0</v>
          </cell>
          <cell r="G55">
            <v>0</v>
          </cell>
          <cell r="H55">
            <v>0</v>
          </cell>
        </row>
        <row r="56">
          <cell r="A56" t="str">
            <v>Funds From Operations</v>
          </cell>
          <cell r="B56">
            <v>73694.998790842074</v>
          </cell>
          <cell r="C56">
            <v>75078.05</v>
          </cell>
          <cell r="D56">
            <v>1383.0512091579149</v>
          </cell>
          <cell r="E56">
            <v>1.4526322961431729E-2</v>
          </cell>
          <cell r="G56">
            <v>71705</v>
          </cell>
          <cell r="H56">
            <v>75582.75</v>
          </cell>
        </row>
        <row r="58">
          <cell r="A58" t="str">
            <v>Straight-lining Adjustment</v>
          </cell>
          <cell r="B58">
            <v>-2366.5599954435288</v>
          </cell>
          <cell r="C58">
            <v>-2321</v>
          </cell>
          <cell r="D58">
            <v>45.559995443528805</v>
          </cell>
          <cell r="E58">
            <v>4.785211158862389E-4</v>
          </cell>
          <cell r="G58">
            <v>-2826</v>
          </cell>
          <cell r="H58">
            <v>-2397</v>
          </cell>
        </row>
        <row r="59">
          <cell r="A59" t="str">
            <v>Tenant Improvements &amp; LC's</v>
          </cell>
          <cell r="B59">
            <v>-13977.671453104689</v>
          </cell>
          <cell r="C59">
            <v>-11170</v>
          </cell>
          <cell r="D59">
            <v>2807.6714531046891</v>
          </cell>
          <cell r="E59">
            <v>2.9489249586227173E-2</v>
          </cell>
          <cell r="G59">
            <v>-18196</v>
          </cell>
          <cell r="H59">
            <v>-16519</v>
          </cell>
        </row>
        <row r="60">
          <cell r="A60" t="str">
            <v>Non-reimbursed Capital Expenditures</v>
          </cell>
          <cell r="B60">
            <v>-2073.331660588824</v>
          </cell>
          <cell r="C60">
            <v>-3697</v>
          </cell>
          <cell r="D60">
            <v>-1623.668339411176</v>
          </cell>
          <cell r="E60">
            <v>-1.7053548360583721E-2</v>
          </cell>
          <cell r="G60">
            <v>-2965</v>
          </cell>
          <cell r="H60">
            <v>-2100</v>
          </cell>
        </row>
        <row r="61">
          <cell r="A61" t="str">
            <v>Adjusted Funds From Operations</v>
          </cell>
          <cell r="B61">
            <v>55277.435681705028</v>
          </cell>
          <cell r="C61">
            <v>57890.05</v>
          </cell>
          <cell r="D61">
            <v>2612.61431829496</v>
          </cell>
          <cell r="E61">
            <v>2.7440545302961455E-2</v>
          </cell>
          <cell r="G61">
            <v>47718</v>
          </cell>
          <cell r="H61">
            <v>54566.75</v>
          </cell>
        </row>
        <row r="64">
          <cell r="A64" t="str">
            <v>Net Income Per Share</v>
          </cell>
          <cell r="B64">
            <v>0.54578426781632616</v>
          </cell>
          <cell r="C64">
            <v>0.51517503955696198</v>
          </cell>
          <cell r="D64">
            <v>-3.0609228259364185E-2</v>
          </cell>
          <cell r="G64">
            <v>0.58336519646431706</v>
          </cell>
          <cell r="H64">
            <v>0.75782460918471284</v>
          </cell>
        </row>
        <row r="66">
          <cell r="A66" t="str">
            <v>Diluted EPS before Extraordinary</v>
          </cell>
          <cell r="B66">
            <v>0.70080719466615882</v>
          </cell>
          <cell r="C66">
            <v>0.52389507404684377</v>
          </cell>
          <cell r="D66">
            <v>-0.17691212061931505</v>
          </cell>
          <cell r="G66">
            <v>0.58403288619645177</v>
          </cell>
          <cell r="H66">
            <v>0.95511401725954226</v>
          </cell>
        </row>
        <row r="67">
          <cell r="A67" t="str">
            <v>Diluted EPS after Extraordinary</v>
          </cell>
          <cell r="B67">
            <v>0.54691541670244459</v>
          </cell>
          <cell r="C67">
            <v>0.5154295767251339</v>
          </cell>
          <cell r="D67">
            <v>-3.1485839977310692E-2</v>
          </cell>
          <cell r="G67">
            <v>0.58380571181306795</v>
          </cell>
          <cell r="H67">
            <v>0.76252434106217482</v>
          </cell>
        </row>
        <row r="68">
          <cell r="A68" t="str">
            <v>Normalized Earnings Per Share</v>
          </cell>
          <cell r="B68">
            <v>0.39302363873873047</v>
          </cell>
          <cell r="C68">
            <v>0.50696407940342392</v>
          </cell>
          <cell r="D68">
            <v>0.11394044066469344</v>
          </cell>
          <cell r="G68">
            <v>0.58357853742968413</v>
          </cell>
          <cell r="H68">
            <v>0.56993466486480737</v>
          </cell>
        </row>
        <row r="69">
          <cell r="A69" t="str">
            <v>FFO Per Share</v>
          </cell>
          <cell r="B69">
            <v>0.78052679910230227</v>
          </cell>
          <cell r="C69">
            <v>0.7885521478836256</v>
          </cell>
          <cell r="D69">
            <v>8.0253487813233271E-3</v>
          </cell>
          <cell r="G69">
            <v>0.7756923409779316</v>
          </cell>
          <cell r="H69">
            <v>0.80426859763559166</v>
          </cell>
        </row>
        <row r="70">
          <cell r="D70">
            <v>0</v>
          </cell>
        </row>
        <row r="71">
          <cell r="A71" t="str">
            <v>AFFO Per Share</v>
          </cell>
          <cell r="B71">
            <v>0.58546062342274197</v>
          </cell>
          <cell r="C71">
            <v>0.60802489234324109</v>
          </cell>
          <cell r="D71">
            <v>2.256426892049912E-2</v>
          </cell>
          <cell r="G71">
            <v>0.51620510601471226</v>
          </cell>
          <cell r="H71">
            <v>0.58063941177096523</v>
          </cell>
        </row>
        <row r="72">
          <cell r="A72" t="str">
            <v>NOI Per Share</v>
          </cell>
          <cell r="B72">
            <v>1.2347089556982855</v>
          </cell>
          <cell r="C72">
            <v>1.2604337779644994</v>
          </cell>
          <cell r="D72">
            <v>2.5724822266213865E-2</v>
          </cell>
          <cell r="G72">
            <v>1.2687689311986152</v>
          </cell>
          <cell r="H72">
            <v>1.2564457260819137</v>
          </cell>
        </row>
        <row r="73">
          <cell r="A73" t="str">
            <v>EBITDA Per Share</v>
          </cell>
          <cell r="B73">
            <v>1.114898050048641</v>
          </cell>
          <cell r="C73">
            <v>1.1344386093897698</v>
          </cell>
          <cell r="D73">
            <v>1.954055934112886E-2</v>
          </cell>
          <cell r="G73">
            <v>1.1695153613154479</v>
          </cell>
          <cell r="H73">
            <v>1.1340647179629058</v>
          </cell>
        </row>
        <row r="75">
          <cell r="A75" t="str">
            <v>Dividends Per Share</v>
          </cell>
          <cell r="B75">
            <v>0.64575000000000005</v>
          </cell>
          <cell r="C75">
            <v>0.64575000000000005</v>
          </cell>
          <cell r="D75">
            <v>0</v>
          </cell>
          <cell r="G75">
            <v>0.61499999999999999</v>
          </cell>
          <cell r="H75">
            <v>0.61499999999999999</v>
          </cell>
        </row>
        <row r="77">
          <cell r="A77" t="str">
            <v>Payout Ratio (Net Income)</v>
          </cell>
          <cell r="B77">
            <v>1.1831597905590705</v>
          </cell>
          <cell r="C77">
            <v>1.2534574667191356</v>
          </cell>
          <cell r="D77">
            <v>7.0297676160065103E-2</v>
          </cell>
          <cell r="G77">
            <v>1.0542281296988858</v>
          </cell>
          <cell r="H77">
            <v>0.81153342415421525</v>
          </cell>
        </row>
        <row r="78">
          <cell r="A78" t="str">
            <v>Payout Ratio (FFO)</v>
          </cell>
          <cell r="B78">
            <v>0.82732585318363006</v>
          </cell>
          <cell r="C78">
            <v>0.81890589193512631</v>
          </cell>
          <cell r="D78">
            <v>-8.4199612485037489E-3</v>
          </cell>
          <cell r="G78">
            <v>0.79284010877902522</v>
          </cell>
          <cell r="H78">
            <v>0.76466991476229695</v>
          </cell>
        </row>
        <row r="79">
          <cell r="A79" t="str">
            <v>Payout Ratio (AFFO)</v>
          </cell>
          <cell r="B79">
            <v>1.1029776797366697</v>
          </cell>
          <cell r="C79">
            <v>1.0620453342154657</v>
          </cell>
          <cell r="D79">
            <v>-4.0932345521204061E-2</v>
          </cell>
          <cell r="G79">
            <v>1.1913868980259021</v>
          </cell>
          <cell r="H79">
            <v>1.059177154585897</v>
          </cell>
        </row>
        <row r="81">
          <cell r="A81" t="str">
            <v>Diluted Weighted Avg. Common Shares</v>
          </cell>
          <cell r="B81">
            <v>90764</v>
          </cell>
          <cell r="C81">
            <v>91008</v>
          </cell>
          <cell r="D81">
            <v>244</v>
          </cell>
          <cell r="G81">
            <v>88922</v>
          </cell>
          <cell r="H81">
            <v>90324</v>
          </cell>
        </row>
        <row r="82">
          <cell r="A82" t="str">
            <v>Diluted Wght. Avg. Shares &amp; OP Units</v>
          </cell>
          <cell r="B82">
            <v>94417</v>
          </cell>
          <cell r="C82">
            <v>95210</v>
          </cell>
          <cell r="D82">
            <v>793</v>
          </cell>
          <cell r="G82">
            <v>92440</v>
          </cell>
          <cell r="H82">
            <v>93977</v>
          </cell>
        </row>
        <row r="85">
          <cell r="A85" t="str">
            <v>Matt Ostrower</v>
          </cell>
          <cell r="H85" t="str">
            <v>(212) 761-6284</v>
          </cell>
        </row>
        <row r="86">
          <cell r="A86" t="str">
            <v>Morgan Stanley  REIT Research</v>
          </cell>
          <cell r="H86" t="str">
            <v>Matthew.Ostrower@morganstanley.com</v>
          </cell>
        </row>
      </sheetData>
      <sheetData sheetId="32" refreshError="1">
        <row r="1">
          <cell r="A1" t="str">
            <v>Liberty Property Trust (LRY)</v>
          </cell>
          <cell r="H1" t="str">
            <v>Matt Ostrower</v>
          </cell>
        </row>
        <row r="2">
          <cell r="A2" t="str">
            <v>4Q06 Earnings Variance Analysis Worksheet</v>
          </cell>
          <cell r="H2" t="str">
            <v>Morgan Stanley REIT Research Team</v>
          </cell>
        </row>
        <row r="3">
          <cell r="A3" t="str">
            <v>($ in Thousands, Except per Share Amounts)</v>
          </cell>
          <cell r="H3" t="str">
            <v>(212) 761-6284   Matthew.Ostrower@morganstanley.com</v>
          </cell>
        </row>
        <row r="5">
          <cell r="B5">
            <v>49</v>
          </cell>
          <cell r="C5">
            <v>49</v>
          </cell>
          <cell r="G5">
            <v>44</v>
          </cell>
          <cell r="H5">
            <v>48</v>
          </cell>
        </row>
        <row r="7">
          <cell r="B7" t="str">
            <v>MS</v>
          </cell>
          <cell r="C7" t="str">
            <v>Reported</v>
          </cell>
          <cell r="E7" t="str">
            <v>Per Share</v>
          </cell>
        </row>
        <row r="8">
          <cell r="A8" t="str">
            <v>Year Ends December 31</v>
          </cell>
          <cell r="B8" t="str">
            <v>4Q06E</v>
          </cell>
          <cell r="C8" t="str">
            <v>4Q06A</v>
          </cell>
          <cell r="D8" t="str">
            <v>Variance</v>
          </cell>
          <cell r="E8" t="str">
            <v>Impact</v>
          </cell>
          <cell r="F8" t="str">
            <v>Comments</v>
          </cell>
          <cell r="G8" t="str">
            <v>4Q05A</v>
          </cell>
          <cell r="H8" t="str">
            <v>3Q06A</v>
          </cell>
        </row>
        <row r="9">
          <cell r="A9" t="str">
            <v>Op Exp Reimbursements as % of Total Exps</v>
          </cell>
          <cell r="B9">
            <v>0.93566211255345721</v>
          </cell>
          <cell r="C9">
            <v>0.96762052165960211</v>
          </cell>
          <cell r="G9">
            <v>0.90174371814361087</v>
          </cell>
          <cell r="H9">
            <v>0.98045711733174512</v>
          </cell>
        </row>
        <row r="10">
          <cell r="A10" t="str">
            <v>Rental Property Expenses as % of Rental Revenue</v>
          </cell>
          <cell r="B10">
            <v>0.31</v>
          </cell>
          <cell r="C10">
            <v>0.30994481547155428</v>
          </cell>
          <cell r="G10">
            <v>0.30569619732108311</v>
          </cell>
          <cell r="H10">
            <v>0.29917891279632824</v>
          </cell>
        </row>
        <row r="11">
          <cell r="A11" t="str">
            <v>Real Estate Taxes as % of Rental Revenue</v>
          </cell>
          <cell r="B11">
            <v>0.14000000000000001</v>
          </cell>
          <cell r="C11">
            <v>0.16117030972938037</v>
          </cell>
          <cell r="G11">
            <v>0.15463459211143768</v>
          </cell>
          <cell r="H11">
            <v>0.15328645416649123</v>
          </cell>
        </row>
        <row r="12">
          <cell r="A12" t="str">
            <v>G&amp;A Expenses as % of NOI</v>
          </cell>
          <cell r="B12">
            <v>0.1060293854443472</v>
          </cell>
          <cell r="C12">
            <v>0.103761584665297</v>
          </cell>
          <cell r="G12">
            <v>9.2551194732728048E-2</v>
          </cell>
          <cell r="H12">
            <v>9.9961751880532551E-2</v>
          </cell>
        </row>
        <row r="13">
          <cell r="A13" t="str">
            <v>Interest &amp; Other Income as % of NOI</v>
          </cell>
          <cell r="B13">
            <v>1.9E-2</v>
          </cell>
          <cell r="C13">
            <v>2.1714082218538027E-2</v>
          </cell>
          <cell r="G13">
            <v>2.0630633367289878E-2</v>
          </cell>
          <cell r="H13">
            <v>2.7140332266996876E-2</v>
          </cell>
        </row>
        <row r="15">
          <cell r="A15" t="str">
            <v>Revenue</v>
          </cell>
        </row>
        <row r="16">
          <cell r="A16" t="str">
            <v>Rental</v>
          </cell>
          <cell r="B16">
            <v>121078.96566595385</v>
          </cell>
          <cell r="C16">
            <v>120686</v>
          </cell>
          <cell r="D16">
            <v>-392.96566595384502</v>
          </cell>
          <cell r="E16">
            <v>-4.1113366249970707E-3</v>
          </cell>
          <cell r="G16">
            <v>121467</v>
          </cell>
          <cell r="H16">
            <v>118745</v>
          </cell>
        </row>
        <row r="17">
          <cell r="A17" t="str">
            <v>Operating Expense Reimbursement</v>
          </cell>
          <cell r="B17">
            <v>50980.050360357251</v>
          </cell>
          <cell r="C17">
            <v>55016</v>
          </cell>
          <cell r="D17">
            <v>4035.9496396427494</v>
          </cell>
          <cell r="E17">
            <v>4.2225438524840182E-2</v>
          </cell>
          <cell r="G17">
            <v>50421</v>
          </cell>
          <cell r="H17">
            <v>52678</v>
          </cell>
        </row>
        <row r="18">
          <cell r="A18" t="str">
            <v>Total Revenue</v>
          </cell>
          <cell r="B18">
            <v>172059.01602631109</v>
          </cell>
          <cell r="C18">
            <v>175702</v>
          </cell>
          <cell r="D18">
            <v>3642.9839736889116</v>
          </cell>
          <cell r="E18">
            <v>3.8114101899843184E-2</v>
          </cell>
          <cell r="G18">
            <v>171888</v>
          </cell>
          <cell r="H18">
            <v>171423</v>
          </cell>
        </row>
        <row r="20">
          <cell r="A20" t="str">
            <v>Expenses</v>
          </cell>
        </row>
        <row r="21">
          <cell r="A21" t="str">
            <v>Rental Property Expenses</v>
          </cell>
          <cell r="B21">
            <v>37534.479356445692</v>
          </cell>
          <cell r="C21">
            <v>37406</v>
          </cell>
          <cell r="D21">
            <v>128.47935644569225</v>
          </cell>
          <cell r="E21">
            <v>1.3441934740763568E-3</v>
          </cell>
          <cell r="G21">
            <v>37132</v>
          </cell>
          <cell r="H21">
            <v>35526</v>
          </cell>
        </row>
        <row r="22">
          <cell r="A22" t="str">
            <v>Real Estate Taxes</v>
          </cell>
          <cell r="B22">
            <v>16951.05519323354</v>
          </cell>
          <cell r="C22">
            <v>19451</v>
          </cell>
          <cell r="D22">
            <v>-2499.9448067664598</v>
          </cell>
          <cell r="E22">
            <v>-2.6155248498827798E-2</v>
          </cell>
          <cell r="G22">
            <v>18783</v>
          </cell>
          <cell r="H22">
            <v>18202</v>
          </cell>
        </row>
        <row r="23">
          <cell r="A23" t="str">
            <v>Total Expenses</v>
          </cell>
          <cell r="B23">
            <v>54485.534549679229</v>
          </cell>
          <cell r="C23">
            <v>56857</v>
          </cell>
          <cell r="D23">
            <v>-2371.4654503207712</v>
          </cell>
          <cell r="E23">
            <v>-2.4811055024751481E-2</v>
          </cell>
          <cell r="G23">
            <v>55915</v>
          </cell>
          <cell r="H23">
            <v>53728</v>
          </cell>
        </row>
        <row r="25">
          <cell r="A25" t="str">
            <v>NOI of JVs</v>
          </cell>
          <cell r="B25">
            <v>2357.1179999999999</v>
          </cell>
          <cell r="C25">
            <v>2182.4499999999998</v>
          </cell>
          <cell r="D25">
            <v>-174.66800000000012</v>
          </cell>
          <cell r="E25">
            <v>-1.8274343227210441E-3</v>
          </cell>
          <cell r="G25">
            <v>892.05</v>
          </cell>
          <cell r="H25">
            <v>2310.9</v>
          </cell>
        </row>
        <row r="26">
          <cell r="A26" t="str">
            <v>Equity in earnings of uncon. JV</v>
          </cell>
          <cell r="B26">
            <v>0</v>
          </cell>
          <cell r="C26">
            <v>0</v>
          </cell>
          <cell r="D26">
            <v>0</v>
          </cell>
          <cell r="E26">
            <v>0</v>
          </cell>
          <cell r="G26">
            <v>0</v>
          </cell>
          <cell r="H26">
            <v>0</v>
          </cell>
        </row>
        <row r="27">
          <cell r="A27" t="str">
            <v>Acquisition &amp; Development NOI</v>
          </cell>
          <cell r="B27">
            <v>1071.1328646482398</v>
          </cell>
          <cell r="C27">
            <v>0</v>
          </cell>
          <cell r="D27">
            <v>-1071.1328646482398</v>
          </cell>
          <cell r="E27">
            <v>-1.1206545910256639E-2</v>
          </cell>
          <cell r="G27">
            <v>0</v>
          </cell>
          <cell r="H27">
            <v>0</v>
          </cell>
        </row>
        <row r="28">
          <cell r="A28" t="str">
            <v>Net Operating Income</v>
          </cell>
          <cell r="B28">
            <v>121001.73234128011</v>
          </cell>
          <cell r="C28">
            <v>121027.45</v>
          </cell>
          <cell r="D28">
            <v>25.717658719891915</v>
          </cell>
          <cell r="E28">
            <v>2.690666421139339E-4</v>
          </cell>
          <cell r="G28">
            <v>116865.05</v>
          </cell>
          <cell r="H28">
            <v>120005.9</v>
          </cell>
        </row>
        <row r="30">
          <cell r="A30" t="str">
            <v>General and Administrative</v>
          </cell>
          <cell r="B30">
            <v>12829.739317847321</v>
          </cell>
          <cell r="C30">
            <v>12558</v>
          </cell>
          <cell r="D30">
            <v>271.73931784732122</v>
          </cell>
          <cell r="E30">
            <v>2.8430265204101362E-3</v>
          </cell>
          <cell r="G30">
            <v>10816</v>
          </cell>
          <cell r="H30">
            <v>11996</v>
          </cell>
        </row>
        <row r="32">
          <cell r="A32" t="str">
            <v>EBITDA</v>
          </cell>
          <cell r="B32">
            <v>108171.99302343279</v>
          </cell>
          <cell r="C32">
            <v>108469.45</v>
          </cell>
          <cell r="D32">
            <v>297.45697656720586</v>
          </cell>
          <cell r="E32">
            <v>3.1120931625239941E-3</v>
          </cell>
          <cell r="G32">
            <v>106049.05</v>
          </cell>
          <cell r="H32">
            <v>108009.9</v>
          </cell>
        </row>
        <row r="34">
          <cell r="A34" t="str">
            <v>Interest Expense - consolidated</v>
          </cell>
          <cell r="B34">
            <v>30589.577512350035</v>
          </cell>
          <cell r="C34">
            <v>30456</v>
          </cell>
          <cell r="D34">
            <v>133.57751235003525</v>
          </cell>
          <cell r="E34">
            <v>1.3975320654736323E-3</v>
          </cell>
          <cell r="G34">
            <v>32843</v>
          </cell>
          <cell r="H34">
            <v>30840</v>
          </cell>
        </row>
        <row r="35">
          <cell r="A35" t="str">
            <v>Interest Expense - unconsolidated</v>
          </cell>
          <cell r="B35">
            <v>-1184.8499999999999</v>
          </cell>
          <cell r="C35">
            <v>-1237.75</v>
          </cell>
          <cell r="D35">
            <v>52.900000000000091</v>
          </cell>
          <cell r="E35">
            <v>5.5345727707389642E-4</v>
          </cell>
        </row>
        <row r="36">
          <cell r="A36" t="str">
            <v>Depreciation and Amort.</v>
          </cell>
          <cell r="B36">
            <v>36900.879820308081</v>
          </cell>
          <cell r="C36">
            <v>37433</v>
          </cell>
          <cell r="D36">
            <v>-532.12017969191947</v>
          </cell>
          <cell r="E36">
            <v>-5.5672171215191248E-3</v>
          </cell>
          <cell r="G36">
            <v>39121</v>
          </cell>
          <cell r="H36">
            <v>37763</v>
          </cell>
        </row>
        <row r="37">
          <cell r="A37" t="str">
            <v>JV Depreciation and Amort.</v>
          </cell>
          <cell r="B37">
            <v>-792</v>
          </cell>
          <cell r="C37">
            <v>-763</v>
          </cell>
          <cell r="D37">
            <v>-29</v>
          </cell>
          <cell r="E37">
            <v>-3.0340758100459296E-4</v>
          </cell>
        </row>
        <row r="38">
          <cell r="A38" t="str">
            <v>Gain (Loss) on Sale - consolidated</v>
          </cell>
          <cell r="B38">
            <v>15000</v>
          </cell>
          <cell r="C38">
            <v>4517</v>
          </cell>
          <cell r="D38">
            <v>-10483</v>
          </cell>
          <cell r="E38">
            <v>-0.10967660936797062</v>
          </cell>
          <cell r="G38">
            <v>75258</v>
          </cell>
          <cell r="H38">
            <v>806</v>
          </cell>
        </row>
        <row r="39">
          <cell r="A39" t="str">
            <v>Gain (Loss) on Sale - JVs</v>
          </cell>
          <cell r="B39">
            <v>0</v>
          </cell>
          <cell r="C39">
            <v>0</v>
          </cell>
          <cell r="D39">
            <v>0</v>
          </cell>
          <cell r="E39">
            <v>0</v>
          </cell>
        </row>
        <row r="40">
          <cell r="A40" t="str">
            <v>Interest &amp; Other Income</v>
          </cell>
          <cell r="B40">
            <v>2299.0329144843217</v>
          </cell>
          <cell r="C40">
            <v>2628</v>
          </cell>
          <cell r="D40">
            <v>328.96708551567826</v>
          </cell>
          <cell r="E40">
            <v>3.4417623326359658E-3</v>
          </cell>
          <cell r="G40">
            <v>2411</v>
          </cell>
          <cell r="H40">
            <v>3257</v>
          </cell>
        </row>
        <row r="41">
          <cell r="A41" t="str">
            <v>Int. &amp; Amort. of Exchangeable Sub. Deb.</v>
          </cell>
          <cell r="B41">
            <v>0</v>
          </cell>
          <cell r="C41">
            <v>0</v>
          </cell>
          <cell r="D41">
            <v>0</v>
          </cell>
          <cell r="E41">
            <v>0</v>
          </cell>
          <cell r="G41">
            <v>0</v>
          </cell>
          <cell r="H41">
            <v>0</v>
          </cell>
        </row>
        <row r="42">
          <cell r="A42" t="str">
            <v>Income Bef. Min. Interest</v>
          </cell>
          <cell r="B42">
            <v>56003.718605258997</v>
          </cell>
          <cell r="C42">
            <v>45724.7</v>
          </cell>
          <cell r="D42">
            <v>-10279.018605259</v>
          </cell>
          <cell r="E42">
            <v>-0.10754248862492545</v>
          </cell>
          <cell r="G42">
            <v>110970</v>
          </cell>
          <cell r="H42">
            <v>41493.050000000003</v>
          </cell>
        </row>
        <row r="43">
          <cell r="A43" t="str">
            <v>Minority Interest In Earnings</v>
          </cell>
          <cell r="B43">
            <v>-5937.4230242216236</v>
          </cell>
          <cell r="C43">
            <v>-5146</v>
          </cell>
          <cell r="D43">
            <v>791.42302422162356</v>
          </cell>
          <cell r="E43">
            <v>8.2801291493249038E-3</v>
          </cell>
          <cell r="G43">
            <v>-7560</v>
          </cell>
          <cell r="H43">
            <v>-5087</v>
          </cell>
        </row>
        <row r="44">
          <cell r="A44" t="str">
            <v>Income taxes</v>
          </cell>
          <cell r="B44">
            <v>-235</v>
          </cell>
          <cell r="C44">
            <v>-303</v>
          </cell>
          <cell r="D44">
            <v>-68</v>
          </cell>
          <cell r="E44">
            <v>-7.1143846580387312E-4</v>
          </cell>
          <cell r="G44">
            <v>-12586</v>
          </cell>
          <cell r="H44">
            <v>625</v>
          </cell>
        </row>
        <row r="45">
          <cell r="A45" t="str">
            <v>Preferred Share Dividend</v>
          </cell>
          <cell r="B45">
            <v>0</v>
          </cell>
          <cell r="C45">
            <v>0</v>
          </cell>
          <cell r="D45">
            <v>0</v>
          </cell>
          <cell r="E45">
            <v>0</v>
          </cell>
          <cell r="G45">
            <v>0</v>
          </cell>
          <cell r="H45">
            <v>0</v>
          </cell>
        </row>
        <row r="46">
          <cell r="A46" t="str">
            <v>Other Gains/(Losses)</v>
          </cell>
          <cell r="B46">
            <v>981.07749999999999</v>
          </cell>
          <cell r="C46">
            <v>-4146</v>
          </cell>
          <cell r="D46">
            <v>-5127.0775000000003</v>
          </cell>
          <cell r="E46">
            <v>-5.3641178686140552E-2</v>
          </cell>
          <cell r="G46">
            <v>13945</v>
          </cell>
          <cell r="H46">
            <v>-910</v>
          </cell>
        </row>
        <row r="47">
          <cell r="A47" t="str">
            <v>Discontinued ops net of minority interest (excluding gains)</v>
          </cell>
          <cell r="B47">
            <v>-622</v>
          </cell>
          <cell r="C47">
            <v>-348</v>
          </cell>
          <cell r="D47">
            <v>274</v>
          </cell>
          <cell r="E47">
            <v>2.8666785239744299E-3</v>
          </cell>
          <cell r="G47">
            <v>-1419</v>
          </cell>
          <cell r="H47">
            <v>-622</v>
          </cell>
        </row>
        <row r="48">
          <cell r="A48" t="str">
            <v>Discontinued op. gains</v>
          </cell>
          <cell r="B48">
            <v>0</v>
          </cell>
          <cell r="C48">
            <v>25032</v>
          </cell>
          <cell r="D48">
            <v>25032</v>
          </cell>
          <cell r="E48">
            <v>0.2618930540588611</v>
          </cell>
          <cell r="G48">
            <v>3966</v>
          </cell>
          <cell r="H48">
            <v>11386</v>
          </cell>
        </row>
        <row r="49">
          <cell r="A49" t="str">
            <v>Extraordinary Item</v>
          </cell>
          <cell r="B49">
            <v>0</v>
          </cell>
          <cell r="C49">
            <v>0</v>
          </cell>
          <cell r="D49">
            <v>0</v>
          </cell>
          <cell r="E49">
            <v>0</v>
          </cell>
          <cell r="G49">
            <v>0</v>
          </cell>
          <cell r="H49">
            <v>0</v>
          </cell>
        </row>
        <row r="50">
          <cell r="A50" t="str">
            <v>Net Income Available to Common SH</v>
          </cell>
          <cell r="B50">
            <v>50190.373081037375</v>
          </cell>
          <cell r="C50">
            <v>60813.7</v>
          </cell>
          <cell r="D50">
            <v>10623.326918962623</v>
          </cell>
          <cell r="E50">
            <v>0.11114475595529051</v>
          </cell>
          <cell r="G50">
            <v>107316</v>
          </cell>
          <cell r="H50">
            <v>46885.05</v>
          </cell>
        </row>
        <row r="51">
          <cell r="A51" t="str">
            <v>Adjustment: OP Minority Interest</v>
          </cell>
          <cell r="B51">
            <v>2460.2992742216238</v>
          </cell>
          <cell r="C51">
            <v>2805</v>
          </cell>
          <cell r="D51">
            <v>344.70072577837618</v>
          </cell>
          <cell r="E51">
            <v>3.6063728751360227E-3</v>
          </cell>
          <cell r="G51">
            <v>4273</v>
          </cell>
          <cell r="H51">
            <v>2189</v>
          </cell>
        </row>
        <row r="52">
          <cell r="A52" t="str">
            <v>Adjustment: Gains and Extraordinary Items</v>
          </cell>
          <cell r="B52">
            <v>15000</v>
          </cell>
          <cell r="C52">
            <v>4517</v>
          </cell>
          <cell r="D52">
            <v>-10483</v>
          </cell>
          <cell r="E52">
            <v>-0.10967660936797062</v>
          </cell>
          <cell r="G52">
            <v>75258</v>
          </cell>
          <cell r="H52">
            <v>806</v>
          </cell>
        </row>
        <row r="53">
          <cell r="A53" t="str">
            <v>Normalized Earnings</v>
          </cell>
          <cell r="B53">
            <v>37650.672355258997</v>
          </cell>
          <cell r="C53">
            <v>59101.7</v>
          </cell>
          <cell r="D53">
            <v>21451.027644741</v>
          </cell>
          <cell r="E53">
            <v>0.22442773819839718</v>
          </cell>
          <cell r="G53">
            <v>36331</v>
          </cell>
          <cell r="H53">
            <v>48268.05</v>
          </cell>
        </row>
        <row r="55">
          <cell r="A55" t="str">
            <v>Adjustments</v>
          </cell>
        </row>
        <row r="56">
          <cell r="A56" t="str">
            <v>Depreciation and Amortization</v>
          </cell>
          <cell r="B56">
            <v>36319.873389278393</v>
          </cell>
          <cell r="C56">
            <v>37802</v>
          </cell>
          <cell r="D56">
            <v>1482.126610721607</v>
          </cell>
          <cell r="E56">
            <v>1.5506498265571683E-2</v>
          </cell>
          <cell r="G56">
            <v>38889</v>
          </cell>
          <cell r="H56">
            <v>37404</v>
          </cell>
        </row>
        <row r="57">
          <cell r="A57" t="str">
            <v>D&amp;A from unconsol. JVs</v>
          </cell>
          <cell r="B57">
            <v>792</v>
          </cell>
          <cell r="C57">
            <v>763</v>
          </cell>
          <cell r="D57">
            <v>-29</v>
          </cell>
          <cell r="E57">
            <v>-3.0340758100459296E-4</v>
          </cell>
          <cell r="G57">
            <v>373</v>
          </cell>
          <cell r="H57">
            <v>792</v>
          </cell>
        </row>
        <row r="58">
          <cell r="A58" t="str">
            <v>Gain (Loss) on Property Dispositions</v>
          </cell>
          <cell r="B58">
            <v>-15000</v>
          </cell>
          <cell r="C58">
            <v>-29549</v>
          </cell>
          <cell r="D58">
            <v>-14549</v>
          </cell>
          <cell r="E58">
            <v>-0.15221644469089046</v>
          </cell>
          <cell r="G58">
            <v>-79224</v>
          </cell>
          <cell r="H58">
            <v>-12192</v>
          </cell>
        </row>
        <row r="59">
          <cell r="A59" t="str">
            <v>Min. Int. in Income/(Loss), excl. pref unit dist.</v>
          </cell>
          <cell r="B59">
            <v>2460.2992742216238</v>
          </cell>
          <cell r="C59">
            <v>2805</v>
          </cell>
          <cell r="D59">
            <v>344.70072577837618</v>
          </cell>
          <cell r="E59">
            <v>3.6063728751360227E-3</v>
          </cell>
          <cell r="G59">
            <v>4273</v>
          </cell>
          <cell r="H59">
            <v>2189</v>
          </cell>
        </row>
        <row r="60">
          <cell r="A60" t="str">
            <v>Other Adjustments</v>
          </cell>
          <cell r="B60">
            <v>0</v>
          </cell>
          <cell r="C60">
            <v>0</v>
          </cell>
          <cell r="D60">
            <v>0</v>
          </cell>
          <cell r="E60">
            <v>0</v>
          </cell>
          <cell r="G60">
            <v>0</v>
          </cell>
          <cell r="H60">
            <v>0</v>
          </cell>
        </row>
        <row r="61">
          <cell r="A61" t="str">
            <v>Int. &amp; Amort. of Exchangeable Sub. Deb.</v>
          </cell>
          <cell r="B61">
            <v>0</v>
          </cell>
          <cell r="C61">
            <v>0</v>
          </cell>
          <cell r="D61">
            <v>0</v>
          </cell>
          <cell r="E61">
            <v>0</v>
          </cell>
          <cell r="G61">
            <v>0</v>
          </cell>
          <cell r="H61">
            <v>0</v>
          </cell>
        </row>
        <row r="62">
          <cell r="A62" t="str">
            <v>Funds From Operations</v>
          </cell>
          <cell r="B62">
            <v>74762.54574453739</v>
          </cell>
          <cell r="C62">
            <v>72634.7</v>
          </cell>
          <cell r="D62">
            <v>-2127.8457445373933</v>
          </cell>
          <cell r="E62">
            <v>-2.2262225175896815E-2</v>
          </cell>
          <cell r="G62">
            <v>71627</v>
          </cell>
          <cell r="H62">
            <v>75078.05</v>
          </cell>
        </row>
        <row r="64">
          <cell r="A64" t="str">
            <v>Straight-lining Adjustment</v>
          </cell>
          <cell r="B64">
            <v>-2340.2601102455055</v>
          </cell>
          <cell r="C64">
            <v>-2537</v>
          </cell>
          <cell r="D64">
            <v>-196.73988975449447</v>
          </cell>
          <cell r="E64">
            <v>-2.0583577254317748E-3</v>
          </cell>
          <cell r="G64">
            <v>-3395</v>
          </cell>
          <cell r="H64">
            <v>-2321</v>
          </cell>
        </row>
        <row r="65">
          <cell r="A65" t="str">
            <v>Tenant Improvements &amp; LC's</v>
          </cell>
          <cell r="B65">
            <v>-11262.690836468031</v>
          </cell>
          <cell r="C65">
            <v>-15306</v>
          </cell>
          <cell r="D65">
            <v>-4043.3091635319688</v>
          </cell>
          <cell r="E65">
            <v>-4.230243629520479E-2</v>
          </cell>
          <cell r="G65">
            <v>-10814</v>
          </cell>
          <cell r="H65">
            <v>-11170</v>
          </cell>
        </row>
        <row r="66">
          <cell r="A66" t="str">
            <v>Non-reimbursed Capital Expenditures</v>
          </cell>
          <cell r="B66">
            <v>-3727.678426358309</v>
          </cell>
          <cell r="C66">
            <v>-4996</v>
          </cell>
          <cell r="D66">
            <v>-1268.321573641691</v>
          </cell>
          <cell r="E66">
            <v>-1.3269599330847041E-2</v>
          </cell>
          <cell r="G66">
            <v>-5936</v>
          </cell>
          <cell r="H66">
            <v>-3697</v>
          </cell>
        </row>
        <row r="67">
          <cell r="A67" t="str">
            <v>Adjusted Funds From Operations</v>
          </cell>
          <cell r="B67">
            <v>57431.916371465544</v>
          </cell>
          <cell r="C67">
            <v>49795.7</v>
          </cell>
          <cell r="D67">
            <v>-7636.2163714655471</v>
          </cell>
          <cell r="E67">
            <v>-7.9892618527380416E-2</v>
          </cell>
          <cell r="G67">
            <v>51482</v>
          </cell>
          <cell r="H67">
            <v>57890.05</v>
          </cell>
        </row>
        <row r="70">
          <cell r="A70" t="str">
            <v>Net Income Per Share</v>
          </cell>
          <cell r="B70">
            <v>0.54884057695124411</v>
          </cell>
          <cell r="C70">
            <v>0.66545969842207775</v>
          </cell>
          <cell r="D70">
            <v>0.11661912147083364</v>
          </cell>
          <cell r="G70">
            <v>1.2017200062708562</v>
          </cell>
          <cell r="H70">
            <v>0.51517503955696198</v>
          </cell>
        </row>
        <row r="72">
          <cell r="A72" t="str">
            <v>Diluted EPS before Extraordinary</v>
          </cell>
          <cell r="B72">
            <v>0.70727310355733397</v>
          </cell>
          <cell r="C72">
            <v>0.71285820403636702</v>
          </cell>
          <cell r="D72">
            <v>5.585100479033045E-3</v>
          </cell>
          <cell r="G72">
            <v>2.013003663003663</v>
          </cell>
          <cell r="H72">
            <v>0.52389507404684377</v>
          </cell>
        </row>
        <row r="73">
          <cell r="A73" t="str">
            <v>Diluted EPS after Extraordinary</v>
          </cell>
          <cell r="B73">
            <v>0.55045135760856245</v>
          </cell>
          <cell r="C73">
            <v>0.66559985771230679</v>
          </cell>
          <cell r="D73">
            <v>0.11514850010374433</v>
          </cell>
          <cell r="G73">
            <v>1.2022085757379875</v>
          </cell>
          <cell r="H73">
            <v>0.5154295767251339</v>
          </cell>
        </row>
        <row r="74">
          <cell r="A74" t="str">
            <v>Normalized Earnings Per Share</v>
          </cell>
          <cell r="B74">
            <v>0.39362961165979088</v>
          </cell>
          <cell r="C74">
            <v>0.61834151138824656</v>
          </cell>
          <cell r="D74">
            <v>0.22471189972845568</v>
          </cell>
          <cell r="G74">
            <v>0.391413488472312</v>
          </cell>
          <cell r="H74">
            <v>0.50696407940342392</v>
          </cell>
        </row>
        <row r="75">
          <cell r="A75" t="str">
            <v>FFO Per Share</v>
          </cell>
          <cell r="B75">
            <v>0.78162619701555036</v>
          </cell>
          <cell r="C75">
            <v>0.75992822841359686</v>
          </cell>
          <cell r="D75">
            <v>-2.1697968601953499E-2</v>
          </cell>
          <cell r="G75">
            <v>0.77167636285283348</v>
          </cell>
          <cell r="H75">
            <v>0.7885521478836256</v>
          </cell>
        </row>
        <row r="76">
          <cell r="D76">
            <v>0</v>
          </cell>
        </row>
        <row r="77">
          <cell r="A77" t="str">
            <v>AFFO Per Share</v>
          </cell>
          <cell r="B77">
            <v>0.60043822657047097</v>
          </cell>
          <cell r="C77">
            <v>0.5209790648769107</v>
          </cell>
          <cell r="D77">
            <v>-7.9459161693560265E-2</v>
          </cell>
          <cell r="G77">
            <v>0.55464339581986644</v>
          </cell>
          <cell r="H77">
            <v>0.60802489234324109</v>
          </cell>
        </row>
        <row r="78">
          <cell r="A78" t="str">
            <v>NOI Per Share</v>
          </cell>
          <cell r="B78">
            <v>1.2650468619056989</v>
          </cell>
          <cell r="C78">
            <v>1.2662291668846319</v>
          </cell>
          <cell r="D78">
            <v>1.1823049789330131E-3</v>
          </cell>
          <cell r="G78">
            <v>1.2590503124326653</v>
          </cell>
          <cell r="H78">
            <v>1.2604337779644994</v>
          </cell>
        </row>
        <row r="79">
          <cell r="A79" t="str">
            <v>EBITDA Per Share</v>
          </cell>
          <cell r="B79">
            <v>1.1309147205795378</v>
          </cell>
          <cell r="C79">
            <v>1.1348432219792637</v>
          </cell>
          <cell r="D79">
            <v>3.9285013997258922E-3</v>
          </cell>
          <cell r="G79">
            <v>1.1425237017884078</v>
          </cell>
          <cell r="H79">
            <v>1.1344386093897698</v>
          </cell>
        </row>
        <row r="81">
          <cell r="A81" t="str">
            <v>Dividends Per Share</v>
          </cell>
          <cell r="B81">
            <v>0.64575000000000005</v>
          </cell>
          <cell r="C81">
            <v>0.64575000000000005</v>
          </cell>
          <cell r="D81">
            <v>0</v>
          </cell>
          <cell r="G81">
            <v>0.61499999999999999</v>
          </cell>
          <cell r="H81">
            <v>0.64575000000000005</v>
          </cell>
        </row>
        <row r="83">
          <cell r="A83" t="str">
            <v>Payout Ratio (Net Income)</v>
          </cell>
          <cell r="B83">
            <v>1.1765711704245307</v>
          </cell>
          <cell r="C83">
            <v>0.97038183008105094</v>
          </cell>
          <cell r="D83">
            <v>-0.2061893403434798</v>
          </cell>
          <cell r="G83">
            <v>0.51176646539192661</v>
          </cell>
          <cell r="H83">
            <v>1.2534574667191356</v>
          </cell>
        </row>
        <row r="84">
          <cell r="A84" t="str">
            <v>Payout Ratio (FFO)</v>
          </cell>
          <cell r="B84">
            <v>0.82616217632627909</v>
          </cell>
          <cell r="C84">
            <v>0.84975129999848564</v>
          </cell>
          <cell r="D84">
            <v>2.3589123672206558E-2</v>
          </cell>
          <cell r="G84">
            <v>0.79696622781911841</v>
          </cell>
          <cell r="H84">
            <v>0.81890589193512631</v>
          </cell>
        </row>
        <row r="85">
          <cell r="A85" t="str">
            <v>Payout Ratio (AFFO)</v>
          </cell>
          <cell r="B85">
            <v>1.0754645047973324</v>
          </cell>
          <cell r="C85">
            <v>1.2394931841504386</v>
          </cell>
          <cell r="D85">
            <v>0.16402867935310628</v>
          </cell>
          <cell r="G85">
            <v>1.1088205586418554</v>
          </cell>
          <cell r="H85">
            <v>1.0620453342154657</v>
          </cell>
        </row>
        <row r="87">
          <cell r="A87" t="str">
            <v>Diluted Weighted Avg. Common Shares</v>
          </cell>
          <cell r="B87">
            <v>91448</v>
          </cell>
          <cell r="C87">
            <v>91386</v>
          </cell>
          <cell r="D87">
            <v>-62</v>
          </cell>
          <cell r="G87">
            <v>89302</v>
          </cell>
          <cell r="H87">
            <v>91008</v>
          </cell>
        </row>
        <row r="88">
          <cell r="A88" t="str">
            <v>Diluted Wght. Avg. Shares &amp; OP Units</v>
          </cell>
          <cell r="B88">
            <v>95650</v>
          </cell>
          <cell r="C88">
            <v>95581</v>
          </cell>
          <cell r="D88">
            <v>-69</v>
          </cell>
          <cell r="G88">
            <v>92820</v>
          </cell>
          <cell r="H88">
            <v>95210</v>
          </cell>
        </row>
        <row r="91">
          <cell r="A91" t="str">
            <v>Matt Ostrower</v>
          </cell>
          <cell r="H91" t="str">
            <v>(212) 761-6284</v>
          </cell>
        </row>
        <row r="92">
          <cell r="A92" t="str">
            <v>Morgan Stanley  REIT Research</v>
          </cell>
          <cell r="H92" t="str">
            <v>Matthew.Ostrower@morganstanley.com</v>
          </cell>
        </row>
      </sheetData>
      <sheetData sheetId="33" refreshError="1"/>
      <sheetData sheetId="34" refreshError="1">
        <row r="5">
          <cell r="C5" t="str">
            <v>1Q04</v>
          </cell>
          <cell r="D5" t="str">
            <v>2Q04</v>
          </cell>
          <cell r="E5" t="str">
            <v>3Q04</v>
          </cell>
          <cell r="F5" t="str">
            <v>4Q04</v>
          </cell>
          <cell r="G5" t="str">
            <v>1Q05</v>
          </cell>
          <cell r="H5" t="str">
            <v>2Q05</v>
          </cell>
          <cell r="I5" t="str">
            <v>3Q05</v>
          </cell>
          <cell r="J5" t="str">
            <v>4Q05</v>
          </cell>
          <cell r="K5" t="str">
            <v>1Q06</v>
          </cell>
          <cell r="L5" t="str">
            <v>2Q06</v>
          </cell>
          <cell r="M5" t="str">
            <v>3Q06</v>
          </cell>
          <cell r="N5" t="str">
            <v>4Q06</v>
          </cell>
          <cell r="O5" t="str">
            <v>1Q07E</v>
          </cell>
          <cell r="P5" t="str">
            <v>2Q07E</v>
          </cell>
          <cell r="Q5" t="str">
            <v>3Q07E</v>
          </cell>
          <cell r="R5" t="str">
            <v>4Q07E</v>
          </cell>
          <cell r="S5" t="str">
            <v>1Q08E</v>
          </cell>
          <cell r="T5" t="str">
            <v>2Q08E</v>
          </cell>
          <cell r="U5" t="str">
            <v>3Q08E</v>
          </cell>
          <cell r="V5" t="str">
            <v>4Q08E</v>
          </cell>
        </row>
        <row r="6">
          <cell r="B6" t="str">
            <v>Disposition</v>
          </cell>
          <cell r="C6">
            <v>6400</v>
          </cell>
          <cell r="D6">
            <v>0</v>
          </cell>
          <cell r="E6">
            <v>6300</v>
          </cell>
          <cell r="F6">
            <v>44100</v>
          </cell>
          <cell r="G6">
            <v>34575</v>
          </cell>
          <cell r="H6">
            <v>63700</v>
          </cell>
          <cell r="I6">
            <v>58900</v>
          </cell>
          <cell r="J6">
            <v>271700</v>
          </cell>
          <cell r="K6">
            <v>157000</v>
          </cell>
          <cell r="L6">
            <v>197700</v>
          </cell>
          <cell r="M6">
            <v>32800</v>
          </cell>
          <cell r="N6">
            <v>106600</v>
          </cell>
          <cell r="O6">
            <v>84200</v>
          </cell>
          <cell r="P6">
            <v>111000</v>
          </cell>
          <cell r="Q6">
            <v>67000</v>
          </cell>
          <cell r="R6">
            <v>96500</v>
          </cell>
          <cell r="S6">
            <v>75000</v>
          </cell>
          <cell r="T6">
            <v>507000</v>
          </cell>
          <cell r="U6">
            <v>50000</v>
          </cell>
          <cell r="V6">
            <v>50000</v>
          </cell>
        </row>
      </sheetData>
      <sheetData sheetId="35" refreshError="1">
        <row r="1">
          <cell r="B1" t="str">
            <v>Development Summary ($MM)</v>
          </cell>
        </row>
        <row r="3">
          <cell r="C3" t="str">
            <v>Total Devel</v>
          </cell>
          <cell r="D3" t="str">
            <v>Comcast (Left Axis)</v>
          </cell>
          <cell r="E3" t="str">
            <v>Ex-Comcast Pipeline (Left Axis)</v>
          </cell>
          <cell r="F3" t="str">
            <v>Devel Starts</v>
          </cell>
          <cell r="G3" t="str">
            <v>Devel Completion</v>
          </cell>
          <cell r="H3" t="str">
            <v>Enterprise Value</v>
          </cell>
          <cell r="I3" t="str">
            <v>Pipeline As A % of Enterprise Value</v>
          </cell>
        </row>
        <row r="4">
          <cell r="B4" t="str">
            <v>4Q07</v>
          </cell>
          <cell r="C4">
            <v>677.49199999999996</v>
          </cell>
          <cell r="D4">
            <v>124.06699999999999</v>
          </cell>
          <cell r="E4">
            <v>553.42499999999995</v>
          </cell>
          <cell r="F4">
            <v>117</v>
          </cell>
          <cell r="G4">
            <v>137.19999999999999</v>
          </cell>
          <cell r="H4">
            <v>6031.82485</v>
          </cell>
          <cell r="I4">
            <v>0.11231957439878248</v>
          </cell>
        </row>
        <row r="5">
          <cell r="B5" t="str">
            <v>3Q07</v>
          </cell>
          <cell r="C5">
            <v>823</v>
          </cell>
          <cell r="D5">
            <v>357</v>
          </cell>
          <cell r="E5">
            <v>466</v>
          </cell>
          <cell r="F5">
            <v>87.8</v>
          </cell>
          <cell r="G5">
            <v>210.69300000000001</v>
          </cell>
          <cell r="H5">
            <v>6758.2619700000005</v>
          </cell>
          <cell r="I5">
            <v>0.12177687157634701</v>
          </cell>
        </row>
        <row r="6">
          <cell r="B6" t="str">
            <v>2Q07</v>
          </cell>
          <cell r="C6">
            <v>943.98</v>
          </cell>
          <cell r="D6">
            <v>495</v>
          </cell>
          <cell r="E6">
            <v>448.98</v>
          </cell>
          <cell r="F6">
            <v>42.900000000000006</v>
          </cell>
          <cell r="G6">
            <v>170.85</v>
          </cell>
          <cell r="H6">
            <v>7055.0093200000001</v>
          </cell>
          <cell r="I6">
            <v>0.13380279985228991</v>
          </cell>
        </row>
        <row r="7">
          <cell r="B7" t="str">
            <v>1Q07</v>
          </cell>
          <cell r="C7">
            <v>1082.8620000000001</v>
          </cell>
          <cell r="D7">
            <v>495</v>
          </cell>
          <cell r="E7">
            <v>587.86200000000008</v>
          </cell>
          <cell r="F7">
            <v>82.3</v>
          </cell>
          <cell r="G7">
            <v>27.619060000000001</v>
          </cell>
          <cell r="H7">
            <v>7383.4068799999995</v>
          </cell>
          <cell r="I7">
            <v>0.14666156390936974</v>
          </cell>
        </row>
        <row r="8">
          <cell r="B8" t="str">
            <v>4Q06</v>
          </cell>
          <cell r="C8">
            <v>1013.3440000000001</v>
          </cell>
          <cell r="D8">
            <v>472</v>
          </cell>
          <cell r="E8">
            <v>541.34400000000005</v>
          </cell>
          <cell r="F8">
            <v>62</v>
          </cell>
          <cell r="G8">
            <v>51.2</v>
          </cell>
          <cell r="H8">
            <v>7223.2615599999999</v>
          </cell>
          <cell r="I8">
            <v>0.14028898048100033</v>
          </cell>
        </row>
        <row r="9">
          <cell r="B9" t="str">
            <v>3Q06</v>
          </cell>
          <cell r="C9">
            <v>999.16200000000003</v>
          </cell>
          <cell r="D9">
            <v>472</v>
          </cell>
          <cell r="E9">
            <v>527.16200000000003</v>
          </cell>
          <cell r="F9">
            <v>116.4</v>
          </cell>
          <cell r="G9">
            <v>35.1</v>
          </cell>
          <cell r="H9">
            <v>6954.5540599999995</v>
          </cell>
          <cell r="I9">
            <v>0.14367017516576758</v>
          </cell>
        </row>
        <row r="10">
          <cell r="B10" t="str">
            <v>2Q06</v>
          </cell>
          <cell r="C10">
            <v>924.88900000000001</v>
          </cell>
          <cell r="D10">
            <v>472</v>
          </cell>
          <cell r="E10">
            <v>452.88900000000001</v>
          </cell>
          <cell r="F10">
            <v>155.14999999999998</v>
          </cell>
          <cell r="G10">
            <v>77.3</v>
          </cell>
          <cell r="H10">
            <v>6474.3075999999992</v>
          </cell>
          <cell r="I10">
            <v>0.14285527613794563</v>
          </cell>
          <cell r="J10">
            <v>7.290354879029845E-2</v>
          </cell>
        </row>
        <row r="11">
          <cell r="B11" t="str">
            <v>1Q06</v>
          </cell>
          <cell r="C11">
            <v>814.053</v>
          </cell>
          <cell r="D11">
            <v>472</v>
          </cell>
          <cell r="E11">
            <v>342.053</v>
          </cell>
          <cell r="F11">
            <v>20.8</v>
          </cell>
          <cell r="G11">
            <v>46.7</v>
          </cell>
          <cell r="H11">
            <v>6717.0237200000001</v>
          </cell>
          <cell r="I11">
            <v>0.12119251530646671</v>
          </cell>
        </row>
        <row r="12">
          <cell r="B12" t="str">
            <v>4Q05</v>
          </cell>
          <cell r="C12">
            <v>815.50199999999995</v>
          </cell>
          <cell r="D12">
            <v>459.56599999999997</v>
          </cell>
          <cell r="E12">
            <v>355.93599999999998</v>
          </cell>
          <cell r="F12">
            <v>40.9</v>
          </cell>
          <cell r="G12">
            <v>82.2</v>
          </cell>
          <cell r="H12">
            <v>6313.0427499999996</v>
          </cell>
          <cell r="I12">
            <v>0.12917732895124145</v>
          </cell>
        </row>
        <row r="13">
          <cell r="B13" t="str">
            <v>3Q05</v>
          </cell>
          <cell r="C13">
            <v>858.68600000000004</v>
          </cell>
          <cell r="D13">
            <v>459.56599999999997</v>
          </cell>
          <cell r="E13">
            <v>399.12000000000006</v>
          </cell>
          <cell r="F13">
            <v>120.4</v>
          </cell>
          <cell r="G13">
            <v>19.100000000000001</v>
          </cell>
          <cell r="H13">
            <v>6282.2565800000002</v>
          </cell>
          <cell r="I13">
            <v>0.13668432498183639</v>
          </cell>
        </row>
        <row r="14">
          <cell r="B14" t="str">
            <v>2Q05</v>
          </cell>
          <cell r="C14">
            <v>737.23400000000004</v>
          </cell>
          <cell r="D14">
            <v>437.34699999999998</v>
          </cell>
          <cell r="E14">
            <v>299.88700000000006</v>
          </cell>
          <cell r="F14">
            <v>109.5</v>
          </cell>
          <cell r="G14">
            <v>22.5</v>
          </cell>
          <cell r="H14">
            <v>6383.6326600000002</v>
          </cell>
          <cell r="I14">
            <v>0.11548816156348195</v>
          </cell>
        </row>
        <row r="15">
          <cell r="B15" t="str">
            <v>1Q05</v>
          </cell>
          <cell r="C15">
            <v>649.74599999999998</v>
          </cell>
          <cell r="D15">
            <v>437.34699999999998</v>
          </cell>
          <cell r="E15">
            <v>212.399</v>
          </cell>
          <cell r="F15">
            <v>508</v>
          </cell>
          <cell r="G15">
            <v>3.7</v>
          </cell>
          <cell r="H15">
            <v>5871.5261999999993</v>
          </cell>
          <cell r="I15">
            <v>0.11066049573277899</v>
          </cell>
        </row>
        <row r="16">
          <cell r="B16" t="str">
            <v>4Q04</v>
          </cell>
          <cell r="C16">
            <v>143.89599999999999</v>
          </cell>
          <cell r="D16">
            <v>0</v>
          </cell>
          <cell r="E16">
            <v>143.89599999999999</v>
          </cell>
          <cell r="F16">
            <v>34.299999999999997</v>
          </cell>
          <cell r="G16">
            <v>41</v>
          </cell>
          <cell r="H16">
            <v>6097.7716</v>
          </cell>
          <cell r="I16">
            <v>2.3598128863993525E-2</v>
          </cell>
        </row>
        <row r="17">
          <cell r="B17" t="str">
            <v>3Q04</v>
          </cell>
          <cell r="C17">
            <v>146.571</v>
          </cell>
          <cell r="D17">
            <v>0</v>
          </cell>
          <cell r="E17">
            <v>146.571</v>
          </cell>
          <cell r="F17">
            <v>33.1</v>
          </cell>
          <cell r="G17">
            <v>35.5</v>
          </cell>
          <cell r="H17">
            <v>5731.1003200000005</v>
          </cell>
          <cell r="I17">
            <v>2.5574670101046144E-2</v>
          </cell>
        </row>
        <row r="18">
          <cell r="B18" t="str">
            <v>2Q04</v>
          </cell>
          <cell r="C18">
            <v>147.23599999999999</v>
          </cell>
          <cell r="D18">
            <v>0</v>
          </cell>
          <cell r="E18">
            <v>147.23599999999999</v>
          </cell>
          <cell r="F18">
            <v>36.4</v>
          </cell>
          <cell r="G18">
            <v>17.3</v>
          </cell>
          <cell r="H18">
            <v>5602.7694099999999</v>
          </cell>
          <cell r="I18">
            <v>2.627914683356565E-2</v>
          </cell>
        </row>
      </sheetData>
      <sheetData sheetId="36" refreshError="1">
        <row r="1">
          <cell r="A1" t="str">
            <v>Liberty Property Trust (LRY)</v>
          </cell>
          <cell r="H1" t="str">
            <v>Matt Ostrower</v>
          </cell>
        </row>
        <row r="2">
          <cell r="A2" t="str">
            <v>2Q07 Earnings Variance Analysis Worksheet</v>
          </cell>
          <cell r="H2" t="str">
            <v>Morgan Stanley REIT Research Team</v>
          </cell>
        </row>
        <row r="3">
          <cell r="A3" t="str">
            <v>($ in Thousands, Except per Share Amounts)</v>
          </cell>
          <cell r="H3" t="str">
            <v>(212) 761-6284   Matthew.Ostrower@morganstanley.com</v>
          </cell>
        </row>
        <row r="5">
          <cell r="B5">
            <v>52</v>
          </cell>
          <cell r="C5">
            <v>52</v>
          </cell>
          <cell r="G5">
            <v>47</v>
          </cell>
          <cell r="H5">
            <v>51</v>
          </cell>
        </row>
        <row r="7">
          <cell r="B7" t="str">
            <v>MS</v>
          </cell>
          <cell r="C7" t="str">
            <v>Reported</v>
          </cell>
          <cell r="E7" t="str">
            <v>Per Share</v>
          </cell>
        </row>
        <row r="8">
          <cell r="A8" t="str">
            <v>Year Ends December 31</v>
          </cell>
          <cell r="B8" t="str">
            <v>2Q07E</v>
          </cell>
          <cell r="C8" t="str">
            <v>2Q07A</v>
          </cell>
          <cell r="D8" t="str">
            <v>Variance</v>
          </cell>
          <cell r="E8" t="str">
            <v>Impact</v>
          </cell>
          <cell r="F8" t="str">
            <v>Comments</v>
          </cell>
          <cell r="G8" t="str">
            <v>2Q06A</v>
          </cell>
          <cell r="H8" t="str">
            <v>1Q07A</v>
          </cell>
        </row>
        <row r="9">
          <cell r="A9" t="str">
            <v>Op Exp Reimbursements as % of Total Exps</v>
          </cell>
          <cell r="B9">
            <v>0.95585239891423135</v>
          </cell>
          <cell r="C9">
            <v>0.94978736754043502</v>
          </cell>
          <cell r="G9">
            <v>0.93566211255345721</v>
          </cell>
          <cell r="H9">
            <v>0.96085239891423135</v>
          </cell>
        </row>
        <row r="10">
          <cell r="A10" t="str">
            <v>Rental Property Expenses as % of Rental Revenue</v>
          </cell>
          <cell r="B10">
            <v>0.3244104997775471</v>
          </cell>
          <cell r="C10">
            <v>0.31094112915801481</v>
          </cell>
          <cell r="G10">
            <v>0.29028020649436492</v>
          </cell>
          <cell r="H10">
            <v>0.3244104997775471</v>
          </cell>
        </row>
        <row r="11">
          <cell r="A11" t="str">
            <v>Real Estate Taxes as % of Rental Revenue</v>
          </cell>
          <cell r="B11">
            <v>0.14499999999999999</v>
          </cell>
          <cell r="C11">
            <v>0.15995994845826186</v>
          </cell>
          <cell r="G11">
            <v>0.15187543403140924</v>
          </cell>
          <cell r="H11">
            <v>0.14302074579399213</v>
          </cell>
        </row>
        <row r="12">
          <cell r="A12" t="str">
            <v>G&amp;A Expenses as % of NOI</v>
          </cell>
          <cell r="B12">
            <v>0.10359917176549617</v>
          </cell>
          <cell r="C12">
            <v>0.10537838117103465</v>
          </cell>
          <cell r="G12">
            <v>9.7402542408767154E-2</v>
          </cell>
          <cell r="H12">
            <v>0.10973908686779603</v>
          </cell>
        </row>
        <row r="13">
          <cell r="A13" t="str">
            <v>Interest &amp; Other Income as % of NOI</v>
          </cell>
          <cell r="B13">
            <v>0.02</v>
          </cell>
          <cell r="C13">
            <v>2.7153519892340987E-2</v>
          </cell>
          <cell r="G13">
            <v>1.8818228782912845E-2</v>
          </cell>
          <cell r="H13">
            <v>2.4261231514591086E-2</v>
          </cell>
        </row>
        <row r="15">
          <cell r="A15" t="str">
            <v>Revenue</v>
          </cell>
        </row>
        <row r="16">
          <cell r="A16" t="str">
            <v>Rental</v>
          </cell>
          <cell r="B16">
            <v>121751.52866431237</v>
          </cell>
          <cell r="C16">
            <v>121843</v>
          </cell>
          <cell r="D16">
            <v>91.471335687630926</v>
          </cell>
          <cell r="E16">
            <v>9.4771271356255753E-4</v>
          </cell>
          <cell r="G16">
            <v>119519</v>
          </cell>
          <cell r="H16">
            <v>121374</v>
          </cell>
        </row>
        <row r="17">
          <cell r="A17" t="str">
            <v>Operating Expense Reimbursement</v>
          </cell>
          <cell r="B17">
            <v>54628.346683088537</v>
          </cell>
          <cell r="C17">
            <v>54495</v>
          </cell>
          <cell r="D17">
            <v>-133.34668308853725</v>
          </cell>
          <cell r="E17">
            <v>-1.3815732100596495E-3</v>
          </cell>
          <cell r="G17">
            <v>49446</v>
          </cell>
          <cell r="H17">
            <v>54513</v>
          </cell>
        </row>
        <row r="18">
          <cell r="A18" t="str">
            <v>Total Revenue</v>
          </cell>
          <cell r="B18">
            <v>176379.8753474009</v>
          </cell>
          <cell r="C18">
            <v>176338</v>
          </cell>
          <cell r="D18">
            <v>-41.875347400899045</v>
          </cell>
          <cell r="E18">
            <v>-4.3386049649701657E-4</v>
          </cell>
          <cell r="G18">
            <v>168965</v>
          </cell>
          <cell r="H18">
            <v>175887</v>
          </cell>
        </row>
        <row r="20">
          <cell r="A20" t="str">
            <v>Expenses</v>
          </cell>
        </row>
        <row r="21">
          <cell r="A21" t="str">
            <v>Rental Property Expenses</v>
          </cell>
          <cell r="B21">
            <v>39497.47426266993</v>
          </cell>
          <cell r="C21">
            <v>37886</v>
          </cell>
          <cell r="D21">
            <v>1611.4742626699299</v>
          </cell>
          <cell r="E21">
            <v>1.6696100858595596E-2</v>
          </cell>
          <cell r="G21">
            <v>34694</v>
          </cell>
          <cell r="H21">
            <v>39375</v>
          </cell>
        </row>
        <row r="22">
          <cell r="A22" t="str">
            <v>Real Estate Taxes</v>
          </cell>
          <cell r="B22">
            <v>17653.971656325291</v>
          </cell>
          <cell r="C22">
            <v>19490</v>
          </cell>
          <cell r="D22">
            <v>-1836.0283436747086</v>
          </cell>
          <cell r="E22">
            <v>-1.9022652185858687E-2</v>
          </cell>
          <cell r="G22">
            <v>18152</v>
          </cell>
          <cell r="H22">
            <v>17359</v>
          </cell>
        </row>
        <row r="23">
          <cell r="A23" t="str">
            <v>Total Expenses</v>
          </cell>
          <cell r="B23">
            <v>57151.445918995218</v>
          </cell>
          <cell r="C23">
            <v>57376</v>
          </cell>
          <cell r="D23">
            <v>-224.55408100478235</v>
          </cell>
          <cell r="E23">
            <v>-2.3265513272631255E-3</v>
          </cell>
          <cell r="G23">
            <v>52846</v>
          </cell>
          <cell r="H23">
            <v>56734</v>
          </cell>
        </row>
        <row r="25">
          <cell r="A25" t="str">
            <v>NOI of JVs</v>
          </cell>
          <cell r="B25">
            <v>2292.9089999999997</v>
          </cell>
          <cell r="C25">
            <v>2495.5500000000002</v>
          </cell>
          <cell r="D25">
            <v>202.64100000000053</v>
          </cell>
          <cell r="E25">
            <v>2.0995151163513597E-3</v>
          </cell>
          <cell r="G25">
            <v>1958</v>
          </cell>
          <cell r="H25">
            <v>2398.9499999999998</v>
          </cell>
        </row>
        <row r="26">
          <cell r="A26" t="str">
            <v>Equity in earnings of uncon. JV</v>
          </cell>
          <cell r="B26">
            <v>0</v>
          </cell>
          <cell r="C26">
            <v>0</v>
          </cell>
          <cell r="D26">
            <v>0</v>
          </cell>
          <cell r="E26">
            <v>0</v>
          </cell>
          <cell r="G26">
            <v>0</v>
          </cell>
          <cell r="H26">
            <v>0</v>
          </cell>
        </row>
        <row r="27">
          <cell r="A27" t="str">
            <v>Acquisition &amp; Development NOI</v>
          </cell>
          <cell r="B27">
            <v>701.2504717271388</v>
          </cell>
          <cell r="C27">
            <v>0</v>
          </cell>
          <cell r="D27">
            <v>-701.2504717271388</v>
          </cell>
          <cell r="E27">
            <v>-7.265489045847809E-3</v>
          </cell>
          <cell r="G27">
            <v>0</v>
          </cell>
          <cell r="H27">
            <v>0</v>
          </cell>
        </row>
        <row r="28">
          <cell r="A28" t="str">
            <v>Net Operating Income</v>
          </cell>
          <cell r="B28">
            <v>122222.58890013282</v>
          </cell>
          <cell r="C28">
            <v>121457.55</v>
          </cell>
          <cell r="D28">
            <v>-765.03890013281489</v>
          </cell>
          <cell r="E28">
            <v>-7.9263857532565415E-3</v>
          </cell>
          <cell r="G28">
            <v>118077</v>
          </cell>
          <cell r="H28">
            <v>121551.95</v>
          </cell>
        </row>
        <row r="30">
          <cell r="A30" t="str">
            <v>General and Administrative</v>
          </cell>
          <cell r="B30">
            <v>12662.158981088485</v>
          </cell>
          <cell r="C30">
            <v>12799</v>
          </cell>
          <cell r="D30">
            <v>-136.84101891151477</v>
          </cell>
          <cell r="E30">
            <v>-1.4177771909023682E-3</v>
          </cell>
          <cell r="G30">
            <v>11501</v>
          </cell>
          <cell r="H30">
            <v>13339</v>
          </cell>
        </row>
        <row r="32">
          <cell r="A32" t="str">
            <v>EBITDA</v>
          </cell>
          <cell r="B32">
            <v>109560.42991904433</v>
          </cell>
          <cell r="C32">
            <v>108658.55</v>
          </cell>
          <cell r="D32">
            <v>-901.8799190443242</v>
          </cell>
          <cell r="E32">
            <v>-9.3441629441588531E-3</v>
          </cell>
          <cell r="G32">
            <v>106576</v>
          </cell>
          <cell r="H32">
            <v>108212.95</v>
          </cell>
        </row>
        <row r="34">
          <cell r="A34" t="str">
            <v>Interest Expense - consolidated</v>
          </cell>
          <cell r="B34">
            <v>29347.939237975599</v>
          </cell>
          <cell r="C34">
            <v>30137</v>
          </cell>
          <cell r="D34">
            <v>-789.0607620244009</v>
          </cell>
          <cell r="E34">
            <v>-8.175270540462928E-3</v>
          </cell>
          <cell r="G34">
            <v>29628</v>
          </cell>
          <cell r="H34">
            <v>28156</v>
          </cell>
        </row>
        <row r="35">
          <cell r="A35" t="str">
            <v>Interest Expense - unconsolidated</v>
          </cell>
          <cell r="B35">
            <v>-1262.9000000000001</v>
          </cell>
          <cell r="C35">
            <v>-1325.45</v>
          </cell>
          <cell r="D35">
            <v>62.550000000000182</v>
          </cell>
          <cell r="E35">
            <v>6.4806564578628011E-4</v>
          </cell>
        </row>
        <row r="36">
          <cell r="A36" t="str">
            <v>Depreciation and Amort.</v>
          </cell>
          <cell r="B36">
            <v>37472.389624911601</v>
          </cell>
          <cell r="C36">
            <v>39266</v>
          </cell>
          <cell r="D36">
            <v>-1793.6103750883995</v>
          </cell>
          <cell r="E36">
            <v>-1.8583169720553672E-2</v>
          </cell>
          <cell r="G36">
            <v>37323</v>
          </cell>
          <cell r="H36">
            <v>38277</v>
          </cell>
        </row>
        <row r="37">
          <cell r="A37" t="str">
            <v>JV Depreciation and Amort.</v>
          </cell>
          <cell r="B37">
            <v>-841</v>
          </cell>
          <cell r="C37">
            <v>-844</v>
          </cell>
          <cell r="D37">
            <v>3</v>
          </cell>
          <cell r="E37">
            <v>3.1082285169605667E-5</v>
          </cell>
        </row>
        <row r="38">
          <cell r="A38" t="str">
            <v>Gain (Loss) on Sale - consolidated</v>
          </cell>
          <cell r="B38">
            <v>17500</v>
          </cell>
          <cell r="C38">
            <v>1119</v>
          </cell>
          <cell r="D38">
            <v>-16381</v>
          </cell>
          <cell r="E38">
            <v>-0.16971963778777016</v>
          </cell>
          <cell r="G38">
            <v>17438</v>
          </cell>
          <cell r="H38">
            <v>152</v>
          </cell>
        </row>
        <row r="39">
          <cell r="A39" t="str">
            <v>Gain (Loss) on Sale - JVs</v>
          </cell>
          <cell r="B39">
            <v>0</v>
          </cell>
          <cell r="C39">
            <v>0</v>
          </cell>
          <cell r="D39">
            <v>0</v>
          </cell>
          <cell r="E39">
            <v>0</v>
          </cell>
        </row>
        <row r="40">
          <cell r="A40" t="str">
            <v>Interest &amp; Other Income</v>
          </cell>
          <cell r="B40">
            <v>2444.4517780026563</v>
          </cell>
          <cell r="C40">
            <v>3298</v>
          </cell>
          <cell r="D40">
            <v>853.54822199734372</v>
          </cell>
          <cell r="E40">
            <v>8.8434097473771081E-3</v>
          </cell>
          <cell r="G40">
            <v>2222</v>
          </cell>
          <cell r="H40">
            <v>2949</v>
          </cell>
        </row>
        <row r="41">
          <cell r="A41" t="str">
            <v>Int. &amp; Amort. of Exchangeable Sub. Deb.</v>
          </cell>
          <cell r="B41">
            <v>0</v>
          </cell>
          <cell r="C41">
            <v>0</v>
          </cell>
          <cell r="D41">
            <v>0</v>
          </cell>
          <cell r="E41">
            <v>0</v>
          </cell>
          <cell r="G41">
            <v>0</v>
          </cell>
          <cell r="H41">
            <v>0</v>
          </cell>
        </row>
        <row r="42">
          <cell r="A42" t="str">
            <v>Income Bef. Min. Interest</v>
          </cell>
          <cell r="B42">
            <v>60580.65283415978</v>
          </cell>
          <cell r="C42">
            <v>41503.1</v>
          </cell>
          <cell r="D42">
            <v>-19077.552834159775</v>
          </cell>
          <cell r="E42">
            <v>-0.19765797917652433</v>
          </cell>
          <cell r="G42">
            <v>58067.75</v>
          </cell>
          <cell r="H42">
            <v>43211.05</v>
          </cell>
        </row>
        <row r="43">
          <cell r="A43" t="str">
            <v>Minority Interest In Earnings</v>
          </cell>
          <cell r="B43">
            <v>-6481.4512940453114</v>
          </cell>
          <cell r="C43">
            <v>-6113</v>
          </cell>
          <cell r="D43">
            <v>368.45129404531144</v>
          </cell>
          <cell r="E43">
            <v>3.8174360642088674E-3</v>
          </cell>
          <cell r="G43">
            <v>-5839</v>
          </cell>
          <cell r="H43">
            <v>-5596</v>
          </cell>
        </row>
        <row r="44">
          <cell r="A44" t="str">
            <v>Income taxes</v>
          </cell>
          <cell r="B44">
            <v>-301</v>
          </cell>
          <cell r="C44">
            <v>-213</v>
          </cell>
          <cell r="D44">
            <v>88</v>
          </cell>
          <cell r="E44">
            <v>9.1174703164176633E-4</v>
          </cell>
          <cell r="G44">
            <v>-235</v>
          </cell>
          <cell r="H44">
            <v>-301</v>
          </cell>
        </row>
        <row r="45">
          <cell r="A45" t="str">
            <v>Preferred Share Dividend</v>
          </cell>
          <cell r="B45">
            <v>0</v>
          </cell>
          <cell r="C45">
            <v>0</v>
          </cell>
          <cell r="D45">
            <v>0</v>
          </cell>
          <cell r="E45">
            <v>0</v>
          </cell>
          <cell r="G45">
            <v>0</v>
          </cell>
          <cell r="H45">
            <v>0</v>
          </cell>
        </row>
        <row r="46">
          <cell r="A46" t="str">
            <v>Other Gains/(Losses)</v>
          </cell>
          <cell r="B46">
            <v>0</v>
          </cell>
          <cell r="C46">
            <v>180</v>
          </cell>
          <cell r="D46">
            <v>180</v>
          </cell>
          <cell r="E46">
            <v>1.8649371101763402E-3</v>
          </cell>
          <cell r="G46">
            <v>0</v>
          </cell>
          <cell r="H46">
            <v>0</v>
          </cell>
        </row>
        <row r="47">
          <cell r="A47" t="str">
            <v>Discontinued ops net of minority interest (excluding gains)</v>
          </cell>
          <cell r="B47">
            <v>-417</v>
          </cell>
          <cell r="C47">
            <v>-360</v>
          </cell>
          <cell r="D47">
            <v>57</v>
          </cell>
          <cell r="E47">
            <v>5.9056341822250774E-4</v>
          </cell>
          <cell r="G47">
            <v>-94</v>
          </cell>
          <cell r="H47">
            <v>-417</v>
          </cell>
        </row>
        <row r="48">
          <cell r="A48" t="str">
            <v>Discontinued op. gains</v>
          </cell>
          <cell r="B48">
            <v>0</v>
          </cell>
          <cell r="C48">
            <v>17430</v>
          </cell>
          <cell r="D48">
            <v>17430</v>
          </cell>
          <cell r="E48">
            <v>0.18058807683540895</v>
          </cell>
          <cell r="G48">
            <v>16550</v>
          </cell>
          <cell r="H48">
            <v>2801</v>
          </cell>
        </row>
        <row r="49">
          <cell r="A49" t="str">
            <v>Extraordinary Item</v>
          </cell>
          <cell r="B49">
            <v>0</v>
          </cell>
          <cell r="C49">
            <v>0</v>
          </cell>
          <cell r="D49">
            <v>0</v>
          </cell>
          <cell r="E49">
            <v>0</v>
          </cell>
          <cell r="G49">
            <v>0</v>
          </cell>
          <cell r="H49">
            <v>0</v>
          </cell>
        </row>
        <row r="50">
          <cell r="A50" t="str">
            <v>Net Income Available to Common SH</v>
          </cell>
          <cell r="B50">
            <v>53381.201540114467</v>
          </cell>
          <cell r="C50">
            <v>52427.1</v>
          </cell>
          <cell r="D50">
            <v>-954.10154011446139</v>
          </cell>
          <cell r="E50">
            <v>-9.8852187168658838E-3</v>
          </cell>
          <cell r="G50">
            <v>68449.75</v>
          </cell>
          <cell r="H50">
            <v>39698.050000000003</v>
          </cell>
        </row>
        <row r="51">
          <cell r="A51" t="str">
            <v>Adjustment: OP Minority Interest</v>
          </cell>
          <cell r="B51">
            <v>2627.4525440453117</v>
          </cell>
          <cell r="C51">
            <v>2407</v>
          </cell>
          <cell r="D51">
            <v>-220.4525440453117</v>
          </cell>
          <cell r="E51">
            <v>-2.2840562801271442E-3</v>
          </cell>
          <cell r="G51">
            <v>3210</v>
          </cell>
          <cell r="H51">
            <v>1815</v>
          </cell>
        </row>
        <row r="52">
          <cell r="A52" t="str">
            <v>Adjustment: Gains and Extraordinary Items</v>
          </cell>
          <cell r="B52">
            <v>17500</v>
          </cell>
          <cell r="C52">
            <v>1119</v>
          </cell>
          <cell r="D52">
            <v>-16381</v>
          </cell>
          <cell r="E52">
            <v>-0.16971963778777016</v>
          </cell>
          <cell r="G52">
            <v>18099</v>
          </cell>
          <cell r="H52">
            <v>586</v>
          </cell>
        </row>
        <row r="53">
          <cell r="A53" t="str">
            <v>Normalized Earnings</v>
          </cell>
          <cell r="B53">
            <v>38508.654084159782</v>
          </cell>
          <cell r="C53">
            <v>53715.1</v>
          </cell>
          <cell r="D53">
            <v>15206.445915840224</v>
          </cell>
          <cell r="E53">
            <v>0.15755036279077711</v>
          </cell>
          <cell r="G53">
            <v>53560.75</v>
          </cell>
          <cell r="H53">
            <v>40927.050000000003</v>
          </cell>
        </row>
        <row r="55">
          <cell r="A55" t="str">
            <v>Adjustments</v>
          </cell>
        </row>
        <row r="56">
          <cell r="A56" t="str">
            <v>Depreciation and Amortization</v>
          </cell>
          <cell r="B56">
            <v>36882.384739820976</v>
          </cell>
          <cell r="C56">
            <v>39062</v>
          </cell>
          <cell r="D56">
            <v>2179.6152601790236</v>
          </cell>
          <cell r="E56">
            <v>2.2582474358969557E-2</v>
          </cell>
          <cell r="G56">
            <v>37809</v>
          </cell>
          <cell r="H56">
            <v>37927</v>
          </cell>
        </row>
        <row r="57">
          <cell r="A57" t="str">
            <v>D&amp;A from unconsol. JVs</v>
          </cell>
          <cell r="B57">
            <v>841</v>
          </cell>
          <cell r="C57">
            <v>844</v>
          </cell>
          <cell r="D57">
            <v>3</v>
          </cell>
          <cell r="E57">
            <v>3.1082285169605667E-5</v>
          </cell>
          <cell r="G57">
            <v>763</v>
          </cell>
          <cell r="H57">
            <v>841</v>
          </cell>
        </row>
        <row r="58">
          <cell r="A58" t="str">
            <v>Gain (Loss) on Property Dispositions</v>
          </cell>
          <cell r="B58">
            <v>-17500</v>
          </cell>
          <cell r="C58">
            <v>-18549</v>
          </cell>
          <cell r="D58">
            <v>-1049</v>
          </cell>
          <cell r="E58">
            <v>-1.0868439047638782E-2</v>
          </cell>
          <cell r="G58">
            <v>-34649</v>
          </cell>
          <cell r="H58">
            <v>-3387</v>
          </cell>
        </row>
        <row r="59">
          <cell r="A59" t="str">
            <v>Min. Int. in Income/(Loss), excl. pref unit dist.</v>
          </cell>
          <cell r="B59">
            <v>2627.4525440453117</v>
          </cell>
          <cell r="C59">
            <v>2407</v>
          </cell>
          <cell r="D59">
            <v>-220.4525440453117</v>
          </cell>
          <cell r="E59">
            <v>-2.2840562801271442E-3</v>
          </cell>
          <cell r="G59">
            <v>3210</v>
          </cell>
          <cell r="H59">
            <v>1815</v>
          </cell>
        </row>
        <row r="60">
          <cell r="A60" t="str">
            <v>Other Adjustments</v>
          </cell>
          <cell r="B60">
            <v>0</v>
          </cell>
          <cell r="C60">
            <v>0</v>
          </cell>
          <cell r="D60">
            <v>0</v>
          </cell>
          <cell r="E60">
            <v>0</v>
          </cell>
          <cell r="G60">
            <v>0</v>
          </cell>
          <cell r="H60">
            <v>0</v>
          </cell>
        </row>
        <row r="61">
          <cell r="A61" t="str">
            <v>Int. &amp; Amort. of Exchangeable Sub. Deb.</v>
          </cell>
          <cell r="B61">
            <v>0</v>
          </cell>
          <cell r="C61">
            <v>0</v>
          </cell>
          <cell r="D61">
            <v>0</v>
          </cell>
          <cell r="E61">
            <v>0</v>
          </cell>
          <cell r="G61">
            <v>0</v>
          </cell>
          <cell r="H61">
            <v>0</v>
          </cell>
        </row>
        <row r="62">
          <cell r="A62" t="str">
            <v>Funds From Operations</v>
          </cell>
          <cell r="B62">
            <v>76232.038823980751</v>
          </cell>
          <cell r="C62">
            <v>76191.100000000006</v>
          </cell>
          <cell r="D62">
            <v>-40.938823980744928</v>
          </cell>
          <cell r="E62">
            <v>-4.2415740049260169E-4</v>
          </cell>
          <cell r="G62">
            <v>75582.75</v>
          </cell>
          <cell r="H62">
            <v>76894.05</v>
          </cell>
        </row>
        <row r="64">
          <cell r="A64" t="str">
            <v>Straight-lining Adjustment</v>
          </cell>
          <cell r="B64">
            <v>-2943.1491449597374</v>
          </cell>
          <cell r="C64">
            <v>-2667</v>
          </cell>
          <cell r="D64">
            <v>276.14914495973744</v>
          </cell>
          <cell r="E64">
            <v>2.8611154909937778E-3</v>
          </cell>
          <cell r="G64">
            <v>-2397</v>
          </cell>
          <cell r="H64">
            <v>-2927</v>
          </cell>
        </row>
        <row r="65">
          <cell r="A65" t="str">
            <v>Tenant Improvements &amp; LC's</v>
          </cell>
          <cell r="B65">
            <v>-17207.93996709149</v>
          </cell>
          <cell r="C65">
            <v>-17383</v>
          </cell>
          <cell r="D65">
            <v>-175.06003290851004</v>
          </cell>
          <cell r="E65">
            <v>-1.8137552882209541E-3</v>
          </cell>
          <cell r="G65">
            <v>-16519</v>
          </cell>
          <cell r="H65">
            <v>-15898</v>
          </cell>
        </row>
        <row r="66">
          <cell r="A66" t="str">
            <v>Non-reimbursed Capital Expenditures</v>
          </cell>
          <cell r="B66">
            <v>-646.54762562661813</v>
          </cell>
          <cell r="C66">
            <v>-2457</v>
          </cell>
          <cell r="D66">
            <v>-1810.4523743733819</v>
          </cell>
          <cell r="E66">
            <v>-1.8757665662087714E-2</v>
          </cell>
          <cell r="G66">
            <v>-2100</v>
          </cell>
          <cell r="H66">
            <v>-643</v>
          </cell>
        </row>
        <row r="67">
          <cell r="A67" t="str">
            <v>Adjusted Funds From Operations</v>
          </cell>
          <cell r="B67">
            <v>55434.4020863029</v>
          </cell>
          <cell r="C67">
            <v>53684.1</v>
          </cell>
          <cell r="D67">
            <v>-1750.3020863028942</v>
          </cell>
          <cell r="E67">
            <v>-1.8134462859807438E-2</v>
          </cell>
          <cell r="G67">
            <v>54566.75</v>
          </cell>
          <cell r="H67">
            <v>57426.05</v>
          </cell>
        </row>
        <row r="70">
          <cell r="A70" t="str">
            <v>Net Income Per Share</v>
          </cell>
          <cell r="B70">
            <v>0.57760611071560164</v>
          </cell>
          <cell r="C70">
            <v>0.56783532622822985</v>
          </cell>
          <cell r="D70">
            <v>-9.7707844873717864E-3</v>
          </cell>
          <cell r="G70">
            <v>0.75782460918471284</v>
          </cell>
          <cell r="H70">
            <v>0.43141613597339645</v>
          </cell>
        </row>
        <row r="72">
          <cell r="A72" t="str">
            <v>Diluted EPS before Extraordinary</v>
          </cell>
          <cell r="B72">
            <v>0.76089613783702992</v>
          </cell>
          <cell r="C72">
            <v>0.57971673677448776</v>
          </cell>
          <cell r="D72">
            <v>-0.18117940106254216</v>
          </cell>
          <cell r="G72">
            <v>0.95511401725954226</v>
          </cell>
          <cell r="H72">
            <v>0.42540173374355561</v>
          </cell>
        </row>
        <row r="73">
          <cell r="A73" t="str">
            <v>Diluted EPS after Extraordinary</v>
          </cell>
          <cell r="B73">
            <v>0.57975171915534718</v>
          </cell>
          <cell r="C73">
            <v>0.56812304440622485</v>
          </cell>
          <cell r="D73">
            <v>-1.1628674749122325E-2</v>
          </cell>
          <cell r="G73">
            <v>0.76252434106217482</v>
          </cell>
          <cell r="H73">
            <v>0.43149270330949607</v>
          </cell>
        </row>
        <row r="74">
          <cell r="A74" t="str">
            <v>Normalized Earnings Per Share</v>
          </cell>
          <cell r="B74">
            <v>0.39860730047366449</v>
          </cell>
          <cell r="C74">
            <v>0.55652935203796194</v>
          </cell>
          <cell r="D74">
            <v>0.15792205156429745</v>
          </cell>
          <cell r="G74">
            <v>0.56993466486480737</v>
          </cell>
          <cell r="H74">
            <v>0.42540173374355561</v>
          </cell>
        </row>
        <row r="75">
          <cell r="A75" t="str">
            <v>FFO Per Share</v>
          </cell>
          <cell r="B75">
            <v>0.78908619186796902</v>
          </cell>
          <cell r="C75">
            <v>0.78939783252864759</v>
          </cell>
          <cell r="D75">
            <v>3.1164066067856933E-4</v>
          </cell>
          <cell r="G75">
            <v>0.80426859763559166</v>
          </cell>
          <cell r="H75">
            <v>0.79924798353567261</v>
          </cell>
        </row>
        <row r="76">
          <cell r="D76">
            <v>0</v>
          </cell>
        </row>
        <row r="77">
          <cell r="A77" t="str">
            <v>AFFO Per Share</v>
          </cell>
          <cell r="B77">
            <v>0.57380757376514269</v>
          </cell>
          <cell r="C77">
            <v>0.55620816842454268</v>
          </cell>
          <cell r="D77">
            <v>-1.7599405340600005E-2</v>
          </cell>
          <cell r="G77">
            <v>0.58063941177096523</v>
          </cell>
          <cell r="H77">
            <v>0.5968947488774321</v>
          </cell>
        </row>
        <row r="78">
          <cell r="A78" t="str">
            <v>NOI Per Share</v>
          </cell>
          <cell r="B78">
            <v>1.2651394180619908</v>
          </cell>
          <cell r="C78">
            <v>1.2583927350338797</v>
          </cell>
          <cell r="D78">
            <v>-6.7466830281111001E-3</v>
          </cell>
          <cell r="G78">
            <v>1.2564457260819137</v>
          </cell>
          <cell r="H78">
            <v>1.2634287169466156</v>
          </cell>
        </row>
        <row r="79">
          <cell r="A79" t="str">
            <v>EBITDA Per Share</v>
          </cell>
          <cell r="B79">
            <v>1.1340720221828868</v>
          </cell>
          <cell r="C79">
            <v>1.1257853457386187</v>
          </cell>
          <cell r="D79">
            <v>-8.2866764442681706E-3</v>
          </cell>
          <cell r="G79">
            <v>1.1340647179629058</v>
          </cell>
          <cell r="H79">
            <v>1.1247812032263429</v>
          </cell>
        </row>
        <row r="81">
          <cell r="A81" t="str">
            <v>Dividends Per Share</v>
          </cell>
          <cell r="B81">
            <v>0.64575000000000005</v>
          </cell>
          <cell r="C81">
            <v>0.64575000000000005</v>
          </cell>
          <cell r="D81">
            <v>0</v>
          </cell>
          <cell r="G81">
            <v>0.61499999999999999</v>
          </cell>
          <cell r="H81">
            <v>0.64575000000000005</v>
          </cell>
        </row>
        <row r="83">
          <cell r="A83" t="str">
            <v>Payout Ratio (Net Income)</v>
          </cell>
          <cell r="B83">
            <v>1.1179763995224605</v>
          </cell>
          <cell r="C83">
            <v>1.1372135021773091</v>
          </cell>
          <cell r="D83">
            <v>1.923710265484857E-2</v>
          </cell>
          <cell r="G83">
            <v>0.81153342415421525</v>
          </cell>
          <cell r="H83">
            <v>1.4968146672191711</v>
          </cell>
        </row>
        <row r="84">
          <cell r="A84" t="str">
            <v>Payout Ratio (FFO)</v>
          </cell>
          <cell r="B84">
            <v>0.81835166633868539</v>
          </cell>
          <cell r="C84">
            <v>0.81802859520337678</v>
          </cell>
          <cell r="D84">
            <v>-3.2307113530860576E-4</v>
          </cell>
          <cell r="G84">
            <v>0.76466991476229695</v>
          </cell>
          <cell r="H84">
            <v>0.80794698679546739</v>
          </cell>
        </row>
        <row r="85">
          <cell r="A85" t="str">
            <v>Payout Ratio (AFFO)</v>
          </cell>
          <cell r="B85">
            <v>1.1253772684853114</v>
          </cell>
          <cell r="C85">
            <v>1.1609861858539119</v>
          </cell>
          <cell r="D85">
            <v>3.5608917368600501E-2</v>
          </cell>
          <cell r="G85">
            <v>1.059177154585897</v>
          </cell>
          <cell r="H85">
            <v>1.0818490214806697</v>
          </cell>
        </row>
        <row r="87">
          <cell r="A87" t="str">
            <v>Diluted Weighted Avg. Common Shares</v>
          </cell>
          <cell r="B87">
            <v>92418</v>
          </cell>
          <cell r="C87">
            <v>92328</v>
          </cell>
          <cell r="D87">
            <v>-90</v>
          </cell>
          <cell r="G87">
            <v>90324</v>
          </cell>
          <cell r="H87">
            <v>92018</v>
          </cell>
        </row>
        <row r="88">
          <cell r="A88" t="str">
            <v>Diluted Wght. Avg. Shares &amp; OP Units</v>
          </cell>
          <cell r="B88">
            <v>96608</v>
          </cell>
          <cell r="C88">
            <v>96518</v>
          </cell>
          <cell r="D88">
            <v>-90</v>
          </cell>
          <cell r="G88">
            <v>93977</v>
          </cell>
          <cell r="H88">
            <v>96208</v>
          </cell>
        </row>
        <row r="91">
          <cell r="A91" t="str">
            <v>Matt Ostrower</v>
          </cell>
          <cell r="H91" t="str">
            <v>(212) 761-6284</v>
          </cell>
        </row>
        <row r="92">
          <cell r="A92" t="str">
            <v>Morgan Stanley  REIT Research</v>
          </cell>
          <cell r="H92" t="str">
            <v>Matthew.Ostrower@morganstanley.com</v>
          </cell>
        </row>
      </sheetData>
      <sheetData sheetId="37" refreshError="1"/>
      <sheetData sheetId="38" refreshError="1"/>
      <sheetData sheetId="39" refreshError="1"/>
      <sheetData sheetId="40" refreshError="1"/>
      <sheetData sheetId="4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SCO Report"/>
      <sheetName val="GLBC"/>
      <sheetName val="WACC"/>
      <sheetName val="Guidance"/>
      <sheetName val="Sheet1"/>
      <sheetName val="Maturities"/>
      <sheetName val="Approvals"/>
      <sheetName val="PF Mix"/>
      <sheetName val="LVLT M&amp;A - FactSet"/>
      <sheetName val="LVLT M&amp;A"/>
      <sheetName val="Summary"/>
      <sheetName val="Leverage"/>
      <sheetName val="Fiber &amp; Clec"/>
      <sheetName val="Synergies"/>
      <sheetName val="Timing"/>
      <sheetName val="Revs"/>
      <sheetName val="transactionCTL_SVVS"/>
      <sheetName val="Backup_LVLT - Reassumption"/>
    </sheetNames>
    <sheetDataSet>
      <sheetData sheetId="0" refreshError="1"/>
      <sheetData sheetId="1" refreshError="1">
        <row r="1">
          <cell r="A1" t="str">
            <v>Consumer Internet Traffic, 2010–2015</v>
          </cell>
          <cell r="B1">
            <v>2010</v>
          </cell>
          <cell r="C1">
            <v>2011</v>
          </cell>
          <cell r="D1">
            <v>2012</v>
          </cell>
          <cell r="E1">
            <v>2013</v>
          </cell>
          <cell r="F1">
            <v>2014</v>
          </cell>
          <cell r="G1">
            <v>2015</v>
          </cell>
          <cell r="H1" t="str">
            <v>CAGR</v>
          </cell>
          <cell r="I1" t="str">
            <v>Comment</v>
          </cell>
        </row>
        <row r="2">
          <cell r="A2" t="str">
            <v>GLOBAL - By Network (PB per Month)</v>
          </cell>
        </row>
        <row r="3">
          <cell r="A3" t="str">
            <v>Fixed</v>
          </cell>
          <cell r="B3">
            <v>12355</v>
          </cell>
          <cell r="C3">
            <v>17467</v>
          </cell>
          <cell r="D3">
            <v>23618</v>
          </cell>
          <cell r="E3">
            <v>31318</v>
          </cell>
          <cell r="F3">
            <v>40842</v>
          </cell>
          <cell r="G3">
            <v>53282</v>
          </cell>
          <cell r="H3">
            <v>0.3395149150436787</v>
          </cell>
        </row>
        <row r="4">
          <cell r="A4" t="str">
            <v>Mobile</v>
          </cell>
          <cell r="B4">
            <v>174</v>
          </cell>
          <cell r="C4">
            <v>399</v>
          </cell>
          <cell r="D4">
            <v>858</v>
          </cell>
          <cell r="E4">
            <v>1654</v>
          </cell>
          <cell r="F4">
            <v>2930</v>
          </cell>
          <cell r="G4">
            <v>4931</v>
          </cell>
          <cell r="H4">
            <v>0.95198803312699054</v>
          </cell>
        </row>
        <row r="5">
          <cell r="A5" t="str">
            <v>TOTAL</v>
          </cell>
          <cell r="B5">
            <v>12529</v>
          </cell>
          <cell r="C5">
            <v>17866</v>
          </cell>
          <cell r="D5">
            <v>24476</v>
          </cell>
          <cell r="E5">
            <v>32972</v>
          </cell>
          <cell r="F5">
            <v>43772</v>
          </cell>
          <cell r="G5">
            <v>58213</v>
          </cell>
          <cell r="H5">
            <v>0.3596299240456704</v>
          </cell>
        </row>
        <row r="7">
          <cell r="A7" t="str">
            <v>Fixed</v>
          </cell>
          <cell r="B7">
            <v>0.98611221965041107</v>
          </cell>
          <cell r="C7">
            <v>0.97766707712974366</v>
          </cell>
          <cell r="D7">
            <v>0.96494525249223728</v>
          </cell>
          <cell r="E7">
            <v>0.94983622467548223</v>
          </cell>
          <cell r="F7">
            <v>0.93306223156355661</v>
          </cell>
          <cell r="G7">
            <v>0.91529383471045989</v>
          </cell>
        </row>
        <row r="8">
          <cell r="A8" t="str">
            <v>Mobile</v>
          </cell>
          <cell r="B8">
            <v>1.388778034958893E-2</v>
          </cell>
          <cell r="C8">
            <v>2.2332922870256344E-2</v>
          </cell>
          <cell r="D8">
            <v>3.5054747507762718E-2</v>
          </cell>
          <cell r="E8">
            <v>5.0163775324517768E-2</v>
          </cell>
          <cell r="F8">
            <v>6.693776843644339E-2</v>
          </cell>
          <cell r="G8">
            <v>8.4706165289540114E-2</v>
          </cell>
        </row>
        <row r="10">
          <cell r="A10" t="str">
            <v>GLOBAL By Subsegment (PB per Month)</v>
          </cell>
        </row>
        <row r="11">
          <cell r="A11" t="str">
            <v>File sharing</v>
          </cell>
          <cell r="B11">
            <v>4968</v>
          </cell>
          <cell r="C11">
            <v>6017</v>
          </cell>
          <cell r="D11">
            <v>7277</v>
          </cell>
          <cell r="E11">
            <v>8867</v>
          </cell>
          <cell r="F11">
            <v>11040</v>
          </cell>
          <cell r="G11">
            <v>13797</v>
          </cell>
          <cell r="H11">
            <v>0.22664986513602114</v>
          </cell>
        </row>
        <row r="12">
          <cell r="A12" t="str">
            <v>Internet video</v>
          </cell>
          <cell r="B12">
            <v>4672</v>
          </cell>
          <cell r="C12">
            <v>8079</v>
          </cell>
          <cell r="D12">
            <v>12146</v>
          </cell>
          <cell r="E12">
            <v>17583</v>
          </cell>
          <cell r="F12">
            <v>24357</v>
          </cell>
          <cell r="G12">
            <v>33620</v>
          </cell>
          <cell r="H12">
            <v>0.48394899838707173</v>
          </cell>
        </row>
        <row r="13">
          <cell r="A13" t="str">
            <v>Web, email, and data</v>
          </cell>
          <cell r="B13">
            <v>2393</v>
          </cell>
          <cell r="C13">
            <v>3113</v>
          </cell>
          <cell r="D13">
            <v>4146</v>
          </cell>
          <cell r="E13">
            <v>5325</v>
          </cell>
          <cell r="F13">
            <v>6769</v>
          </cell>
          <cell r="G13">
            <v>8592</v>
          </cell>
          <cell r="H13">
            <v>0.29130940443989806</v>
          </cell>
        </row>
        <row r="14">
          <cell r="A14" t="str">
            <v>Video calling</v>
          </cell>
          <cell r="B14">
            <v>308</v>
          </cell>
          <cell r="C14">
            <v>442</v>
          </cell>
          <cell r="D14">
            <v>659</v>
          </cell>
          <cell r="E14">
            <v>905</v>
          </cell>
          <cell r="F14">
            <v>1251</v>
          </cell>
          <cell r="G14">
            <v>1736</v>
          </cell>
          <cell r="H14">
            <v>0.413187544034475</v>
          </cell>
        </row>
        <row r="15">
          <cell r="A15" t="str">
            <v>Online gaming</v>
          </cell>
          <cell r="B15">
            <v>49</v>
          </cell>
          <cell r="C15">
            <v>68</v>
          </cell>
          <cell r="D15">
            <v>95</v>
          </cell>
          <cell r="E15">
            <v>133</v>
          </cell>
          <cell r="F15">
            <v>187</v>
          </cell>
          <cell r="G15">
            <v>290</v>
          </cell>
          <cell r="H15">
            <v>0.42705392232469253</v>
          </cell>
        </row>
        <row r="16">
          <cell r="A16" t="str">
            <v>Voice over IP (VoIP)</v>
          </cell>
          <cell r="B16">
            <v>138</v>
          </cell>
          <cell r="C16">
            <v>147</v>
          </cell>
          <cell r="D16">
            <v>153</v>
          </cell>
          <cell r="E16">
            <v>157</v>
          </cell>
          <cell r="F16">
            <v>160</v>
          </cell>
          <cell r="G16">
            <v>168</v>
          </cell>
          <cell r="H16">
            <v>4.0126207180960938E-2</v>
          </cell>
        </row>
        <row r="17">
          <cell r="A17" t="str">
            <v>Other</v>
          </cell>
          <cell r="B17">
            <v>0.16500000000000001</v>
          </cell>
          <cell r="C17">
            <v>1</v>
          </cell>
          <cell r="D17">
            <v>1</v>
          </cell>
          <cell r="E17">
            <v>3</v>
          </cell>
          <cell r="F17">
            <v>8</v>
          </cell>
          <cell r="G17">
            <v>11</v>
          </cell>
          <cell r="H17">
            <v>1.3162303512385889</v>
          </cell>
        </row>
        <row r="18">
          <cell r="A18" t="str">
            <v>TOTAL</v>
          </cell>
          <cell r="B18">
            <v>12528.165000000001</v>
          </cell>
          <cell r="C18">
            <v>17867</v>
          </cell>
          <cell r="D18">
            <v>24477</v>
          </cell>
          <cell r="E18">
            <v>32973</v>
          </cell>
          <cell r="F18">
            <v>43772</v>
          </cell>
          <cell r="G18">
            <v>58214</v>
          </cell>
          <cell r="H18">
            <v>0.35965271863625325</v>
          </cell>
        </row>
        <row r="20">
          <cell r="A20" t="str">
            <v>File sharing</v>
          </cell>
          <cell r="B20">
            <v>0.39654650142299369</v>
          </cell>
          <cell r="C20">
            <v>0.33676610510997929</v>
          </cell>
          <cell r="D20">
            <v>0.29729950565837315</v>
          </cell>
          <cell r="E20">
            <v>0.26891699269098962</v>
          </cell>
          <cell r="F20">
            <v>0.25221602851137714</v>
          </cell>
          <cell r="G20">
            <v>0.23700484419555434</v>
          </cell>
        </row>
        <row r="21">
          <cell r="A21" t="str">
            <v>Internet video</v>
          </cell>
          <cell r="B21">
            <v>0.37291973724803273</v>
          </cell>
          <cell r="C21">
            <v>0.45217439973134832</v>
          </cell>
          <cell r="D21">
            <v>0.49622094210891859</v>
          </cell>
          <cell r="E21">
            <v>0.53325448093895</v>
          </cell>
          <cell r="F21">
            <v>0.55645161290322576</v>
          </cell>
          <cell r="G21">
            <v>0.57752430686776379</v>
          </cell>
        </row>
        <row r="22">
          <cell r="A22" t="str">
            <v>Web, email, and data</v>
          </cell>
          <cell r="B22">
            <v>0.19100961713068113</v>
          </cell>
          <cell r="C22">
            <v>0.1742318240331337</v>
          </cell>
          <cell r="D22">
            <v>0.16938350288025494</v>
          </cell>
          <cell r="E22">
            <v>0.1614957692657629</v>
          </cell>
          <cell r="F22">
            <v>0.15464223704651375</v>
          </cell>
          <cell r="G22">
            <v>0.14759336242141066</v>
          </cell>
        </row>
        <row r="23">
          <cell r="A23" t="str">
            <v>Video calling</v>
          </cell>
          <cell r="B23">
            <v>2.4584605965837773E-2</v>
          </cell>
          <cell r="C23">
            <v>2.4738344433872503E-2</v>
          </cell>
          <cell r="D23">
            <v>2.6923234056461166E-2</v>
          </cell>
          <cell r="E23">
            <v>2.7446698814181301E-2</v>
          </cell>
          <cell r="F23">
            <v>2.8579914100338114E-2</v>
          </cell>
          <cell r="G23">
            <v>2.9821005256467515E-2</v>
          </cell>
        </row>
        <row r="24">
          <cell r="A24" t="str">
            <v>Online gaming</v>
          </cell>
          <cell r="B24">
            <v>3.9111873127469186E-3</v>
          </cell>
          <cell r="C24">
            <v>3.8058991436726928E-3</v>
          </cell>
          <cell r="D24">
            <v>3.8811945908403807E-3</v>
          </cell>
          <cell r="E24">
            <v>4.0336032511448759E-3</v>
          </cell>
          <cell r="F24">
            <v>4.2721374394590148E-3</v>
          </cell>
          <cell r="G24">
            <v>4.9816195416910024E-3</v>
          </cell>
        </row>
        <row r="25">
          <cell r="A25" t="str">
            <v>Voice over IP (VoIP)</v>
          </cell>
          <cell r="B25">
            <v>1.1015180595083158E-2</v>
          </cell>
          <cell r="C25">
            <v>8.2274584429394976E-3</v>
          </cell>
          <cell r="D25">
            <v>6.250766025248192E-3</v>
          </cell>
          <cell r="E25">
            <v>4.7614715069905682E-3</v>
          </cell>
          <cell r="F25">
            <v>3.6553047610344514E-3</v>
          </cell>
          <cell r="G25">
            <v>2.8859037344968566E-3</v>
          </cell>
        </row>
        <row r="26">
          <cell r="A26" t="str">
            <v>Other</v>
          </cell>
          <cell r="B26">
            <v>1.317032462455595E-5</v>
          </cell>
          <cell r="C26">
            <v>5.5969105054010188E-5</v>
          </cell>
          <cell r="D26">
            <v>4.0854679903582957E-5</v>
          </cell>
          <cell r="E26">
            <v>9.0983531980711496E-5</v>
          </cell>
          <cell r="F26">
            <v>1.8276523805172256E-4</v>
          </cell>
          <cell r="G26">
            <v>1.8895798261586559E-4</v>
          </cell>
        </row>
        <row r="29">
          <cell r="A29" t="str">
            <v>North America - By Network (PB per Month)</v>
          </cell>
        </row>
        <row r="30">
          <cell r="A30" t="str">
            <v>Fixed</v>
          </cell>
          <cell r="B30">
            <v>3255.1564370660071</v>
          </cell>
          <cell r="C30">
            <v>4888.3353856487183</v>
          </cell>
          <cell r="D30">
            <v>6348.3748161464291</v>
          </cell>
          <cell r="E30">
            <v>7889.3396821545557</v>
          </cell>
          <cell r="F30">
            <v>9341.8190624143281</v>
          </cell>
          <cell r="G30">
            <v>11475.038805765036</v>
          </cell>
          <cell r="H30">
            <v>0.28657900355019894</v>
          </cell>
          <cell r="I30" t="str">
            <v>MS assumption</v>
          </cell>
        </row>
        <row r="31">
          <cell r="A31" t="str">
            <v>Mobile</v>
          </cell>
          <cell r="B31">
            <v>45.843562933993056</v>
          </cell>
          <cell r="C31">
            <v>111.66461435128173</v>
          </cell>
          <cell r="D31">
            <v>230.62518385357092</v>
          </cell>
          <cell r="E31">
            <v>416.66031784544458</v>
          </cell>
          <cell r="F31">
            <v>670.18093758567124</v>
          </cell>
          <cell r="G31">
            <v>1061.9611942349645</v>
          </cell>
          <cell r="H31">
            <v>0.87484796951331134</v>
          </cell>
          <cell r="I31" t="str">
            <v>MS assumption</v>
          </cell>
        </row>
        <row r="32">
          <cell r="A32" t="str">
            <v>TOTAL</v>
          </cell>
          <cell r="B32">
            <v>3301</v>
          </cell>
          <cell r="C32">
            <v>5000</v>
          </cell>
          <cell r="D32">
            <v>6579</v>
          </cell>
          <cell r="E32">
            <v>8306</v>
          </cell>
          <cell r="F32">
            <v>10012</v>
          </cell>
          <cell r="G32">
            <v>12537</v>
          </cell>
          <cell r="H32">
            <v>0.30589909319424868</v>
          </cell>
        </row>
        <row r="35">
          <cell r="A35" t="str">
            <v>North America By Subsegment (PB per Month)</v>
          </cell>
        </row>
        <row r="36">
          <cell r="A36" t="str">
            <v>Internet video</v>
          </cell>
          <cell r="B36">
            <v>1213.9120832118979</v>
          </cell>
          <cell r="C36">
            <v>2210.3801186912183</v>
          </cell>
          <cell r="D36">
            <v>3150.1965321287139</v>
          </cell>
          <cell r="E36">
            <v>4207.0257371583884</v>
          </cell>
          <cell r="F36">
            <v>5198.2702847305527</v>
          </cell>
          <cell r="G36">
            <v>6627.1138325801448</v>
          </cell>
          <cell r="H36">
            <v>0.40419505473362394</v>
          </cell>
          <cell r="I36" t="str">
            <v>MS assumption</v>
          </cell>
        </row>
        <row r="37">
          <cell r="A37" t="str">
            <v>File sharing</v>
          </cell>
          <cell r="B37">
            <v>1290.8208967030625</v>
          </cell>
          <cell r="C37">
            <v>1646.2256682962075</v>
          </cell>
          <cell r="D37">
            <v>1887.3686945743989</v>
          </cell>
          <cell r="E37">
            <v>2121.577501642691</v>
          </cell>
          <cell r="F37">
            <v>2356.1565029940189</v>
          </cell>
          <cell r="G37">
            <v>2719.6397842982824</v>
          </cell>
          <cell r="H37">
            <v>0.16072430817085537</v>
          </cell>
          <cell r="I37" t="str">
            <v>MS assumption</v>
          </cell>
        </row>
        <row r="38">
          <cell r="A38" t="str">
            <v>Web, email, and data</v>
          </cell>
          <cell r="B38">
            <v>621.76618474445013</v>
          </cell>
          <cell r="C38">
            <v>851.7035907272882</v>
          </cell>
          <cell r="D38">
            <v>1075.3099639556767</v>
          </cell>
          <cell r="E38">
            <v>1274.0949809684594</v>
          </cell>
          <cell r="F38">
            <v>1444.6397978955174</v>
          </cell>
          <cell r="G38">
            <v>1693.6395612590304</v>
          </cell>
          <cell r="H38">
            <v>0.22190875954387734</v>
          </cell>
          <cell r="I38" t="str">
            <v>MS assumption</v>
          </cell>
        </row>
        <row r="39">
          <cell r="A39" t="str">
            <v>Other</v>
          </cell>
          <cell r="B39">
            <v>128.6572724065966</v>
          </cell>
          <cell r="C39">
            <v>180.02600793400441</v>
          </cell>
          <cell r="D39">
            <v>235.49962548763972</v>
          </cell>
          <cell r="E39">
            <v>286.64146238501678</v>
          </cell>
          <cell r="F39">
            <v>342.75247679423859</v>
          </cell>
          <cell r="G39">
            <v>434.6456276275793</v>
          </cell>
          <cell r="H39">
            <v>0.27567544209083272</v>
          </cell>
          <cell r="I39" t="str">
            <v>MS assumption</v>
          </cell>
        </row>
        <row r="40">
          <cell r="A40" t="str">
            <v>TOTAL</v>
          </cell>
          <cell r="B40">
            <v>3255.1564370660071</v>
          </cell>
          <cell r="C40">
            <v>4888.3353856487183</v>
          </cell>
          <cell r="D40">
            <v>6348.3748161464291</v>
          </cell>
          <cell r="E40">
            <v>7889.3396821545548</v>
          </cell>
          <cell r="F40">
            <v>9341.8190624143263</v>
          </cell>
          <cell r="G40">
            <v>11475.038805765038</v>
          </cell>
          <cell r="H40">
            <v>0.28657900355019894</v>
          </cell>
          <cell r="I40" t="str">
            <v>MS assumption</v>
          </cell>
        </row>
        <row r="43">
          <cell r="A43" t="str">
            <v>US</v>
          </cell>
          <cell r="B43">
            <v>0.88802339809592035</v>
          </cell>
          <cell r="C43">
            <v>0.88967538682405478</v>
          </cell>
          <cell r="D43">
            <v>0.89112996350983076</v>
          </cell>
          <cell r="E43">
            <v>0.89123426750490964</v>
          </cell>
          <cell r="F43">
            <v>0.88974999222934814</v>
          </cell>
          <cell r="G43">
            <v>0.88974999222934814</v>
          </cell>
          <cell r="I43" t="str">
            <v>MS assumption, using trends in previous VNI report</v>
          </cell>
        </row>
        <row r="44">
          <cell r="A44" t="str">
            <v>Canada</v>
          </cell>
          <cell r="B44">
            <v>0.11197660190407965</v>
          </cell>
          <cell r="C44">
            <v>0.11032461317594522</v>
          </cell>
          <cell r="D44">
            <v>0.10887003649016924</v>
          </cell>
          <cell r="E44">
            <v>0.10876573249509036</v>
          </cell>
          <cell r="F44">
            <v>0.11025000777065186</v>
          </cell>
          <cell r="G44">
            <v>0.11025000777065186</v>
          </cell>
        </row>
        <row r="47">
          <cell r="A47" t="str">
            <v>US By Subsegment (PB per Month)</v>
          </cell>
          <cell r="B47">
            <v>2890.6550805771644</v>
          </cell>
          <cell r="C47">
            <v>4349.0316751527389</v>
          </cell>
          <cell r="D47">
            <v>5657.2270182592956</v>
          </cell>
          <cell r="E47">
            <v>7031.2498727224311</v>
          </cell>
          <cell r="F47">
            <v>8311.8834381911238</v>
          </cell>
          <cell r="G47">
            <v>10209.915688260911</v>
          </cell>
          <cell r="H47">
            <v>0.28707891698489285</v>
          </cell>
        </row>
        <row r="48">
          <cell r="A48" t="str">
            <v>Total US Residential BB Subs (M)</v>
          </cell>
          <cell r="B48">
            <v>71.428043545595983</v>
          </cell>
          <cell r="C48">
            <v>72.803202778573578</v>
          </cell>
          <cell r="D48">
            <v>74.790532105880871</v>
          </cell>
          <cell r="E48">
            <v>75.449067469188265</v>
          </cell>
          <cell r="F48">
            <v>76.781666962756361</v>
          </cell>
          <cell r="G48">
            <v>77.865921155857947</v>
          </cell>
          <cell r="H48">
            <v>1.740937274555554E-2</v>
          </cell>
        </row>
        <row r="49">
          <cell r="A49" t="str">
            <v>Average traffic per sub per mo (GB)</v>
          </cell>
          <cell r="B49">
            <v>40.469470212101207</v>
          </cell>
          <cell r="C49">
            <v>59.736818013076274</v>
          </cell>
          <cell r="D49">
            <v>75.640951587967919</v>
          </cell>
          <cell r="E49">
            <v>93.192004998522194</v>
          </cell>
          <cell r="F49">
            <v>108.2534902794293</v>
          </cell>
          <cell r="G49">
            <v>131.12174795729373</v>
          </cell>
          <cell r="H49">
            <v>0.26505510118470177</v>
          </cell>
        </row>
      </sheetData>
      <sheetData sheetId="2" refreshError="1">
        <row r="2">
          <cell r="B2">
            <v>744</v>
          </cell>
          <cell r="C2">
            <v>0.81489594742606786</v>
          </cell>
        </row>
        <row r="3">
          <cell r="B3">
            <v>151</v>
          </cell>
          <cell r="C3">
            <v>0.16538882803943045</v>
          </cell>
        </row>
        <row r="4">
          <cell r="B4">
            <v>18</v>
          </cell>
          <cell r="C4">
            <v>1.9715224534501644E-2</v>
          </cell>
          <cell r="E4" t="str">
            <v>GLBC Premium Analysis</v>
          </cell>
        </row>
        <row r="5">
          <cell r="B5">
            <v>913</v>
          </cell>
          <cell r="E5" t="str">
            <v>$ in millions</v>
          </cell>
        </row>
        <row r="7">
          <cell r="E7" t="str">
            <v>2011E EBITDA (consensus @ 4/8/11)</v>
          </cell>
          <cell r="F7">
            <v>431</v>
          </cell>
        </row>
        <row r="8">
          <cell r="E8" t="str">
            <v>EV/EBITDA (4/8/11)</v>
          </cell>
          <cell r="F8">
            <v>4.5999999999999996</v>
          </cell>
        </row>
        <row r="9">
          <cell r="E9" t="str">
            <v>EV/EBITDA (implied deal valuation)</v>
          </cell>
          <cell r="F9">
            <v>7</v>
          </cell>
        </row>
        <row r="10">
          <cell r="E10" t="str">
            <v xml:space="preserve">Implied premium </v>
          </cell>
          <cell r="F10">
            <v>2.4000000000000004</v>
          </cell>
        </row>
        <row r="11">
          <cell r="E11" t="str">
            <v>Implied premium ($)</v>
          </cell>
          <cell r="F11">
            <v>1034.4000000000001</v>
          </cell>
        </row>
        <row r="13">
          <cell r="E13" t="str">
            <v>NPV of estimated synergies</v>
          </cell>
          <cell r="F13">
            <v>2500</v>
          </cell>
        </row>
        <row r="14">
          <cell r="E14" t="str">
            <v>% of implied premium</v>
          </cell>
          <cell r="F14">
            <v>2.4168600154679041</v>
          </cell>
        </row>
      </sheetData>
      <sheetData sheetId="3" refreshError="1">
        <row r="3">
          <cell r="D3">
            <v>2012</v>
          </cell>
          <cell r="E3">
            <v>2013</v>
          </cell>
          <cell r="F3">
            <v>2014</v>
          </cell>
          <cell r="G3">
            <v>2015</v>
          </cell>
          <cell r="H3">
            <v>2016</v>
          </cell>
          <cell r="I3">
            <v>2017</v>
          </cell>
          <cell r="J3">
            <v>2018</v>
          </cell>
          <cell r="K3">
            <v>2019</v>
          </cell>
        </row>
        <row r="4">
          <cell r="B4" t="str">
            <v>Senior Secured Term Loan (2014)</v>
          </cell>
          <cell r="C4">
            <v>2.75E-2</v>
          </cell>
          <cell r="F4">
            <v>1680</v>
          </cell>
        </row>
        <row r="5">
          <cell r="B5" t="str">
            <v>Senior Secured Term Loan (2018)</v>
          </cell>
          <cell r="C5">
            <v>5.7500000000000002E-2</v>
          </cell>
          <cell r="J5">
            <v>650</v>
          </cell>
        </row>
        <row r="6">
          <cell r="B6" t="str">
            <v>Senior Notes (9.25%)</v>
          </cell>
          <cell r="C6">
            <v>9.2499999999999999E-2</v>
          </cell>
          <cell r="F6">
            <v>807</v>
          </cell>
        </row>
        <row r="7">
          <cell r="B7" t="str">
            <v>Senior Notes (8.75%)</v>
          </cell>
          <cell r="C7">
            <v>8.7499999999999994E-2</v>
          </cell>
          <cell r="I7">
            <v>700</v>
          </cell>
        </row>
        <row r="8">
          <cell r="B8" t="str">
            <v>Senior Notes (10.0%)</v>
          </cell>
          <cell r="C8">
            <v>0.1</v>
          </cell>
          <cell r="J8">
            <v>640</v>
          </cell>
        </row>
        <row r="9">
          <cell r="B9" t="str">
            <v>Senior Notes (11.875%)</v>
          </cell>
          <cell r="C9">
            <v>0.11874999999999999</v>
          </cell>
          <cell r="K9">
            <v>605</v>
          </cell>
        </row>
        <row r="10">
          <cell r="B10" t="str">
            <v>Senior Notes (9.375%)</v>
          </cell>
          <cell r="C10">
            <v>9.375E-2</v>
          </cell>
          <cell r="K10">
            <v>500</v>
          </cell>
        </row>
        <row r="11">
          <cell r="B11" t="str">
            <v>Senior Notes (8.125%)</v>
          </cell>
          <cell r="C11">
            <v>8.1250000000000003E-2</v>
          </cell>
          <cell r="K11">
            <v>600</v>
          </cell>
        </row>
        <row r="12">
          <cell r="B12" t="str">
            <v>Senior Notes (8.125%)</v>
          </cell>
          <cell r="C12">
            <v>8.1250000000000003E-2</v>
          </cell>
          <cell r="K12">
            <v>600</v>
          </cell>
        </row>
        <row r="13">
          <cell r="B13" t="str">
            <v>Floating Rate Senior Notes (4.215% as of 6/30/11)</v>
          </cell>
          <cell r="C13">
            <v>4.215E-2</v>
          </cell>
          <cell r="G13">
            <v>300</v>
          </cell>
        </row>
        <row r="14">
          <cell r="B14" t="str">
            <v>Convertible Senior Notes (3.5%)</v>
          </cell>
          <cell r="C14">
            <v>3.5000000000000003E-2</v>
          </cell>
          <cell r="D14">
            <v>294</v>
          </cell>
        </row>
        <row r="15">
          <cell r="B15" t="str">
            <v>Convertible Senior Notes (15.0%)</v>
          </cell>
          <cell r="C15">
            <v>0.15</v>
          </cell>
          <cell r="E15">
            <v>272</v>
          </cell>
        </row>
        <row r="16">
          <cell r="B16" t="str">
            <v>Convertible Senior Notes (7.0%)</v>
          </cell>
          <cell r="C16">
            <v>7.0000000000000007E-2</v>
          </cell>
          <cell r="G16">
            <v>200</v>
          </cell>
        </row>
        <row r="17">
          <cell r="B17" t="str">
            <v>Convertible Senior Notes Series B (7.0%)</v>
          </cell>
          <cell r="C17">
            <v>7.0000000000000007E-2</v>
          </cell>
          <cell r="G17">
            <v>275</v>
          </cell>
        </row>
        <row r="18">
          <cell r="B18" t="str">
            <v>Convertible Senior Notes (6.5%)</v>
          </cell>
          <cell r="C18">
            <v>6.5000000000000002E-2</v>
          </cell>
          <cell r="H18">
            <v>201</v>
          </cell>
        </row>
        <row r="19">
          <cell r="D19">
            <v>294</v>
          </cell>
          <cell r="E19">
            <v>272</v>
          </cell>
          <cell r="F19">
            <v>2487</v>
          </cell>
          <cell r="G19">
            <v>775</v>
          </cell>
          <cell r="H19">
            <v>201</v>
          </cell>
          <cell r="I19">
            <v>700</v>
          </cell>
          <cell r="J19">
            <v>1290</v>
          </cell>
          <cell r="K19">
            <v>2305</v>
          </cell>
          <cell r="L19">
            <v>8324</v>
          </cell>
        </row>
        <row r="20">
          <cell r="B20" t="str">
            <v>WACC (each year)</v>
          </cell>
          <cell r="D20">
            <v>3.5000000000000003E-2</v>
          </cell>
          <cell r="E20">
            <v>0.15</v>
          </cell>
          <cell r="F20">
            <v>4.8591676718938479E-2</v>
          </cell>
          <cell r="G20">
            <v>5.9219354838709694E-2</v>
          </cell>
          <cell r="H20">
            <v>6.5000000000000002E-2</v>
          </cell>
          <cell r="I20">
            <v>8.7499999999999994E-2</v>
          </cell>
          <cell r="J20">
            <v>7.8585271317829455E-2</v>
          </cell>
          <cell r="K20">
            <v>9.3804229934924072E-2</v>
          </cell>
        </row>
        <row r="21">
          <cell r="B21" t="str">
            <v>WACC (total)</v>
          </cell>
          <cell r="L21">
            <v>7.325099111004324E-2</v>
          </cell>
        </row>
        <row r="23">
          <cell r="F23">
            <v>807</v>
          </cell>
          <cell r="I23">
            <v>700</v>
          </cell>
          <cell r="J23">
            <v>640</v>
          </cell>
          <cell r="K23">
            <v>2305</v>
          </cell>
          <cell r="L23">
            <v>4452</v>
          </cell>
        </row>
        <row r="24">
          <cell r="F24">
            <v>9.2499999999999999E-2</v>
          </cell>
          <cell r="I24">
            <v>8.7499999999999994E-2</v>
          </cell>
          <cell r="J24">
            <v>0.1</v>
          </cell>
          <cell r="K24">
            <v>9.3804229934924072E-2</v>
          </cell>
        </row>
        <row r="25">
          <cell r="L25">
            <v>9.3467261904761886E-2</v>
          </cell>
        </row>
        <row r="28">
          <cell r="B28" t="str">
            <v>Current (1)</v>
          </cell>
        </row>
        <row r="29">
          <cell r="B29" t="str">
            <v>Total Debt @ 6/30/11</v>
          </cell>
          <cell r="C29">
            <v>8324</v>
          </cell>
        </row>
        <row r="30">
          <cell r="B30" t="str">
            <v>Debt Cost (2)</v>
          </cell>
          <cell r="C30">
            <v>9.3467261904761886E-2</v>
          </cell>
        </row>
        <row r="31">
          <cell r="B31" t="str">
            <v>Implied Annual Interest Expense</v>
          </cell>
          <cell r="C31">
            <v>778.02148809523794</v>
          </cell>
        </row>
        <row r="33">
          <cell r="B33" t="str">
            <v>Cost of Debt Less 50 bps</v>
          </cell>
        </row>
        <row r="34">
          <cell r="B34" t="str">
            <v>Debt Cost (less 50 bps)</v>
          </cell>
          <cell r="C34">
            <v>8.8467261904761882E-2</v>
          </cell>
        </row>
        <row r="35">
          <cell r="B35" t="str">
            <v>Implied Annual Interest Expense (less 50 bps)</v>
          </cell>
          <cell r="C35">
            <v>736.40148809523794</v>
          </cell>
        </row>
        <row r="36">
          <cell r="B36" t="str">
            <v>Implied Interest Expense Savings</v>
          </cell>
          <cell r="C36">
            <v>41.620000000000005</v>
          </cell>
        </row>
        <row r="38">
          <cell r="B38" t="str">
            <v>Cost of Debt Less 100 bps</v>
          </cell>
        </row>
        <row r="39">
          <cell r="B39" t="str">
            <v>Debt Cost (less 100 bps)</v>
          </cell>
          <cell r="C39">
            <v>8.3467261904761891E-2</v>
          </cell>
        </row>
        <row r="40">
          <cell r="B40" t="str">
            <v>Implied Annual Interest Expense (less 100 bps)</v>
          </cell>
          <cell r="C40">
            <v>694.78148809523793</v>
          </cell>
        </row>
        <row r="41">
          <cell r="B41" t="str">
            <v>Implied Interest Expense Savings</v>
          </cell>
          <cell r="C41">
            <v>83.240000000000009</v>
          </cell>
        </row>
        <row r="43">
          <cell r="B43" t="str">
            <v>(1) Pro-forma for recent debt issuances by LVLT to refinance GLBC debt</v>
          </cell>
        </row>
        <row r="44">
          <cell r="B44" t="str">
            <v>(2) Average debt cost for LVLT's PF fixed rate senior notes at 6/30/11</v>
          </cell>
        </row>
        <row r="49">
          <cell r="B49" t="str">
            <v>Current (1)</v>
          </cell>
        </row>
        <row r="50">
          <cell r="B50" t="str">
            <v>Total Debt @ 6/30/11</v>
          </cell>
          <cell r="C50">
            <v>8324</v>
          </cell>
        </row>
        <row r="51">
          <cell r="B51" t="str">
            <v>WACC @ 6/30/11</v>
          </cell>
          <cell r="C51">
            <v>7.325099111004324E-2</v>
          </cell>
        </row>
        <row r="52">
          <cell r="B52" t="str">
            <v>Annual Interest Expense</v>
          </cell>
          <cell r="C52">
            <v>609.74124999999992</v>
          </cell>
        </row>
        <row r="54">
          <cell r="B54" t="str">
            <v>Cost of Debt Less 50 bps</v>
          </cell>
        </row>
        <row r="55">
          <cell r="B55" t="str">
            <v>WACC (less 50 bps)</v>
          </cell>
          <cell r="C55">
            <v>6.8250991110043235E-2</v>
          </cell>
        </row>
        <row r="56">
          <cell r="B56" t="str">
            <v>Annual Interest Expense (less 50 bps)</v>
          </cell>
          <cell r="C56">
            <v>568.12124999999992</v>
          </cell>
        </row>
        <row r="57">
          <cell r="B57" t="str">
            <v>Interest Expense Savings</v>
          </cell>
          <cell r="C57">
            <v>-41.620000000000005</v>
          </cell>
        </row>
        <row r="59">
          <cell r="B59" t="str">
            <v>Cost of Debt Less 100 bps</v>
          </cell>
        </row>
        <row r="60">
          <cell r="B60" t="str">
            <v>WACC (less 100 bps)</v>
          </cell>
          <cell r="C60">
            <v>6.3250991110043245E-2</v>
          </cell>
        </row>
        <row r="61">
          <cell r="B61" t="str">
            <v>Annual Interest Expense (less 100 bps)</v>
          </cell>
          <cell r="C61">
            <v>526.50124999999991</v>
          </cell>
        </row>
        <row r="62">
          <cell r="B62" t="str">
            <v>Interest Expense Savings</v>
          </cell>
          <cell r="C62">
            <v>-83.240000000000009</v>
          </cell>
        </row>
        <row r="64">
          <cell r="B64" t="str">
            <v>(1) Pro-forma for recent debt issuances by LVLT to refinance GLBC debt</v>
          </cell>
        </row>
      </sheetData>
      <sheetData sheetId="4" refreshError="1">
        <row r="4">
          <cell r="B4" t="str">
            <v>FY 2011 Guidance - LVLT (1)</v>
          </cell>
        </row>
        <row r="5">
          <cell r="B5" t="str">
            <v>Revenue</v>
          </cell>
          <cell r="C5" t="str">
            <v>"Sequential revenue growth" (1% - 2%)</v>
          </cell>
        </row>
        <row r="6">
          <cell r="B6" t="str">
            <v>EBITDA</v>
          </cell>
          <cell r="C6" t="str">
            <v>"low double-digit" growth compared to 2010</v>
          </cell>
        </row>
        <row r="7">
          <cell r="B7" t="str">
            <v>Capex</v>
          </cell>
          <cell r="C7" t="str">
            <v>"12% of communications revenue"</v>
          </cell>
        </row>
        <row r="8">
          <cell r="B8" t="str">
            <v>FCF</v>
          </cell>
          <cell r="C8" t="str">
            <v>"breakeven for last 3 quarters of 2011 in aggregate"</v>
          </cell>
        </row>
        <row r="10">
          <cell r="B10" t="str">
            <v>FY 2011 Guidance - GLBC</v>
          </cell>
        </row>
        <row r="11">
          <cell r="B11" t="str">
            <v>Revenue</v>
          </cell>
          <cell r="C11" t="str">
            <v>$2,765M - $2,845M (approx 6% to 9%" from 2010)</v>
          </cell>
          <cell r="E11">
            <v>2609</v>
          </cell>
          <cell r="F11">
            <v>0.06</v>
          </cell>
          <cell r="G11">
            <v>2765.54</v>
          </cell>
        </row>
        <row r="12">
          <cell r="B12" t="str">
            <v>OIBIDA</v>
          </cell>
          <cell r="C12" t="str">
            <v>"grow to roughly $425M" at 7.5% revenue growth</v>
          </cell>
          <cell r="F12">
            <v>0.09</v>
          </cell>
          <cell r="G12">
            <v>2843.8100000000004</v>
          </cell>
        </row>
        <row r="13">
          <cell r="B13" t="str">
            <v>Opex</v>
          </cell>
          <cell r="C13" t="str">
            <v>"approx $20 million in higher opex" relative to 2010</v>
          </cell>
        </row>
        <row r="14">
          <cell r="B14" t="str">
            <v>Capex</v>
          </cell>
          <cell r="C14" t="str">
            <v>"approx 10% of invest and grow revenue"</v>
          </cell>
        </row>
        <row r="15">
          <cell r="B15" t="str">
            <v>FCF</v>
          </cell>
          <cell r="C15" t="str">
            <v>positive FCF in 2011</v>
          </cell>
        </row>
      </sheetData>
      <sheetData sheetId="5" refreshError="1">
        <row r="2">
          <cell r="C2" t="str">
            <v>11.875% senior unsecured</v>
          </cell>
        </row>
        <row r="3">
          <cell r="C3" t="str">
            <v>52729NBS</v>
          </cell>
          <cell r="D3" t="str">
            <v>527298AM</v>
          </cell>
        </row>
        <row r="4">
          <cell r="B4">
            <v>40767</v>
          </cell>
          <cell r="C4">
            <v>11.620000000000001</v>
          </cell>
          <cell r="D4">
            <v>9.516</v>
          </cell>
        </row>
        <row r="5">
          <cell r="B5">
            <v>40766</v>
          </cell>
          <cell r="C5">
            <v>12.394</v>
          </cell>
          <cell r="D5">
            <v>9.609</v>
          </cell>
        </row>
        <row r="6">
          <cell r="B6">
            <v>40765</v>
          </cell>
          <cell r="C6">
            <v>11.682</v>
          </cell>
          <cell r="D6">
            <v>9.3780000000000001</v>
          </cell>
        </row>
        <row r="7">
          <cell r="B7">
            <v>40764</v>
          </cell>
          <cell r="C7">
            <v>11.495000000000001</v>
          </cell>
          <cell r="D7">
            <v>9.4239999999999995</v>
          </cell>
        </row>
        <row r="8">
          <cell r="B8">
            <v>40763</v>
          </cell>
          <cell r="C8">
            <v>11.248000000000001</v>
          </cell>
          <cell r="D8">
            <v>9.4239999999999995</v>
          </cell>
        </row>
        <row r="9">
          <cell r="B9">
            <v>40762</v>
          </cell>
          <cell r="C9">
            <v>10.292</v>
          </cell>
          <cell r="D9">
            <v>8.3610000000000007</v>
          </cell>
        </row>
        <row r="10">
          <cell r="B10">
            <v>40761</v>
          </cell>
          <cell r="C10">
            <v>10.292</v>
          </cell>
          <cell r="D10">
            <v>8.3610000000000007</v>
          </cell>
        </row>
        <row r="11">
          <cell r="B11">
            <v>40760</v>
          </cell>
          <cell r="C11">
            <v>10.292</v>
          </cell>
          <cell r="D11">
            <v>8.3610000000000007</v>
          </cell>
        </row>
        <row r="12">
          <cell r="B12">
            <v>40759</v>
          </cell>
          <cell r="C12">
            <v>10.061</v>
          </cell>
          <cell r="D12">
            <v>7.5110000000000001</v>
          </cell>
        </row>
        <row r="13">
          <cell r="B13">
            <v>40758</v>
          </cell>
          <cell r="C13">
            <v>9.8320000000000007</v>
          </cell>
          <cell r="D13">
            <v>6.9889999999999999</v>
          </cell>
        </row>
        <row r="14">
          <cell r="B14">
            <v>40757</v>
          </cell>
          <cell r="C14">
            <v>9.6910000000000007</v>
          </cell>
          <cell r="D14">
            <v>6.8900000000000006</v>
          </cell>
        </row>
        <row r="15">
          <cell r="B15">
            <v>40756</v>
          </cell>
          <cell r="C15">
            <v>9.495000000000001</v>
          </cell>
          <cell r="D15">
            <v>6.843</v>
          </cell>
        </row>
        <row r="16">
          <cell r="B16">
            <v>40755</v>
          </cell>
          <cell r="C16">
            <v>9.609</v>
          </cell>
          <cell r="D16">
            <v>6.8529999999999998</v>
          </cell>
        </row>
        <row r="17">
          <cell r="B17">
            <v>40754</v>
          </cell>
          <cell r="C17">
            <v>9.609</v>
          </cell>
          <cell r="D17">
            <v>6.8529999999999998</v>
          </cell>
        </row>
        <row r="18">
          <cell r="B18">
            <v>40753</v>
          </cell>
          <cell r="C18">
            <v>9.609</v>
          </cell>
          <cell r="D18">
            <v>6.8529999999999998</v>
          </cell>
        </row>
        <row r="19">
          <cell r="B19">
            <v>40752</v>
          </cell>
          <cell r="C19">
            <v>9.5820000000000007</v>
          </cell>
          <cell r="D19">
            <v>6.9089999999999998</v>
          </cell>
        </row>
        <row r="20">
          <cell r="B20">
            <v>40751</v>
          </cell>
          <cell r="C20">
            <v>9.4979999999999993</v>
          </cell>
          <cell r="D20">
            <v>6.9139999999999997</v>
          </cell>
        </row>
        <row r="21">
          <cell r="B21">
            <v>40750</v>
          </cell>
          <cell r="C21">
            <v>9.4990000000000006</v>
          </cell>
          <cell r="D21">
            <v>6.7540000000000004</v>
          </cell>
        </row>
        <row r="22">
          <cell r="B22">
            <v>40749</v>
          </cell>
          <cell r="C22">
            <v>9.4719999999999995</v>
          </cell>
          <cell r="D22">
            <v>6.7770000000000001</v>
          </cell>
        </row>
        <row r="23">
          <cell r="B23">
            <v>40748</v>
          </cell>
          <cell r="C23">
            <v>9.3919999999999995</v>
          </cell>
          <cell r="D23">
            <v>5.9560000000000004</v>
          </cell>
        </row>
        <row r="24">
          <cell r="B24">
            <v>40747</v>
          </cell>
          <cell r="C24">
            <v>9.3919999999999995</v>
          </cell>
          <cell r="D24">
            <v>5.9560000000000004</v>
          </cell>
        </row>
        <row r="25">
          <cell r="B25">
            <v>40746</v>
          </cell>
          <cell r="C25">
            <v>9.3919999999999995</v>
          </cell>
          <cell r="D25">
            <v>5.9560000000000004</v>
          </cell>
        </row>
        <row r="26">
          <cell r="B26">
            <v>40745</v>
          </cell>
          <cell r="C26">
            <v>9.3650000000000002</v>
          </cell>
          <cell r="D26">
            <v>5.9859999999999998</v>
          </cell>
        </row>
        <row r="27">
          <cell r="B27">
            <v>40744</v>
          </cell>
          <cell r="C27">
            <v>9.3930000000000007</v>
          </cell>
          <cell r="D27">
            <v>6.0150000000000006</v>
          </cell>
        </row>
        <row r="28">
          <cell r="B28">
            <v>40743</v>
          </cell>
          <cell r="C28">
            <v>9.5329999999999995</v>
          </cell>
          <cell r="D28">
            <v>6.952</v>
          </cell>
        </row>
        <row r="29">
          <cell r="B29">
            <v>40742</v>
          </cell>
          <cell r="C29">
            <v>9.5060000000000002</v>
          </cell>
          <cell r="D29">
            <v>6.5</v>
          </cell>
        </row>
        <row r="30">
          <cell r="B30">
            <v>40741</v>
          </cell>
          <cell r="C30">
            <v>9.4529999999999994</v>
          </cell>
          <cell r="D30">
            <v>6.9710000000000001</v>
          </cell>
        </row>
        <row r="31">
          <cell r="B31">
            <v>40740</v>
          </cell>
          <cell r="C31">
            <v>9.4529999999999994</v>
          </cell>
          <cell r="D31">
            <v>6.9710000000000001</v>
          </cell>
        </row>
        <row r="32">
          <cell r="B32">
            <v>40739</v>
          </cell>
          <cell r="C32">
            <v>9.4529999999999994</v>
          </cell>
          <cell r="D32">
            <v>6.9710000000000001</v>
          </cell>
        </row>
        <row r="33">
          <cell r="B33">
            <v>40738</v>
          </cell>
          <cell r="C33">
            <v>9.4540000000000006</v>
          </cell>
          <cell r="D33">
            <v>6.5940000000000003</v>
          </cell>
        </row>
        <row r="34">
          <cell r="B34">
            <v>40737</v>
          </cell>
          <cell r="C34">
            <v>9.51</v>
          </cell>
          <cell r="D34">
            <v>6.6160000000000005</v>
          </cell>
        </row>
        <row r="35">
          <cell r="B35">
            <v>40736</v>
          </cell>
          <cell r="C35">
            <v>9.5660000000000007</v>
          </cell>
          <cell r="D35">
            <v>7.2860000000000005</v>
          </cell>
        </row>
        <row r="36">
          <cell r="B36">
            <v>40735</v>
          </cell>
          <cell r="C36">
            <v>9.4559999999999995</v>
          </cell>
          <cell r="D36">
            <v>7.0890000000000004</v>
          </cell>
        </row>
        <row r="37">
          <cell r="B37">
            <v>40734</v>
          </cell>
          <cell r="C37">
            <v>9.2940000000000005</v>
          </cell>
          <cell r="D37">
            <v>6.7229999999999999</v>
          </cell>
        </row>
        <row r="38">
          <cell r="B38">
            <v>40733</v>
          </cell>
          <cell r="C38">
            <v>9.2940000000000005</v>
          </cell>
          <cell r="D38">
            <v>6.7229999999999999</v>
          </cell>
        </row>
        <row r="39">
          <cell r="B39">
            <v>40732</v>
          </cell>
          <cell r="C39">
            <v>9.2940000000000005</v>
          </cell>
          <cell r="D39">
            <v>6.7229999999999999</v>
          </cell>
        </row>
        <row r="40">
          <cell r="B40">
            <v>40731</v>
          </cell>
          <cell r="C40">
            <v>9.4600000000000009</v>
          </cell>
          <cell r="D40">
            <v>6.7430000000000003</v>
          </cell>
        </row>
        <row r="41">
          <cell r="B41">
            <v>40730</v>
          </cell>
          <cell r="C41">
            <v>9.7110000000000003</v>
          </cell>
          <cell r="D41">
            <v>7.21</v>
          </cell>
        </row>
        <row r="42">
          <cell r="B42">
            <v>40729</v>
          </cell>
          <cell r="C42">
            <v>9.6549999999999994</v>
          </cell>
          <cell r="D42">
            <v>6.7830000000000004</v>
          </cell>
        </row>
        <row r="43">
          <cell r="B43">
            <v>40728</v>
          </cell>
          <cell r="C43">
            <v>9.6840000000000011</v>
          </cell>
          <cell r="D43">
            <v>6.923</v>
          </cell>
        </row>
        <row r="44">
          <cell r="B44">
            <v>40727</v>
          </cell>
          <cell r="C44">
            <v>9.6859999999999999</v>
          </cell>
          <cell r="D44">
            <v>6.9370000000000003</v>
          </cell>
        </row>
        <row r="45">
          <cell r="B45">
            <v>40726</v>
          </cell>
          <cell r="C45">
            <v>9.6859999999999999</v>
          </cell>
          <cell r="D45">
            <v>6.9370000000000003</v>
          </cell>
        </row>
        <row r="46">
          <cell r="B46">
            <v>40725</v>
          </cell>
          <cell r="C46">
            <v>9.6859999999999999</v>
          </cell>
          <cell r="D46">
            <v>6.9370000000000003</v>
          </cell>
        </row>
        <row r="47">
          <cell r="B47">
            <v>40724</v>
          </cell>
          <cell r="C47">
            <v>9.9960000000000004</v>
          </cell>
          <cell r="D47">
            <v>6.9409999999999998</v>
          </cell>
        </row>
        <row r="48">
          <cell r="B48">
            <v>40723</v>
          </cell>
          <cell r="C48">
            <v>10.025</v>
          </cell>
          <cell r="D48">
            <v>6.9950000000000001</v>
          </cell>
        </row>
        <row r="49">
          <cell r="B49">
            <v>40722</v>
          </cell>
          <cell r="C49">
            <v>10.197000000000001</v>
          </cell>
          <cell r="D49">
            <v>6.9990000000000006</v>
          </cell>
        </row>
        <row r="50">
          <cell r="B50">
            <v>40721</v>
          </cell>
          <cell r="C50">
            <v>10.14</v>
          </cell>
          <cell r="D50">
            <v>7.0520000000000005</v>
          </cell>
        </row>
        <row r="51">
          <cell r="B51">
            <v>40720</v>
          </cell>
          <cell r="C51">
            <v>9.8879999999999999</v>
          </cell>
          <cell r="D51">
            <v>6.6310000000000002</v>
          </cell>
        </row>
        <row r="52">
          <cell r="B52">
            <v>40719</v>
          </cell>
          <cell r="C52">
            <v>9.8879999999999999</v>
          </cell>
          <cell r="D52">
            <v>6.6310000000000002</v>
          </cell>
        </row>
        <row r="53">
          <cell r="B53">
            <v>40718</v>
          </cell>
          <cell r="C53">
            <v>9.8879999999999999</v>
          </cell>
          <cell r="D53">
            <v>6.6310000000000002</v>
          </cell>
        </row>
        <row r="54">
          <cell r="B54">
            <v>40717</v>
          </cell>
          <cell r="C54">
            <v>9.8879999999999999</v>
          </cell>
          <cell r="D54">
            <v>6.65</v>
          </cell>
        </row>
        <row r="55">
          <cell r="B55">
            <v>40716</v>
          </cell>
          <cell r="C55">
            <v>9.8889999999999993</v>
          </cell>
          <cell r="D55">
            <v>6.6690000000000005</v>
          </cell>
        </row>
        <row r="56">
          <cell r="B56">
            <v>40715</v>
          </cell>
          <cell r="C56">
            <v>10.087</v>
          </cell>
          <cell r="D56">
            <v>6.8860000000000001</v>
          </cell>
        </row>
        <row r="57">
          <cell r="B57">
            <v>40714</v>
          </cell>
          <cell r="C57">
            <v>9.947000000000001</v>
          </cell>
          <cell r="D57">
            <v>7.0819999999999999</v>
          </cell>
        </row>
        <row r="58">
          <cell r="B58">
            <v>40713</v>
          </cell>
          <cell r="C58">
            <v>9.9209999999999994</v>
          </cell>
          <cell r="D58">
            <v>7.0949999999999998</v>
          </cell>
        </row>
        <row r="59">
          <cell r="B59">
            <v>40712</v>
          </cell>
          <cell r="C59">
            <v>9.9209999999999994</v>
          </cell>
          <cell r="D59">
            <v>7.0949999999999998</v>
          </cell>
        </row>
        <row r="60">
          <cell r="B60">
            <v>40711</v>
          </cell>
          <cell r="C60">
            <v>9.9209999999999994</v>
          </cell>
          <cell r="D60">
            <v>7.0949999999999998</v>
          </cell>
        </row>
        <row r="61">
          <cell r="B61">
            <v>40710</v>
          </cell>
          <cell r="C61">
            <v>9.9209999999999994</v>
          </cell>
          <cell r="D61">
            <v>7.1000000000000005</v>
          </cell>
        </row>
        <row r="62">
          <cell r="B62">
            <v>40709</v>
          </cell>
          <cell r="C62">
            <v>9.7550000000000008</v>
          </cell>
          <cell r="D62">
            <v>7.0090000000000003</v>
          </cell>
        </row>
        <row r="63">
          <cell r="B63">
            <v>40708</v>
          </cell>
          <cell r="C63">
            <v>9.7829999999999995</v>
          </cell>
          <cell r="D63">
            <v>6.9190000000000005</v>
          </cell>
        </row>
        <row r="64">
          <cell r="B64">
            <v>40707</v>
          </cell>
          <cell r="C64">
            <v>9.84</v>
          </cell>
          <cell r="D64">
            <v>7.1120000000000001</v>
          </cell>
        </row>
        <row r="65">
          <cell r="B65">
            <v>40706</v>
          </cell>
          <cell r="C65">
            <v>9.8140000000000001</v>
          </cell>
          <cell r="D65">
            <v>6.843</v>
          </cell>
        </row>
        <row r="66">
          <cell r="B66">
            <v>40705</v>
          </cell>
          <cell r="C66">
            <v>9.8140000000000001</v>
          </cell>
          <cell r="D66">
            <v>6.843</v>
          </cell>
        </row>
        <row r="67">
          <cell r="B67">
            <v>40704</v>
          </cell>
          <cell r="C67">
            <v>9.8140000000000001</v>
          </cell>
          <cell r="D67">
            <v>6.843</v>
          </cell>
        </row>
        <row r="68">
          <cell r="B68">
            <v>40703</v>
          </cell>
          <cell r="C68">
            <v>9.843</v>
          </cell>
          <cell r="D68">
            <v>7.1290000000000004</v>
          </cell>
        </row>
        <row r="69">
          <cell r="B69">
            <v>40702</v>
          </cell>
          <cell r="C69">
            <v>9.76</v>
          </cell>
          <cell r="D69">
            <v>7.133</v>
          </cell>
        </row>
        <row r="70">
          <cell r="B70">
            <v>40701</v>
          </cell>
          <cell r="C70">
            <v>9.6229999999999993</v>
          </cell>
          <cell r="D70">
            <v>6.95</v>
          </cell>
        </row>
        <row r="71">
          <cell r="B71">
            <v>40700</v>
          </cell>
          <cell r="C71">
            <v>9.5960000000000001</v>
          </cell>
          <cell r="D71">
            <v>6.9550000000000001</v>
          </cell>
        </row>
        <row r="72">
          <cell r="B72">
            <v>40699</v>
          </cell>
          <cell r="C72">
            <v>9.5990000000000002</v>
          </cell>
          <cell r="D72">
            <v>6.968</v>
          </cell>
        </row>
        <row r="73">
          <cell r="B73">
            <v>40698</v>
          </cell>
          <cell r="C73">
            <v>9.5990000000000002</v>
          </cell>
          <cell r="D73">
            <v>6.968</v>
          </cell>
        </row>
        <row r="74">
          <cell r="B74">
            <v>40697</v>
          </cell>
          <cell r="C74">
            <v>9.5990000000000002</v>
          </cell>
          <cell r="D74">
            <v>6.968</v>
          </cell>
        </row>
        <row r="75">
          <cell r="B75">
            <v>40696</v>
          </cell>
          <cell r="C75">
            <v>9.463000000000001</v>
          </cell>
          <cell r="D75">
            <v>6.88</v>
          </cell>
        </row>
        <row r="76">
          <cell r="B76">
            <v>40695</v>
          </cell>
          <cell r="C76">
            <v>9.3550000000000004</v>
          </cell>
          <cell r="D76">
            <v>6.7140000000000004</v>
          </cell>
        </row>
        <row r="77">
          <cell r="B77">
            <v>40694</v>
          </cell>
          <cell r="C77">
            <v>9.3830000000000009</v>
          </cell>
          <cell r="D77">
            <v>6.9809999999999999</v>
          </cell>
        </row>
        <row r="78">
          <cell r="B78">
            <v>40693</v>
          </cell>
          <cell r="C78">
            <v>9.4369999999999994</v>
          </cell>
          <cell r="D78">
            <v>6.9809999999999999</v>
          </cell>
        </row>
        <row r="79">
          <cell r="B79">
            <v>40692</v>
          </cell>
          <cell r="C79">
            <v>9.44</v>
          </cell>
          <cell r="D79">
            <v>6.9939999999999998</v>
          </cell>
        </row>
        <row r="80">
          <cell r="B80">
            <v>40691</v>
          </cell>
          <cell r="C80">
            <v>9.44</v>
          </cell>
          <cell r="D80">
            <v>6.9939999999999998</v>
          </cell>
        </row>
        <row r="81">
          <cell r="B81">
            <v>40690</v>
          </cell>
          <cell r="C81">
            <v>9.44</v>
          </cell>
          <cell r="D81">
            <v>6.9939999999999998</v>
          </cell>
        </row>
        <row r="82">
          <cell r="B82">
            <v>40689</v>
          </cell>
          <cell r="C82">
            <v>9.36</v>
          </cell>
          <cell r="D82">
            <v>7.09</v>
          </cell>
        </row>
        <row r="83">
          <cell r="B83">
            <v>40688</v>
          </cell>
          <cell r="C83">
            <v>9.4150000000000009</v>
          </cell>
          <cell r="D83">
            <v>6.9110000000000005</v>
          </cell>
        </row>
        <row r="84">
          <cell r="B84">
            <v>40687</v>
          </cell>
          <cell r="C84">
            <v>9.2539999999999996</v>
          </cell>
          <cell r="D84">
            <v>6.8239999999999998</v>
          </cell>
        </row>
        <row r="85">
          <cell r="B85">
            <v>40686</v>
          </cell>
          <cell r="C85">
            <v>9.39</v>
          </cell>
          <cell r="D85">
            <v>7.0110000000000001</v>
          </cell>
        </row>
        <row r="86">
          <cell r="B86">
            <v>40685</v>
          </cell>
          <cell r="C86">
            <v>9.2309999999999999</v>
          </cell>
          <cell r="D86">
            <v>6.843</v>
          </cell>
        </row>
        <row r="87">
          <cell r="B87">
            <v>40684</v>
          </cell>
          <cell r="C87">
            <v>9.2309999999999999</v>
          </cell>
          <cell r="D87">
            <v>6.843</v>
          </cell>
        </row>
        <row r="88">
          <cell r="B88">
            <v>40683</v>
          </cell>
          <cell r="C88">
            <v>9.2309999999999999</v>
          </cell>
          <cell r="D88">
            <v>6.843</v>
          </cell>
        </row>
        <row r="89">
          <cell r="B89">
            <v>40682</v>
          </cell>
          <cell r="C89">
            <v>9.2319999999999993</v>
          </cell>
          <cell r="D89">
            <v>6.343</v>
          </cell>
        </row>
        <row r="90">
          <cell r="B90">
            <v>40681</v>
          </cell>
          <cell r="C90">
            <v>9.34</v>
          </cell>
          <cell r="D90">
            <v>6.36</v>
          </cell>
        </row>
        <row r="91">
          <cell r="B91">
            <v>40680</v>
          </cell>
          <cell r="C91">
            <v>9.2070000000000007</v>
          </cell>
          <cell r="D91">
            <v>6.1040000000000001</v>
          </cell>
        </row>
        <row r="92">
          <cell r="B92">
            <v>40679</v>
          </cell>
          <cell r="C92">
            <v>9.1549999999999994</v>
          </cell>
          <cell r="D92">
            <v>5.8520000000000003</v>
          </cell>
        </row>
        <row r="93">
          <cell r="B93">
            <v>40678</v>
          </cell>
          <cell r="C93">
            <v>9.2650000000000006</v>
          </cell>
          <cell r="D93">
            <v>5.9110000000000005</v>
          </cell>
        </row>
        <row r="94">
          <cell r="B94">
            <v>40677</v>
          </cell>
          <cell r="C94">
            <v>9.2650000000000006</v>
          </cell>
          <cell r="D94">
            <v>5.9110000000000005</v>
          </cell>
        </row>
        <row r="95">
          <cell r="B95">
            <v>40676</v>
          </cell>
          <cell r="C95">
            <v>9.2650000000000006</v>
          </cell>
          <cell r="D95">
            <v>5.9110000000000005</v>
          </cell>
        </row>
        <row r="96">
          <cell r="B96">
            <v>40675</v>
          </cell>
          <cell r="C96">
            <v>9.3460000000000001</v>
          </cell>
          <cell r="D96">
            <v>5.93</v>
          </cell>
        </row>
        <row r="97">
          <cell r="B97">
            <v>40674</v>
          </cell>
          <cell r="C97">
            <v>9.4009999999999998</v>
          </cell>
          <cell r="D97">
            <v>6.476</v>
          </cell>
        </row>
        <row r="98">
          <cell r="B98">
            <v>40673</v>
          </cell>
          <cell r="C98">
            <v>9.3480000000000008</v>
          </cell>
          <cell r="D98">
            <v>6.3620000000000001</v>
          </cell>
        </row>
        <row r="99">
          <cell r="B99">
            <v>40672</v>
          </cell>
          <cell r="C99">
            <v>9.4030000000000005</v>
          </cell>
          <cell r="D99">
            <v>6.2469999999999999</v>
          </cell>
        </row>
        <row r="100">
          <cell r="B100">
            <v>40671</v>
          </cell>
          <cell r="C100">
            <v>9.4589999999999996</v>
          </cell>
          <cell r="D100">
            <v>5.7850000000000001</v>
          </cell>
        </row>
        <row r="101">
          <cell r="B101">
            <v>40670</v>
          </cell>
          <cell r="C101">
            <v>9.4589999999999996</v>
          </cell>
          <cell r="D101">
            <v>5.7850000000000001</v>
          </cell>
        </row>
        <row r="102">
          <cell r="B102">
            <v>40669</v>
          </cell>
          <cell r="C102">
            <v>9.4589999999999996</v>
          </cell>
          <cell r="D102">
            <v>5.7850000000000001</v>
          </cell>
        </row>
        <row r="103">
          <cell r="B103">
            <v>40668</v>
          </cell>
          <cell r="C103">
            <v>9.4600000000000009</v>
          </cell>
          <cell r="D103">
            <v>6.0590000000000002</v>
          </cell>
        </row>
        <row r="104">
          <cell r="B104">
            <v>40667</v>
          </cell>
          <cell r="C104">
            <v>9.4209999999999994</v>
          </cell>
          <cell r="D104">
            <v>6.077</v>
          </cell>
        </row>
        <row r="105">
          <cell r="B105">
            <v>40666</v>
          </cell>
          <cell r="C105">
            <v>9.4079999999999995</v>
          </cell>
          <cell r="D105">
            <v>5.8420000000000005</v>
          </cell>
        </row>
        <row r="106">
          <cell r="B106">
            <v>40665</v>
          </cell>
          <cell r="C106">
            <v>9.3559999999999999</v>
          </cell>
          <cell r="D106">
            <v>5.6109999999999998</v>
          </cell>
        </row>
        <row r="107">
          <cell r="B107">
            <v>40664</v>
          </cell>
          <cell r="C107">
            <v>9.4120000000000008</v>
          </cell>
          <cell r="D107">
            <v>6.16</v>
          </cell>
        </row>
        <row r="108">
          <cell r="B108">
            <v>40663</v>
          </cell>
          <cell r="C108">
            <v>9.4120000000000008</v>
          </cell>
          <cell r="D108">
            <v>6.16</v>
          </cell>
        </row>
        <row r="109">
          <cell r="B109">
            <v>40662</v>
          </cell>
          <cell r="C109">
            <v>9.4120000000000008</v>
          </cell>
          <cell r="D109">
            <v>6.16</v>
          </cell>
        </row>
        <row r="110">
          <cell r="B110">
            <v>40661</v>
          </cell>
          <cell r="C110">
            <v>9.6289999999999996</v>
          </cell>
          <cell r="D110">
            <v>6.1749999999999998</v>
          </cell>
        </row>
        <row r="111">
          <cell r="B111">
            <v>40660</v>
          </cell>
          <cell r="C111">
            <v>9.5760000000000005</v>
          </cell>
          <cell r="D111">
            <v>5.702</v>
          </cell>
        </row>
        <row r="112">
          <cell r="B112">
            <v>40659</v>
          </cell>
          <cell r="C112">
            <v>9.5229999999999997</v>
          </cell>
          <cell r="D112">
            <v>5.9610000000000003</v>
          </cell>
        </row>
        <row r="113">
          <cell r="B113">
            <v>40658</v>
          </cell>
          <cell r="C113">
            <v>9.5240000000000009</v>
          </cell>
          <cell r="D113">
            <v>5.2549999999999999</v>
          </cell>
        </row>
        <row r="114">
          <cell r="B114">
            <v>40657</v>
          </cell>
          <cell r="C114">
            <v>9.5809999999999995</v>
          </cell>
          <cell r="D114">
            <v>5.5650000000000004</v>
          </cell>
        </row>
        <row r="115">
          <cell r="B115">
            <v>40656</v>
          </cell>
          <cell r="C115">
            <v>9.5809999999999995</v>
          </cell>
          <cell r="D115">
            <v>5.5650000000000004</v>
          </cell>
        </row>
        <row r="116">
          <cell r="B116">
            <v>40655</v>
          </cell>
          <cell r="C116">
            <v>9.5809999999999995</v>
          </cell>
          <cell r="D116">
            <v>5.5650000000000004</v>
          </cell>
        </row>
        <row r="117">
          <cell r="B117">
            <v>40654</v>
          </cell>
          <cell r="C117">
            <v>9.5809999999999995</v>
          </cell>
          <cell r="D117">
            <v>5.5650000000000004</v>
          </cell>
        </row>
        <row r="118">
          <cell r="B118">
            <v>40653</v>
          </cell>
          <cell r="C118">
            <v>9.5820000000000007</v>
          </cell>
          <cell r="D118">
            <v>5.5830000000000002</v>
          </cell>
        </row>
        <row r="119">
          <cell r="B119">
            <v>40652</v>
          </cell>
          <cell r="C119">
            <v>9.6639999999999997</v>
          </cell>
          <cell r="D119">
            <v>5.8319999999999999</v>
          </cell>
        </row>
        <row r="120">
          <cell r="B120">
            <v>40651</v>
          </cell>
          <cell r="C120">
            <v>9.6379999999999999</v>
          </cell>
          <cell r="D120">
            <v>5.6160000000000005</v>
          </cell>
        </row>
        <row r="121">
          <cell r="B121">
            <v>40650</v>
          </cell>
          <cell r="C121">
            <v>9.6950000000000003</v>
          </cell>
          <cell r="D121">
            <v>5.4379999999999997</v>
          </cell>
        </row>
        <row r="122">
          <cell r="B122">
            <v>40649</v>
          </cell>
          <cell r="C122">
            <v>9.6950000000000003</v>
          </cell>
          <cell r="D122">
            <v>5.4379999999999997</v>
          </cell>
        </row>
        <row r="123">
          <cell r="B123">
            <v>40648</v>
          </cell>
          <cell r="C123">
            <v>9.6950000000000003</v>
          </cell>
          <cell r="D123">
            <v>5.4379999999999997</v>
          </cell>
        </row>
        <row r="124">
          <cell r="B124">
            <v>40647</v>
          </cell>
          <cell r="C124">
            <v>9.75</v>
          </cell>
          <cell r="D124">
            <v>5.4550000000000001</v>
          </cell>
        </row>
        <row r="125">
          <cell r="B125">
            <v>40646</v>
          </cell>
          <cell r="C125">
            <v>9.9689999999999994</v>
          </cell>
          <cell r="D125">
            <v>5.4720000000000004</v>
          </cell>
        </row>
        <row r="126">
          <cell r="B126">
            <v>40645</v>
          </cell>
          <cell r="C126">
            <v>10.025</v>
          </cell>
          <cell r="D126">
            <v>5.2649999999999997</v>
          </cell>
        </row>
        <row r="127">
          <cell r="B127">
            <v>40644</v>
          </cell>
          <cell r="C127">
            <v>10.136000000000001</v>
          </cell>
          <cell r="D127">
            <v>5.5060000000000002</v>
          </cell>
        </row>
        <row r="128">
          <cell r="B128">
            <v>40643</v>
          </cell>
          <cell r="C128">
            <v>12.620000000000001</v>
          </cell>
          <cell r="D128">
            <v>7.0940000000000003</v>
          </cell>
        </row>
        <row r="129">
          <cell r="B129">
            <v>40642</v>
          </cell>
          <cell r="C129">
            <v>12.620000000000001</v>
          </cell>
          <cell r="D129">
            <v>7.0940000000000003</v>
          </cell>
        </row>
        <row r="130">
          <cell r="B130">
            <v>40641</v>
          </cell>
          <cell r="C130">
            <v>12.620000000000001</v>
          </cell>
          <cell r="D130">
            <v>7.0940000000000003</v>
          </cell>
        </row>
        <row r="131">
          <cell r="B131">
            <v>40640</v>
          </cell>
          <cell r="C131">
            <v>12.620000000000001</v>
          </cell>
          <cell r="D131">
            <v>7.0970000000000004</v>
          </cell>
        </row>
        <row r="132">
          <cell r="B132">
            <v>40639</v>
          </cell>
          <cell r="C132">
            <v>12.646000000000001</v>
          </cell>
          <cell r="D132">
            <v>7.101</v>
          </cell>
        </row>
        <row r="133">
          <cell r="B133">
            <v>40638</v>
          </cell>
          <cell r="C133">
            <v>12.832000000000001</v>
          </cell>
          <cell r="D133">
            <v>7.1040000000000001</v>
          </cell>
        </row>
        <row r="134">
          <cell r="B134">
            <v>40637</v>
          </cell>
          <cell r="C134">
            <v>12.858000000000001</v>
          </cell>
          <cell r="D134">
            <v>7.1909999999999998</v>
          </cell>
        </row>
        <row r="135">
          <cell r="B135">
            <v>40636</v>
          </cell>
          <cell r="C135">
            <v>13.073</v>
          </cell>
          <cell r="D135">
            <v>7.7030000000000003</v>
          </cell>
        </row>
        <row r="136">
          <cell r="B136">
            <v>40635</v>
          </cell>
          <cell r="C136">
            <v>13.073</v>
          </cell>
          <cell r="D136">
            <v>7.7030000000000003</v>
          </cell>
        </row>
        <row r="137">
          <cell r="B137">
            <v>40634</v>
          </cell>
          <cell r="C137">
            <v>13.073</v>
          </cell>
          <cell r="D137">
            <v>7.7030000000000003</v>
          </cell>
        </row>
        <row r="138">
          <cell r="B138">
            <v>40633</v>
          </cell>
          <cell r="C138">
            <v>13.073</v>
          </cell>
          <cell r="D138">
            <v>7.7050000000000001</v>
          </cell>
        </row>
        <row r="139">
          <cell r="B139">
            <v>40632</v>
          </cell>
          <cell r="C139">
            <v>13.182</v>
          </cell>
          <cell r="D139">
            <v>7.8730000000000002</v>
          </cell>
        </row>
        <row r="140">
          <cell r="B140">
            <v>40631</v>
          </cell>
          <cell r="C140">
            <v>13.236000000000001</v>
          </cell>
          <cell r="D140">
            <v>7.6240000000000006</v>
          </cell>
        </row>
        <row r="141">
          <cell r="B141">
            <v>40630</v>
          </cell>
          <cell r="C141">
            <v>13.208</v>
          </cell>
          <cell r="D141">
            <v>7.6260000000000003</v>
          </cell>
        </row>
        <row r="142">
          <cell r="B142">
            <v>40629</v>
          </cell>
          <cell r="C142">
            <v>13.234999999999999</v>
          </cell>
          <cell r="D142">
            <v>7.7160000000000002</v>
          </cell>
        </row>
        <row r="143">
          <cell r="B143">
            <v>40628</v>
          </cell>
          <cell r="C143">
            <v>13.234999999999999</v>
          </cell>
          <cell r="D143">
            <v>7.7160000000000002</v>
          </cell>
        </row>
        <row r="144">
          <cell r="B144">
            <v>40627</v>
          </cell>
          <cell r="C144">
            <v>13.234999999999999</v>
          </cell>
          <cell r="D144">
            <v>7.7160000000000002</v>
          </cell>
        </row>
        <row r="145">
          <cell r="B145">
            <v>40626</v>
          </cell>
          <cell r="C145">
            <v>13.234999999999999</v>
          </cell>
          <cell r="D145">
            <v>7.7190000000000003</v>
          </cell>
        </row>
        <row r="146">
          <cell r="B146">
            <v>40625</v>
          </cell>
          <cell r="C146">
            <v>13.234</v>
          </cell>
          <cell r="D146">
            <v>7.8040000000000003</v>
          </cell>
        </row>
        <row r="147">
          <cell r="B147">
            <v>40624</v>
          </cell>
          <cell r="C147">
            <v>13.18</v>
          </cell>
          <cell r="D147">
            <v>7.7229999999999999</v>
          </cell>
        </row>
        <row r="148">
          <cell r="B148">
            <v>40623</v>
          </cell>
          <cell r="C148">
            <v>13.125</v>
          </cell>
          <cell r="D148">
            <v>7.7250000000000005</v>
          </cell>
        </row>
        <row r="149">
          <cell r="B149">
            <v>40622</v>
          </cell>
          <cell r="C149">
            <v>13.233000000000001</v>
          </cell>
          <cell r="D149">
            <v>7.5680000000000005</v>
          </cell>
        </row>
        <row r="150">
          <cell r="B150">
            <v>40621</v>
          </cell>
          <cell r="C150">
            <v>13.233000000000001</v>
          </cell>
          <cell r="D150">
            <v>7.5680000000000005</v>
          </cell>
        </row>
        <row r="151">
          <cell r="B151">
            <v>40620</v>
          </cell>
          <cell r="C151">
            <v>13.233000000000001</v>
          </cell>
          <cell r="D151">
            <v>7.5680000000000005</v>
          </cell>
        </row>
        <row r="152">
          <cell r="B152">
            <v>40619</v>
          </cell>
          <cell r="C152">
            <v>13.233000000000001</v>
          </cell>
          <cell r="D152">
            <v>7.8170000000000002</v>
          </cell>
        </row>
        <row r="153">
          <cell r="B153">
            <v>40618</v>
          </cell>
          <cell r="C153">
            <v>13.124000000000001</v>
          </cell>
          <cell r="D153">
            <v>7.9009999999999998</v>
          </cell>
        </row>
        <row r="154">
          <cell r="B154">
            <v>40617</v>
          </cell>
          <cell r="C154">
            <v>13.016</v>
          </cell>
          <cell r="D154">
            <v>7.9030000000000005</v>
          </cell>
        </row>
        <row r="155">
          <cell r="B155">
            <v>40616</v>
          </cell>
          <cell r="C155">
            <v>12.856</v>
          </cell>
          <cell r="D155">
            <v>7.415</v>
          </cell>
        </row>
        <row r="156">
          <cell r="B156">
            <v>40615</v>
          </cell>
          <cell r="C156">
            <v>12.802</v>
          </cell>
          <cell r="D156">
            <v>7.2610000000000001</v>
          </cell>
        </row>
        <row r="157">
          <cell r="B157">
            <v>40614</v>
          </cell>
          <cell r="C157">
            <v>12.802</v>
          </cell>
          <cell r="D157">
            <v>7.2610000000000001</v>
          </cell>
        </row>
        <row r="158">
          <cell r="B158">
            <v>40613</v>
          </cell>
          <cell r="C158">
            <v>12.802</v>
          </cell>
          <cell r="D158">
            <v>7.2610000000000001</v>
          </cell>
        </row>
        <row r="159">
          <cell r="B159">
            <v>40612</v>
          </cell>
          <cell r="C159">
            <v>12.488</v>
          </cell>
          <cell r="D159">
            <v>6.8630000000000004</v>
          </cell>
        </row>
        <row r="160">
          <cell r="B160">
            <v>40611</v>
          </cell>
          <cell r="C160">
            <v>12.411</v>
          </cell>
          <cell r="D160">
            <v>6.5490000000000004</v>
          </cell>
        </row>
        <row r="161">
          <cell r="B161">
            <v>40610</v>
          </cell>
          <cell r="C161">
            <v>12.359</v>
          </cell>
          <cell r="D161">
            <v>5.7889999999999997</v>
          </cell>
        </row>
        <row r="162">
          <cell r="B162">
            <v>40609</v>
          </cell>
          <cell r="C162">
            <v>12.333</v>
          </cell>
          <cell r="D162">
            <v>5.9930000000000003</v>
          </cell>
        </row>
        <row r="163">
          <cell r="B163">
            <v>40608</v>
          </cell>
          <cell r="C163">
            <v>12.282</v>
          </cell>
          <cell r="D163">
            <v>6.4080000000000004</v>
          </cell>
        </row>
        <row r="164">
          <cell r="B164">
            <v>40607</v>
          </cell>
          <cell r="C164">
            <v>12.282</v>
          </cell>
          <cell r="D164">
            <v>6.4080000000000004</v>
          </cell>
        </row>
        <row r="165">
          <cell r="B165">
            <v>40606</v>
          </cell>
          <cell r="C165">
            <v>12.282</v>
          </cell>
          <cell r="D165">
            <v>6.4080000000000004</v>
          </cell>
        </row>
        <row r="166">
          <cell r="B166">
            <v>40605</v>
          </cell>
          <cell r="C166">
            <v>12.231</v>
          </cell>
          <cell r="D166">
            <v>6.4190000000000005</v>
          </cell>
        </row>
        <row r="167">
          <cell r="B167">
            <v>40604</v>
          </cell>
          <cell r="C167">
            <v>12.282</v>
          </cell>
          <cell r="D167">
            <v>6.2410000000000005</v>
          </cell>
        </row>
        <row r="168">
          <cell r="B168">
            <v>40603</v>
          </cell>
          <cell r="C168">
            <v>12.155000000000001</v>
          </cell>
          <cell r="D168">
            <v>6.4390000000000001</v>
          </cell>
        </row>
        <row r="169">
          <cell r="B169">
            <v>40602</v>
          </cell>
          <cell r="C169">
            <v>12.231</v>
          </cell>
          <cell r="D169">
            <v>7.1360000000000001</v>
          </cell>
        </row>
        <row r="170">
          <cell r="B170">
            <v>40601</v>
          </cell>
          <cell r="C170">
            <v>12.105</v>
          </cell>
          <cell r="D170">
            <v>7.0730000000000004</v>
          </cell>
        </row>
        <row r="171">
          <cell r="B171">
            <v>40600</v>
          </cell>
          <cell r="C171">
            <v>12.105</v>
          </cell>
          <cell r="D171">
            <v>7.0730000000000004</v>
          </cell>
        </row>
        <row r="172">
          <cell r="B172">
            <v>40599</v>
          </cell>
          <cell r="C172">
            <v>12.105</v>
          </cell>
          <cell r="D172">
            <v>7.0730000000000004</v>
          </cell>
        </row>
        <row r="173">
          <cell r="B173">
            <v>40598</v>
          </cell>
          <cell r="C173">
            <v>12.334</v>
          </cell>
          <cell r="D173">
            <v>7.2330000000000005</v>
          </cell>
        </row>
        <row r="174">
          <cell r="B174">
            <v>40597</v>
          </cell>
          <cell r="C174">
            <v>12.181000000000001</v>
          </cell>
          <cell r="D174">
            <v>7.3140000000000001</v>
          </cell>
        </row>
        <row r="175">
          <cell r="B175">
            <v>40596</v>
          </cell>
          <cell r="C175">
            <v>12.055</v>
          </cell>
          <cell r="D175">
            <v>7.0049999999999999</v>
          </cell>
        </row>
        <row r="176">
          <cell r="B176">
            <v>40595</v>
          </cell>
          <cell r="C176">
            <v>12.232000000000001</v>
          </cell>
          <cell r="D176">
            <v>6.8529999999999998</v>
          </cell>
        </row>
        <row r="177">
          <cell r="B177">
            <v>40594</v>
          </cell>
          <cell r="C177">
            <v>12.232000000000001</v>
          </cell>
          <cell r="D177">
            <v>6.8630000000000004</v>
          </cell>
        </row>
        <row r="178">
          <cell r="B178">
            <v>40593</v>
          </cell>
          <cell r="C178">
            <v>12.232000000000001</v>
          </cell>
          <cell r="D178">
            <v>6.8630000000000004</v>
          </cell>
        </row>
        <row r="179">
          <cell r="B179">
            <v>40592</v>
          </cell>
          <cell r="C179">
            <v>12.232000000000001</v>
          </cell>
          <cell r="D179">
            <v>6.8630000000000004</v>
          </cell>
        </row>
        <row r="180">
          <cell r="B180">
            <v>40591</v>
          </cell>
          <cell r="C180">
            <v>12.181000000000001</v>
          </cell>
          <cell r="D180">
            <v>7.1760000000000002</v>
          </cell>
        </row>
        <row r="181">
          <cell r="B181">
            <v>40590</v>
          </cell>
          <cell r="C181">
            <v>12.282999999999999</v>
          </cell>
          <cell r="D181">
            <v>7.2560000000000002</v>
          </cell>
        </row>
        <row r="182">
          <cell r="B182">
            <v>40589</v>
          </cell>
          <cell r="C182">
            <v>12.334</v>
          </cell>
          <cell r="D182">
            <v>7.3369999999999997</v>
          </cell>
        </row>
        <row r="183">
          <cell r="B183">
            <v>40588</v>
          </cell>
          <cell r="C183">
            <v>12.282999999999999</v>
          </cell>
          <cell r="D183">
            <v>7.65</v>
          </cell>
        </row>
        <row r="184">
          <cell r="B184">
            <v>40587</v>
          </cell>
          <cell r="C184">
            <v>12.282999999999999</v>
          </cell>
          <cell r="D184">
            <v>7.3479999999999999</v>
          </cell>
        </row>
        <row r="185">
          <cell r="B185">
            <v>40586</v>
          </cell>
          <cell r="C185">
            <v>12.282999999999999</v>
          </cell>
          <cell r="D185">
            <v>7.3479999999999999</v>
          </cell>
        </row>
        <row r="186">
          <cell r="B186">
            <v>40585</v>
          </cell>
          <cell r="C186">
            <v>12.282999999999999</v>
          </cell>
          <cell r="D186">
            <v>7.3479999999999999</v>
          </cell>
        </row>
        <row r="187">
          <cell r="B187">
            <v>40584</v>
          </cell>
          <cell r="C187">
            <v>12.282999999999999</v>
          </cell>
          <cell r="D187">
            <v>7.5049999999999999</v>
          </cell>
        </row>
        <row r="188">
          <cell r="B188">
            <v>40583</v>
          </cell>
          <cell r="C188">
            <v>12.081</v>
          </cell>
          <cell r="D188">
            <v>7.2</v>
          </cell>
        </row>
        <row r="189">
          <cell r="B189">
            <v>40582</v>
          </cell>
          <cell r="C189">
            <v>11.982000000000001</v>
          </cell>
          <cell r="D189">
            <v>7.3559999999999999</v>
          </cell>
        </row>
        <row r="190">
          <cell r="B190">
            <v>40581</v>
          </cell>
          <cell r="C190">
            <v>12.032</v>
          </cell>
          <cell r="D190">
            <v>7.8209999999999997</v>
          </cell>
        </row>
        <row r="191">
          <cell r="B191">
            <v>40580</v>
          </cell>
          <cell r="C191">
            <v>12.385</v>
          </cell>
          <cell r="D191">
            <v>8.0590000000000011</v>
          </cell>
        </row>
        <row r="192">
          <cell r="B192">
            <v>40579</v>
          </cell>
          <cell r="C192">
            <v>12.385</v>
          </cell>
          <cell r="D192">
            <v>8.0590000000000011</v>
          </cell>
        </row>
        <row r="193">
          <cell r="B193">
            <v>40578</v>
          </cell>
          <cell r="C193">
            <v>12.385</v>
          </cell>
          <cell r="D193">
            <v>8.0590000000000011</v>
          </cell>
        </row>
        <row r="194">
          <cell r="B194">
            <v>40577</v>
          </cell>
          <cell r="C194">
            <v>12.411</v>
          </cell>
          <cell r="D194">
            <v>8.293000000000001</v>
          </cell>
        </row>
        <row r="195">
          <cell r="B195">
            <v>40576</v>
          </cell>
          <cell r="C195">
            <v>12.411</v>
          </cell>
          <cell r="D195">
            <v>8.3719999999999999</v>
          </cell>
        </row>
        <row r="196">
          <cell r="B196">
            <v>40575</v>
          </cell>
          <cell r="C196">
            <v>12.436999999999999</v>
          </cell>
          <cell r="D196">
            <v>8.4499999999999993</v>
          </cell>
        </row>
        <row r="197">
          <cell r="B197">
            <v>40574</v>
          </cell>
          <cell r="C197">
            <v>12.488</v>
          </cell>
          <cell r="D197">
            <v>8.452</v>
          </cell>
        </row>
        <row r="198">
          <cell r="B198">
            <v>40573</v>
          </cell>
          <cell r="C198" t="e">
            <v>#N/A</v>
          </cell>
          <cell r="D198">
            <v>8.4540000000000006</v>
          </cell>
        </row>
        <row r="199">
          <cell r="B199">
            <v>40572</v>
          </cell>
          <cell r="C199" t="e">
            <v>#N/A</v>
          </cell>
          <cell r="D199">
            <v>8.4540000000000006</v>
          </cell>
        </row>
        <row r="200">
          <cell r="B200">
            <v>40571</v>
          </cell>
          <cell r="C200" t="e">
            <v>#N/A</v>
          </cell>
          <cell r="D200">
            <v>8.4540000000000006</v>
          </cell>
        </row>
        <row r="201">
          <cell r="B201">
            <v>40570</v>
          </cell>
          <cell r="C201" t="e">
            <v>#N/A</v>
          </cell>
          <cell r="D201">
            <v>8.61</v>
          </cell>
        </row>
        <row r="202">
          <cell r="B202">
            <v>40569</v>
          </cell>
          <cell r="C202" t="e">
            <v>#N/A</v>
          </cell>
          <cell r="D202">
            <v>8.6110000000000007</v>
          </cell>
        </row>
        <row r="203">
          <cell r="B203">
            <v>40568</v>
          </cell>
          <cell r="C203" t="e">
            <v>#N/A</v>
          </cell>
          <cell r="D203">
            <v>8.766</v>
          </cell>
        </row>
        <row r="204">
          <cell r="B204">
            <v>40567</v>
          </cell>
          <cell r="C204" t="e">
            <v>#N/A</v>
          </cell>
          <cell r="D204">
            <v>8.7669999999999995</v>
          </cell>
        </row>
        <row r="205">
          <cell r="B205">
            <v>40566</v>
          </cell>
          <cell r="C205" t="e">
            <v>#N/A</v>
          </cell>
          <cell r="D205">
            <v>9.1560000000000006</v>
          </cell>
        </row>
        <row r="206">
          <cell r="B206">
            <v>40565</v>
          </cell>
          <cell r="C206" t="e">
            <v>#N/A</v>
          </cell>
          <cell r="D206">
            <v>9.1560000000000006</v>
          </cell>
        </row>
        <row r="207">
          <cell r="B207">
            <v>40564</v>
          </cell>
          <cell r="C207" t="e">
            <v>#N/A</v>
          </cell>
          <cell r="D207">
            <v>9.1560000000000006</v>
          </cell>
        </row>
        <row r="208">
          <cell r="B208">
            <v>40563</v>
          </cell>
          <cell r="C208" t="e">
            <v>#N/A</v>
          </cell>
          <cell r="D208">
            <v>9.1560000000000006</v>
          </cell>
        </row>
        <row r="209">
          <cell r="B209">
            <v>40562</v>
          </cell>
          <cell r="C209" t="e">
            <v>#N/A</v>
          </cell>
          <cell r="D209">
            <v>9.0790000000000006</v>
          </cell>
        </row>
        <row r="210">
          <cell r="B210">
            <v>40561</v>
          </cell>
          <cell r="C210" t="e">
            <v>#N/A</v>
          </cell>
          <cell r="D210">
            <v>9.0790000000000006</v>
          </cell>
        </row>
        <row r="211">
          <cell r="B211">
            <v>40560</v>
          </cell>
          <cell r="C211" t="e">
            <v>#N/A</v>
          </cell>
          <cell r="D211">
            <v>9.08</v>
          </cell>
        </row>
        <row r="212">
          <cell r="B212">
            <v>40559</v>
          </cell>
          <cell r="C212" t="e">
            <v>#N/A</v>
          </cell>
          <cell r="D212">
            <v>9.0809999999999995</v>
          </cell>
        </row>
        <row r="213">
          <cell r="B213">
            <v>40558</v>
          </cell>
          <cell r="C213" t="e">
            <v>#N/A</v>
          </cell>
          <cell r="D213">
            <v>9.0809999999999995</v>
          </cell>
        </row>
        <row r="214">
          <cell r="B214">
            <v>40557</v>
          </cell>
          <cell r="C214" t="e">
            <v>#N/A</v>
          </cell>
          <cell r="D214">
            <v>9.0809999999999995</v>
          </cell>
        </row>
        <row r="215">
          <cell r="B215">
            <v>40556</v>
          </cell>
          <cell r="C215" t="e">
            <v>#N/A</v>
          </cell>
          <cell r="D215">
            <v>8.8510000000000009</v>
          </cell>
        </row>
        <row r="216">
          <cell r="B216">
            <v>40555</v>
          </cell>
          <cell r="C216" t="e">
            <v>#N/A</v>
          </cell>
          <cell r="D216">
            <v>8.6240000000000006</v>
          </cell>
        </row>
        <row r="217">
          <cell r="B217">
            <v>40554</v>
          </cell>
          <cell r="C217" t="e">
            <v>#N/A</v>
          </cell>
          <cell r="D217">
            <v>8.9290000000000003</v>
          </cell>
        </row>
        <row r="218">
          <cell r="B218">
            <v>40553</v>
          </cell>
          <cell r="C218" t="e">
            <v>#N/A</v>
          </cell>
          <cell r="D218">
            <v>9.322000000000001</v>
          </cell>
        </row>
        <row r="219">
          <cell r="B219">
            <v>40552</v>
          </cell>
          <cell r="C219" t="e">
            <v>#N/A</v>
          </cell>
          <cell r="D219">
            <v>9.322000000000001</v>
          </cell>
        </row>
        <row r="220">
          <cell r="B220">
            <v>40551</v>
          </cell>
          <cell r="C220" t="e">
            <v>#N/A</v>
          </cell>
          <cell r="D220">
            <v>9.322000000000001</v>
          </cell>
        </row>
        <row r="221">
          <cell r="B221">
            <v>40550</v>
          </cell>
          <cell r="C221" t="e">
            <v>#N/A</v>
          </cell>
          <cell r="D221">
            <v>9.322000000000001</v>
          </cell>
        </row>
        <row r="222">
          <cell r="B222">
            <v>40549</v>
          </cell>
          <cell r="C222" t="e">
            <v>#N/A</v>
          </cell>
          <cell r="D222">
            <v>9.2349999999999994</v>
          </cell>
        </row>
        <row r="223">
          <cell r="B223">
            <v>40548</v>
          </cell>
          <cell r="C223" t="e">
            <v>#N/A</v>
          </cell>
          <cell r="D223">
            <v>9.2349999999999994</v>
          </cell>
        </row>
        <row r="224">
          <cell r="B224">
            <v>40547</v>
          </cell>
          <cell r="C224" t="e">
            <v>#N/A</v>
          </cell>
          <cell r="D224">
            <v>9.2349999999999994</v>
          </cell>
        </row>
        <row r="225">
          <cell r="B225">
            <v>40546</v>
          </cell>
          <cell r="C225" t="e">
            <v>#N/A</v>
          </cell>
          <cell r="D225">
            <v>9.4009999999999998</v>
          </cell>
        </row>
        <row r="226">
          <cell r="B226">
            <v>40545</v>
          </cell>
          <cell r="C226" t="e">
            <v>#N/A</v>
          </cell>
          <cell r="D226">
            <v>9.48</v>
          </cell>
        </row>
        <row r="227">
          <cell r="B227">
            <v>40544</v>
          </cell>
          <cell r="C227" t="e">
            <v>#N/A</v>
          </cell>
          <cell r="D227">
            <v>9.48</v>
          </cell>
        </row>
      </sheetData>
      <sheetData sheetId="6" refreshError="1"/>
      <sheetData sheetId="7" refreshError="1">
        <row r="2">
          <cell r="B2" t="str">
            <v>Regulatory / Other Required Approvals</v>
          </cell>
        </row>
        <row r="3">
          <cell r="B3" t="str">
            <v>Approval Entity</v>
          </cell>
          <cell r="D3" t="str">
            <v>Purpose / Reason</v>
          </cell>
          <cell r="F3" t="str">
            <v>Status</v>
          </cell>
        </row>
        <row r="4">
          <cell r="B4" t="str">
            <v>Department of Justice (DOJ) / Federal Trade Commission (FTC)</v>
          </cell>
          <cell r="C4" t="str">
            <v xml:space="preserve">•
</v>
          </cell>
          <cell r="D4" t="str">
            <v xml:space="preserve">US antitrust clearance.  In regards to Hart-Scott-Rodino Antitrust Improvements Act of 1976 </v>
          </cell>
          <cell r="E4" t="str">
            <v xml:space="preserve">•
</v>
          </cell>
          <cell r="F4" t="str">
            <v>7/12/11: LVLT receives DOJ request for additional information</v>
          </cell>
        </row>
        <row r="5">
          <cell r="B5" t="str">
            <v>Federal Communications Commission (FCC)</v>
          </cell>
          <cell r="C5" t="str">
            <v xml:space="preserve">•
•
</v>
          </cell>
          <cell r="D5" t="str">
            <v>GLBC seeks approval for the change of control (Sections 214 and 310(d) of the Communications Act of 1934, Cable Landing License Act of 1921)
LVLT petitioning section 310(b)(4) of the Communications Act</v>
          </cell>
          <cell r="E5" t="str">
            <v xml:space="preserve">•
•
•
</v>
          </cell>
          <cell r="F5" t="str">
            <v>6/9/11: FCC review clock began
7/26/11: GLBC files a response to a request for information
7/28/11: LVLT files updated information for the record</v>
          </cell>
        </row>
        <row r="6">
          <cell r="B6" t="str">
            <v>Committee on Foreign Investment (CFIUS)</v>
          </cell>
          <cell r="C6" t="str">
            <v xml:space="preserve">•
•
•
•
</v>
          </cell>
          <cell r="D6" t="str">
            <v>Regarding Section 721 of the Defense Production Act
GLBC's top shareholder, STT Communications Ltd, is a foreign entity based in Singapore. 
STT will become a significant shareholder in LVLT.
CFIUS needs to approval any changes of ownership of a US compan</v>
          </cell>
          <cell r="E6" t="str">
            <v>•</v>
          </cell>
          <cell r="F6" t="str">
            <v>GLBC and LVLT filed a joint filing</v>
          </cell>
        </row>
        <row r="7">
          <cell r="B7" t="str">
            <v>Foreign regulatory authorities</v>
          </cell>
          <cell r="C7" t="str">
            <v xml:space="preserve">•
</v>
          </cell>
          <cell r="D7" t="str">
            <v>Approval for change of ownership by various foreign regulatory authorities of businesses that are controlled by GLBC and LVLT abroad</v>
          </cell>
          <cell r="F7" t="str">
            <v>ü</v>
          </cell>
        </row>
        <row r="8">
          <cell r="B8" t="str">
            <v>State regulatory authorities</v>
          </cell>
          <cell r="C8" t="str">
            <v xml:space="preserve">•
</v>
          </cell>
          <cell r="D8" t="str">
            <v>Approval for change of ownership by various state regulatory authorities</v>
          </cell>
          <cell r="F8" t="str">
            <v>ü</v>
          </cell>
        </row>
        <row r="9">
          <cell r="B9" t="str">
            <v>GLBC and LVLT Shareholder Approvals</v>
          </cell>
          <cell r="C9" t="str">
            <v>•</v>
          </cell>
          <cell r="D9" t="str">
            <v>Customary approvals for transactions</v>
          </cell>
          <cell r="F9" t="str">
            <v>ü</v>
          </cell>
        </row>
      </sheetData>
      <sheetData sheetId="8" refreshError="1">
        <row r="4">
          <cell r="B4" t="str">
            <v>North America</v>
          </cell>
          <cell r="C4">
            <v>3570</v>
          </cell>
        </row>
        <row r="5">
          <cell r="B5" t="str">
            <v>Europe</v>
          </cell>
          <cell r="C5">
            <v>939</v>
          </cell>
        </row>
        <row r="6">
          <cell r="B6" t="str">
            <v>Latin America</v>
          </cell>
          <cell r="C6">
            <v>597</v>
          </cell>
        </row>
        <row r="8">
          <cell r="B8" t="str">
            <v>Enterprise</v>
          </cell>
          <cell r="C8">
            <v>2856</v>
          </cell>
        </row>
        <row r="9">
          <cell r="B9" t="str">
            <v>Wholesale</v>
          </cell>
          <cell r="C9">
            <v>2250</v>
          </cell>
        </row>
        <row r="13">
          <cell r="E13" t="str">
            <v>Diverse Geography</v>
          </cell>
          <cell r="H13" t="str">
            <v>Balanced Customer Base</v>
          </cell>
        </row>
      </sheetData>
      <sheetData sheetId="9" refreshError="1">
        <row r="2">
          <cell r="A2" t="str">
            <v>Level 3 Communications, Inc.</v>
          </cell>
        </row>
        <row r="3">
          <cell r="A3" t="str">
            <v xml:space="preserve"> </v>
          </cell>
          <cell r="B3" t="str">
            <v xml:space="preserve"> </v>
          </cell>
          <cell r="C3" t="str">
            <v xml:space="preserve"> </v>
          </cell>
          <cell r="D3" t="str">
            <v xml:space="preserve"> </v>
          </cell>
          <cell r="E3" t="str">
            <v xml:space="preserve"> </v>
          </cell>
          <cell r="F3" t="str">
            <v xml:space="preserve"> </v>
          </cell>
          <cell r="G3" t="str">
            <v xml:space="preserve"> </v>
          </cell>
          <cell r="H3" t="str">
            <v xml:space="preserve"> </v>
          </cell>
          <cell r="I3" t="str">
            <v>Industry M&amp;A Reports</v>
          </cell>
          <cell r="J3" t="str">
            <v>Build M&amp;A Travelbook</v>
          </cell>
        </row>
        <row r="4">
          <cell r="A4" t="str">
            <v>Deal Activity Chart from August 11, 2010 to August 11, 2011</v>
          </cell>
        </row>
        <row r="16">
          <cell r="J16" t="str">
            <v>Source: FactSet Prices / FactSet Mergerstat</v>
          </cell>
        </row>
        <row r="17">
          <cell r="A17" t="str">
            <v>M&amp;A Summary</v>
          </cell>
          <cell r="H17" t="str">
            <v>Entity Structure</v>
          </cell>
          <cell r="I17" t="str">
            <v>link</v>
          </cell>
          <cell r="J17" t="str">
            <v>link</v>
          </cell>
        </row>
        <row r="18">
          <cell r="A18" t="str">
            <v>All monetary values in millions of U.S. Dollars</v>
          </cell>
          <cell r="H18" t="str">
            <v>Ultimate Parent: Level 3 Communications, Inc.</v>
          </cell>
        </row>
        <row r="19">
          <cell r="A19" t="str">
            <v>LTM Deals (1)</v>
          </cell>
          <cell r="B19" t="str">
            <v>1,411.9</v>
          </cell>
          <cell r="C19" t="str">
            <v>All Deals (59)</v>
          </cell>
          <cell r="D19" t="str">
            <v>8,544.6</v>
          </cell>
          <cell r="E19" t="str">
            <v xml:space="preserve"> </v>
          </cell>
          <cell r="F19" t="str">
            <v xml:space="preserve"> </v>
          </cell>
          <cell r="H19" t="str">
            <v>Broadwing Financial Services, Inc. (Subsidiary)</v>
          </cell>
        </row>
        <row r="20">
          <cell r="A20" t="str">
            <v>As Buyer / Seller</v>
          </cell>
          <cell r="B20" t="str">
            <v>1 / 0</v>
          </cell>
          <cell r="C20" t="str">
            <v>As Buyer / Seller</v>
          </cell>
          <cell r="D20" t="str">
            <v>42 / 17</v>
          </cell>
          <cell r="H20" t="str">
            <v>BusinessNet Ltd (Subsidiary)</v>
          </cell>
        </row>
        <row r="21">
          <cell r="A21" t="str">
            <v>Avg Size</v>
          </cell>
          <cell r="B21" t="str">
            <v>1,411.9</v>
          </cell>
          <cell r="C21" t="str">
            <v>Avg Size</v>
          </cell>
          <cell r="D21" t="str">
            <v>284.8</v>
          </cell>
          <cell r="H21" t="str">
            <v>CorpSoft, Inc. (Subsidiary)</v>
          </cell>
        </row>
        <row r="22">
          <cell r="A22" t="str">
            <v>Max / Min Size</v>
          </cell>
          <cell r="B22" t="str">
            <v>1,411.9 / 1,411.9</v>
          </cell>
          <cell r="C22" t="str">
            <v>Max / Min Size</v>
          </cell>
          <cell r="D22" t="str">
            <v>1,812.8 / 7.0</v>
          </cell>
          <cell r="H22" t="str">
            <v>Friede Goldman Newfoundland, Inc. (Subsidiary)</v>
          </cell>
        </row>
        <row r="23">
          <cell r="A23" t="str">
            <v>Full Mergerstat</v>
          </cell>
          <cell r="D23" t="str">
            <v>Source: FactSet Mergerstat</v>
          </cell>
          <cell r="H23" t="str">
            <v>GeoNet Communications, Inc. (Subsidiary)</v>
          </cell>
        </row>
        <row r="24">
          <cell r="H24" t="str">
            <v>Full Entity Structure</v>
          </cell>
        </row>
        <row r="27">
          <cell r="B27" t="str">
            <v>Latest M&amp;A Deals as Buyer (10 of 42)</v>
          </cell>
        </row>
        <row r="28">
          <cell r="B28" t="str">
            <v>All monetary values in millions of U.S. Dollars</v>
          </cell>
        </row>
        <row r="29">
          <cell r="B29" t="str">
            <v>LVLT HISTORICAL TRANSACTIONS (&gt;$1B)</v>
          </cell>
        </row>
        <row r="30">
          <cell r="B30" t="str">
            <v>Announce Date</v>
          </cell>
          <cell r="C30" t="str">
            <v>Close Date</v>
          </cell>
          <cell r="D30" t="str">
            <v>Target</v>
          </cell>
          <cell r="E30" t="str">
            <v>Deal Value</v>
          </cell>
          <cell r="F30" t="str">
            <v>EV/Sales</v>
          </cell>
          <cell r="G30" t="str">
            <v>EV/EBITDA</v>
          </cell>
        </row>
        <row r="31">
          <cell r="B31">
            <v>40644</v>
          </cell>
          <cell r="C31" t="str">
            <v>Pending</v>
          </cell>
          <cell r="D31" t="str">
            <v>Global Crossing Ltd.</v>
          </cell>
          <cell r="E31">
            <v>1411.9</v>
          </cell>
          <cell r="F31" t="str">
            <v>1.0x</v>
          </cell>
          <cell r="G31" t="str">
            <v>6.1x</v>
          </cell>
        </row>
        <row r="32">
          <cell r="B32">
            <v>39007</v>
          </cell>
          <cell r="C32">
            <v>39085</v>
          </cell>
          <cell r="D32" t="str">
            <v>Broadwing Corp.</v>
          </cell>
          <cell r="E32">
            <v>1377.6</v>
          </cell>
          <cell r="F32" t="str">
            <v>1.6x</v>
          </cell>
          <cell r="G32" t="str">
            <v>-36.9x</v>
          </cell>
        </row>
        <row r="33">
          <cell r="B33">
            <v>38838</v>
          </cell>
          <cell r="C33">
            <v>38922</v>
          </cell>
          <cell r="D33" t="str">
            <v>Telcove, Inc.</v>
          </cell>
          <cell r="E33">
            <v>1082</v>
          </cell>
        </row>
        <row r="34">
          <cell r="K34" t="str">
            <v>Source: FactSet Mergerstat</v>
          </cell>
        </row>
        <row r="37">
          <cell r="B37" t="str">
            <v>Latest M&amp;A Deals as Seller (10 of 17)</v>
          </cell>
        </row>
        <row r="38">
          <cell r="B38" t="str">
            <v>All monetary values in millions of U.S. Dollars</v>
          </cell>
        </row>
        <row r="39">
          <cell r="B39" t="str">
            <v>Announce</v>
          </cell>
          <cell r="C39" t="str">
            <v>Close</v>
          </cell>
          <cell r="E39" t="str">
            <v>Deal</v>
          </cell>
          <cell r="F39" t="str">
            <v>EV/</v>
          </cell>
          <cell r="G39" t="str">
            <v>EV/</v>
          </cell>
          <cell r="H39" t="str">
            <v>Deal</v>
          </cell>
          <cell r="I39" t="str">
            <v>Detail</v>
          </cell>
          <cell r="J39" t="str">
            <v>Source</v>
          </cell>
        </row>
        <row r="40">
          <cell r="B40" t="str">
            <v>Date</v>
          </cell>
          <cell r="C40" t="str">
            <v>Date</v>
          </cell>
          <cell r="D40" t="str">
            <v>Buyer</v>
          </cell>
          <cell r="E40" t="str">
            <v>Value</v>
          </cell>
          <cell r="F40" t="str">
            <v>Sales</v>
          </cell>
          <cell r="G40" t="str">
            <v>EBITDA</v>
          </cell>
          <cell r="H40" t="str">
            <v>Type</v>
          </cell>
          <cell r="I40" t="str">
            <v>Link</v>
          </cell>
          <cell r="J40" t="str">
            <v>Link</v>
          </cell>
        </row>
        <row r="41">
          <cell r="B41" t="str">
            <v>19-Dec-07</v>
          </cell>
          <cell r="C41" t="str">
            <v>05-Jun-08</v>
          </cell>
          <cell r="D41" t="str">
            <v>DG FastChannel, Inc.</v>
          </cell>
          <cell r="E41" t="str">
            <v>135.4</v>
          </cell>
          <cell r="F41" t="str">
            <v>--</v>
          </cell>
          <cell r="G41" t="str">
            <v>--</v>
          </cell>
          <cell r="H41" t="str">
            <v>Acq/Merger</v>
          </cell>
          <cell r="I41" t="str">
            <v>link</v>
          </cell>
          <cell r="J41" t="str">
            <v>link</v>
          </cell>
        </row>
        <row r="42">
          <cell r="D42" t="str">
            <v xml:space="preserve">Advisor(s): ThinkEquity Partners (B - Financial), Willkie Farr &amp; Gallagher LLP </v>
          </cell>
        </row>
        <row r="43">
          <cell r="D43" t="str">
            <v>(S - Legal), Latham &amp; Watkins LLP (B - Legal)</v>
          </cell>
        </row>
        <row r="44">
          <cell r="B44" t="str">
            <v>09-Jan-07</v>
          </cell>
          <cell r="C44" t="str">
            <v>09-Jan-07</v>
          </cell>
          <cell r="D44" t="str">
            <v>Revenue Management Solutions LLC</v>
          </cell>
          <cell r="E44" t="str">
            <v>--</v>
          </cell>
          <cell r="F44" t="str">
            <v>--</v>
          </cell>
          <cell r="G44" t="str">
            <v>--</v>
          </cell>
          <cell r="H44" t="str">
            <v>Acq/Merger</v>
          </cell>
          <cell r="I44" t="str">
            <v>link</v>
          </cell>
          <cell r="J44" t="str">
            <v>link</v>
          </cell>
        </row>
        <row r="45">
          <cell r="D45" t="str">
            <v>Advisor(s): Not Disclosed</v>
          </cell>
        </row>
        <row r="46">
          <cell r="B46" t="str">
            <v>20-Jul-06</v>
          </cell>
          <cell r="C46" t="str">
            <v>07-Sep-06</v>
          </cell>
          <cell r="D46" t="str">
            <v>Insight Enterprises, Inc.</v>
          </cell>
          <cell r="E46" t="str">
            <v>287.0</v>
          </cell>
          <cell r="F46" t="str">
            <v>--</v>
          </cell>
          <cell r="G46" t="str">
            <v>--</v>
          </cell>
          <cell r="H46" t="str">
            <v>Acq/Merger</v>
          </cell>
          <cell r="I46" t="str">
            <v>link</v>
          </cell>
          <cell r="J46" t="str">
            <v>link</v>
          </cell>
        </row>
        <row r="47">
          <cell r="D47" t="str">
            <v xml:space="preserve">Advisor(s): Merrill Lynch &amp; Co., Inc. (S - Financial), Raymond James &amp; </v>
          </cell>
        </row>
        <row r="48">
          <cell r="D48" t="str">
            <v xml:space="preserve">Associates (B - Financial), Willkie Farr &amp; Gallagher LLP (S - Legal), Skadden, </v>
          </cell>
        </row>
        <row r="49">
          <cell r="D49" t="str">
            <v>Arps, Slate, Meagher &amp; Flom LLP (B - Legal)</v>
          </cell>
        </row>
        <row r="50">
          <cell r="B50" t="str">
            <v>25-Oct-05</v>
          </cell>
          <cell r="C50" t="str">
            <v>01-Dec-05</v>
          </cell>
          <cell r="D50" t="str">
            <v>Infocrossing, Inc.</v>
          </cell>
          <cell r="E50" t="str">
            <v>81.5</v>
          </cell>
          <cell r="F50" t="str">
            <v>1.2x</v>
          </cell>
          <cell r="G50" t="str">
            <v>9.1x</v>
          </cell>
          <cell r="H50" t="str">
            <v>Acq/Merger</v>
          </cell>
          <cell r="I50" t="str">
            <v>link</v>
          </cell>
          <cell r="J50" t="str">
            <v>link</v>
          </cell>
        </row>
        <row r="51">
          <cell r="D51" t="str">
            <v xml:space="preserve">Advisor(s): Merrill Lynch &amp; Co., Inc. (S - Financial), Evercore Partners LLC (B </v>
          </cell>
        </row>
        <row r="52">
          <cell r="D52" t="str">
            <v xml:space="preserve">- Financial), Gibson, Dunn &amp; Crutcher LLP (B - Legal), Simpson Thacher &amp; </v>
          </cell>
        </row>
        <row r="53">
          <cell r="D53" t="str">
            <v>Bartlett LLP (B - Legal)</v>
          </cell>
        </row>
        <row r="54">
          <cell r="B54" t="str">
            <v>27-Jan-05</v>
          </cell>
          <cell r="C54" t="str">
            <v>27-Jan-05</v>
          </cell>
          <cell r="D54" t="str">
            <v>Tel West Network Services Corp.</v>
          </cell>
          <cell r="E54" t="str">
            <v>--</v>
          </cell>
          <cell r="F54" t="str">
            <v>--</v>
          </cell>
          <cell r="G54" t="str">
            <v>--</v>
          </cell>
          <cell r="H54" t="str">
            <v>Acq/Merger</v>
          </cell>
          <cell r="I54" t="str">
            <v>link</v>
          </cell>
          <cell r="J54" t="str">
            <v>--</v>
          </cell>
        </row>
        <row r="55">
          <cell r="D55" t="str">
            <v>Advisor(s): Daniels &amp; Associates (S - Financial)</v>
          </cell>
        </row>
        <row r="56">
          <cell r="B56" t="str">
            <v>10-May-04</v>
          </cell>
          <cell r="C56" t="str">
            <v>10-May-04</v>
          </cell>
          <cell r="D56" t="str">
            <v>Fiberlink Communications Corp.</v>
          </cell>
          <cell r="E56" t="str">
            <v>--</v>
          </cell>
          <cell r="F56" t="str">
            <v>--</v>
          </cell>
          <cell r="G56" t="str">
            <v>--</v>
          </cell>
          <cell r="H56" t="str">
            <v>Acq/Merger</v>
          </cell>
          <cell r="I56" t="str">
            <v>link</v>
          </cell>
          <cell r="J56" t="str">
            <v>link</v>
          </cell>
        </row>
        <row r="57">
          <cell r="D57" t="str">
            <v>Advisor(s): Not Disclosed</v>
          </cell>
        </row>
        <row r="58">
          <cell r="B58" t="str">
            <v>27-Oct-03</v>
          </cell>
          <cell r="C58" t="str">
            <v>27-Oct-03</v>
          </cell>
          <cell r="D58" t="str">
            <v>H.I.G. Capital Management, Inc.</v>
          </cell>
          <cell r="E58" t="str">
            <v>--</v>
          </cell>
          <cell r="F58" t="str">
            <v>--</v>
          </cell>
          <cell r="G58" t="str">
            <v>--</v>
          </cell>
          <cell r="H58" t="str">
            <v>Acq/Merger</v>
          </cell>
          <cell r="I58" t="str">
            <v>link</v>
          </cell>
          <cell r="J58" t="str">
            <v>--</v>
          </cell>
        </row>
        <row r="59">
          <cell r="D59" t="str">
            <v>Advisor(s): Not Disclosed</v>
          </cell>
        </row>
        <row r="60">
          <cell r="B60" t="str">
            <v>19-Aug-03</v>
          </cell>
          <cell r="C60" t="str">
            <v>31-Dec-03</v>
          </cell>
          <cell r="D60" t="str">
            <v>CenturyTel, Inc.</v>
          </cell>
          <cell r="E60" t="str">
            <v>17.0</v>
          </cell>
          <cell r="F60" t="str">
            <v>--</v>
          </cell>
          <cell r="G60" t="str">
            <v>--</v>
          </cell>
          <cell r="H60" t="str">
            <v>Acq/Merger</v>
          </cell>
          <cell r="I60" t="str">
            <v>link</v>
          </cell>
          <cell r="J60" t="str">
            <v>--</v>
          </cell>
        </row>
        <row r="61">
          <cell r="D61" t="str">
            <v>Advisor(s): Daniels &amp; Associates (S - Financial)</v>
          </cell>
        </row>
        <row r="62">
          <cell r="B62" t="str">
            <v>18-Jun-03</v>
          </cell>
          <cell r="C62" t="str">
            <v>18-Jun-03</v>
          </cell>
          <cell r="D62" t="str">
            <v>H.I.G. Capital Management, Inc.</v>
          </cell>
          <cell r="E62" t="str">
            <v>--</v>
          </cell>
          <cell r="F62" t="str">
            <v>--</v>
          </cell>
          <cell r="G62" t="str">
            <v>--</v>
          </cell>
          <cell r="H62" t="str">
            <v>Acq/Merger</v>
          </cell>
          <cell r="I62" t="str">
            <v>link</v>
          </cell>
          <cell r="J62" t="str">
            <v>--</v>
          </cell>
        </row>
        <row r="63">
          <cell r="D63" t="str">
            <v xml:space="preserve">Advisor(s): Daniels &amp; Associates (S - Financial), Petsky Prunier LLC (B - </v>
          </cell>
        </row>
        <row r="64">
          <cell r="D64" t="str">
            <v>Financial)</v>
          </cell>
        </row>
        <row r="65">
          <cell r="B65" t="str">
            <v>04-Apr-03</v>
          </cell>
          <cell r="C65" t="str">
            <v>31-May-03</v>
          </cell>
          <cell r="D65" t="str">
            <v>Computer Sciences Corp.</v>
          </cell>
          <cell r="E65" t="str">
            <v>--</v>
          </cell>
          <cell r="F65" t="str">
            <v>--</v>
          </cell>
          <cell r="G65" t="str">
            <v>--</v>
          </cell>
          <cell r="H65" t="str">
            <v>Acq/Merger</v>
          </cell>
          <cell r="I65" t="str">
            <v>link</v>
          </cell>
          <cell r="J65" t="str">
            <v>--</v>
          </cell>
        </row>
        <row r="66">
          <cell r="D66" t="str">
            <v>Advisor(s): Not Disclosed</v>
          </cell>
        </row>
        <row r="67">
          <cell r="K67" t="str">
            <v>Source: FactSet Mergerstat</v>
          </cell>
        </row>
        <row r="68">
          <cell r="B68" t="str">
            <v>New Issues from 2000 to Present (2)</v>
          </cell>
        </row>
        <row r="69">
          <cell r="B69" t="str">
            <v>All monetary values in millions, except offer price</v>
          </cell>
        </row>
        <row r="70">
          <cell r="J70" t="str">
            <v>Gross</v>
          </cell>
        </row>
        <row r="71">
          <cell r="I71" t="str">
            <v>% of Over-</v>
          </cell>
          <cell r="J71" t="str">
            <v>Proceeds</v>
          </cell>
        </row>
        <row r="72">
          <cell r="C72" t="str">
            <v>Offer</v>
          </cell>
          <cell r="D72" t="str">
            <v>Offer</v>
          </cell>
          <cell r="F72" t="str">
            <v>Offer</v>
          </cell>
          <cell r="G72" t="str">
            <v>Offer</v>
          </cell>
          <cell r="H72" t="str">
            <v>Total</v>
          </cell>
          <cell r="I72" t="str">
            <v>Allotment</v>
          </cell>
          <cell r="J72" t="str">
            <v>Adj. Over-</v>
          </cell>
          <cell r="K72" t="str">
            <v>Detail</v>
          </cell>
          <cell r="L72" t="str">
            <v>Source</v>
          </cell>
        </row>
        <row r="73">
          <cell r="B73" t="str">
            <v>Closing Name (Ticker(s))</v>
          </cell>
          <cell r="C73" t="str">
            <v>Date</v>
          </cell>
          <cell r="D73" t="str">
            <v>Type</v>
          </cell>
          <cell r="E73" t="str">
            <v>Exchange</v>
          </cell>
          <cell r="F73" t="str">
            <v>Curr.</v>
          </cell>
          <cell r="G73" t="str">
            <v>Price</v>
          </cell>
          <cell r="H73" t="str">
            <v>Shs Offered</v>
          </cell>
          <cell r="I73" t="str">
            <v>Exercised</v>
          </cell>
          <cell r="J73" t="str">
            <v>Allotment</v>
          </cell>
          <cell r="K73" t="str">
            <v>Link</v>
          </cell>
          <cell r="L73" t="str">
            <v>Link</v>
          </cell>
        </row>
        <row r="74">
          <cell r="B74" t="str">
            <v>Level 3 Communications, Inc. (LVLT)</v>
          </cell>
          <cell r="C74">
            <v>38875</v>
          </cell>
          <cell r="D74" t="str">
            <v>Follow-On</v>
          </cell>
          <cell r="E74" t="str">
            <v>NASDAQ</v>
          </cell>
          <cell r="F74" t="str">
            <v>USD</v>
          </cell>
          <cell r="G74">
            <v>4.55</v>
          </cell>
          <cell r="H74">
            <v>125000000</v>
          </cell>
          <cell r="I74">
            <v>0</v>
          </cell>
          <cell r="J74">
            <v>568.75</v>
          </cell>
          <cell r="K74" t="str">
            <v>Link</v>
          </cell>
          <cell r="L74" t="str">
            <v>Link</v>
          </cell>
        </row>
        <row r="75">
          <cell r="B75" t="str">
            <v>Level 3 Communications, Inc. (LVLT)</v>
          </cell>
          <cell r="C75">
            <v>36579</v>
          </cell>
          <cell r="D75" t="str">
            <v>Follow-On</v>
          </cell>
          <cell r="E75" t="str">
            <v>NASDAQ</v>
          </cell>
          <cell r="F75" t="str">
            <v>USD</v>
          </cell>
          <cell r="G75">
            <v>107.88</v>
          </cell>
          <cell r="H75">
            <v>23000000</v>
          </cell>
          <cell r="I75">
            <v>100</v>
          </cell>
          <cell r="J75">
            <v>2481.125</v>
          </cell>
          <cell r="K75" t="str">
            <v>Link</v>
          </cell>
          <cell r="L75" t="str">
            <v>Link</v>
          </cell>
        </row>
        <row r="76">
          <cell r="M76" t="str">
            <v>Source: FactSet New Issues</v>
          </cell>
        </row>
        <row r="77">
          <cell r="B77" t="str">
            <v>Latest Private Placement Deals (5)</v>
          </cell>
          <cell r="K77" t="str">
            <v>link</v>
          </cell>
        </row>
        <row r="78">
          <cell r="B78" t="str">
            <v>All monetary values in millions of U.S. Dollars, except security sold and per share items</v>
          </cell>
        </row>
        <row r="79">
          <cell r="B79" t="str">
            <v>Closing Name/Ticker</v>
          </cell>
          <cell r="C79" t="str">
            <v>Closing Date</v>
          </cell>
          <cell r="D79" t="str">
            <v>Structure Type</v>
          </cell>
          <cell r="E79" t="str">
            <v>Legal Structure</v>
          </cell>
          <cell r="F79" t="str">
            <v>Gross Proceeds</v>
          </cell>
          <cell r="G79" t="str">
            <v>Number of Sec. Sold</v>
          </cell>
          <cell r="H79" t="str">
            <v>Purch Price per Share</v>
          </cell>
          <cell r="I79" t="str">
            <v>Detail Link</v>
          </cell>
          <cell r="J79" t="str">
            <v>Source Link</v>
          </cell>
        </row>
        <row r="80">
          <cell r="B80" t="str">
            <v>Level 3 Communications, Inc. (LVLT)</v>
          </cell>
          <cell r="C80">
            <v>40087</v>
          </cell>
          <cell r="D80" t="str">
            <v>Convertible - Fixed</v>
          </cell>
          <cell r="E80" t="str">
            <v>PIPE</v>
          </cell>
          <cell r="F80">
            <v>275</v>
          </cell>
          <cell r="G80">
            <v>275000</v>
          </cell>
          <cell r="H80">
            <v>1000</v>
          </cell>
          <cell r="I80" t="str">
            <v>link</v>
          </cell>
          <cell r="J80" t="str">
            <v>link</v>
          </cell>
        </row>
        <row r="81">
          <cell r="B81" t="str">
            <v>Level 3 Communications, Inc. (LVLT)</v>
          </cell>
          <cell r="C81">
            <v>39769</v>
          </cell>
          <cell r="D81" t="str">
            <v>Convertible - Fixed</v>
          </cell>
          <cell r="E81" t="str">
            <v>PIPE</v>
          </cell>
          <cell r="F81">
            <v>400</v>
          </cell>
          <cell r="G81">
            <v>400000</v>
          </cell>
          <cell r="H81">
            <v>1000</v>
          </cell>
          <cell r="I81" t="str">
            <v>link</v>
          </cell>
          <cell r="J81" t="str">
            <v>link</v>
          </cell>
        </row>
        <row r="82">
          <cell r="B82" t="str">
            <v>Level 3 Communications, Inc. (LVLT)</v>
          </cell>
          <cell r="C82">
            <v>38401</v>
          </cell>
          <cell r="D82" t="str">
            <v>Convertible - Fixed</v>
          </cell>
          <cell r="E82" t="str">
            <v>PIPE</v>
          </cell>
          <cell r="F82">
            <v>880</v>
          </cell>
          <cell r="G82">
            <v>880000</v>
          </cell>
          <cell r="H82">
            <v>1000</v>
          </cell>
          <cell r="I82" t="str">
            <v>link</v>
          </cell>
          <cell r="J82" t="str">
            <v>--</v>
          </cell>
        </row>
        <row r="83">
          <cell r="B83" t="str">
            <v>Level 3 Communications, Inc. (LVLT)</v>
          </cell>
          <cell r="C83">
            <v>38323</v>
          </cell>
          <cell r="D83" t="str">
            <v>Convertible - Fixed</v>
          </cell>
          <cell r="E83" t="str">
            <v>144-A</v>
          </cell>
          <cell r="F83">
            <v>345</v>
          </cell>
          <cell r="G83">
            <v>345000</v>
          </cell>
          <cell r="H83">
            <v>1000</v>
          </cell>
          <cell r="I83" t="str">
            <v>link</v>
          </cell>
          <cell r="J83" t="str">
            <v>--</v>
          </cell>
        </row>
        <row r="84">
          <cell r="B84" t="str">
            <v>Level 3 Communications, Inc. (LVLT)</v>
          </cell>
          <cell r="C84">
            <v>37445</v>
          </cell>
          <cell r="D84" t="str">
            <v>Convertible - Fixed</v>
          </cell>
          <cell r="E84" t="str">
            <v>PIPE</v>
          </cell>
          <cell r="F84">
            <v>500</v>
          </cell>
          <cell r="G84">
            <v>500000</v>
          </cell>
          <cell r="H84">
            <v>1000</v>
          </cell>
          <cell r="I84" t="str">
            <v>link</v>
          </cell>
          <cell r="J84" t="str">
            <v>--</v>
          </cell>
        </row>
        <row r="85">
          <cell r="K85" t="str">
            <v>Source: PlacementTracker</v>
          </cell>
        </row>
        <row r="86">
          <cell r="A86" t="str">
            <v>1. Deal Value does not include preferred stock or option value.</v>
          </cell>
        </row>
        <row r="87">
          <cell r="A87" t="str">
            <v>2. Financial Advisors are sourced from press releases, filings, offering documents and advisor surveys.</v>
          </cell>
        </row>
        <row r="88">
          <cell r="A88" t="str">
            <v>3. M&amp;A deals shown are for the specified company and companies within its corporate structure.</v>
          </cell>
        </row>
        <row r="89">
          <cell r="A89" t="str">
            <v>4. For more details on how Deal Value is calculated, please see Online Assistant page 13079.</v>
          </cell>
        </row>
      </sheetData>
      <sheetData sheetId="10" refreshError="1">
        <row r="3">
          <cell r="B3" t="str">
            <v>LVLT - HISTORICAL M&amp;A TRANSACTIONS</v>
          </cell>
        </row>
        <row r="4">
          <cell r="B4" t="str">
            <v>Announced Date</v>
          </cell>
          <cell r="C4" t="str">
            <v>Closed Date</v>
          </cell>
          <cell r="D4" t="str">
            <v>Target</v>
          </cell>
          <cell r="E4" t="str">
            <v>Size ($M)</v>
          </cell>
        </row>
        <row r="5">
          <cell r="B5">
            <v>40644</v>
          </cell>
          <cell r="C5" t="str">
            <v>-</v>
          </cell>
          <cell r="D5" t="str">
            <v>Global Crossing Ltd. (NasdaqGS:GLBC)</v>
          </cell>
          <cell r="E5">
            <v>2900</v>
          </cell>
        </row>
        <row r="6">
          <cell r="B6">
            <v>39007</v>
          </cell>
          <cell r="C6">
            <v>39085</v>
          </cell>
          <cell r="D6" t="str">
            <v>Broadwing Corporation</v>
          </cell>
          <cell r="E6">
            <v>1390</v>
          </cell>
        </row>
        <row r="7">
          <cell r="B7">
            <v>38840</v>
          </cell>
          <cell r="C7">
            <v>38922</v>
          </cell>
          <cell r="D7" t="str">
            <v>TelCove, Inc.</v>
          </cell>
          <cell r="E7">
            <v>1082</v>
          </cell>
        </row>
        <row r="8">
          <cell r="B8">
            <v>38655</v>
          </cell>
          <cell r="C8">
            <v>38709</v>
          </cell>
          <cell r="D8" t="str">
            <v>WilTel Communications Group Inc.</v>
          </cell>
          <cell r="E8">
            <v>680.5</v>
          </cell>
        </row>
        <row r="9">
          <cell r="B9">
            <v>37587</v>
          </cell>
          <cell r="C9">
            <v>37656</v>
          </cell>
          <cell r="D9" t="str">
            <v>Genuity Inc., Substantially All Assets (1)</v>
          </cell>
          <cell r="E9">
            <v>242</v>
          </cell>
        </row>
        <row r="10">
          <cell r="B10" t="str">
            <v>(1) LVLT assumes many of Genuity's long-term operating agreements.</v>
          </cell>
        </row>
      </sheetData>
      <sheetData sheetId="11" refreshError="1">
        <row r="4">
          <cell r="C4" t="str">
            <v>LVLT / GLBC TRANSACTION SUMMARY</v>
          </cell>
          <cell r="G4" t="str">
            <v>COMPANY OVERVIEWS</v>
          </cell>
        </row>
        <row r="5">
          <cell r="C5" t="str">
            <v>Consideration</v>
          </cell>
          <cell r="D5" t="str">
            <v>•</v>
          </cell>
          <cell r="E5" t="str">
            <v>100% stock</v>
          </cell>
          <cell r="G5" t="str">
            <v>Level 3 operates one of the largest Internet backbones in the world. Over its broadband fiber optic network, LVLT provides IP services, broadband transport and infrastructure services, colocation services, voice services and voice over IP services.</v>
          </cell>
        </row>
        <row r="6">
          <cell r="C6" t="str">
            <v>Exchange Ratio</v>
          </cell>
          <cell r="D6" t="str">
            <v xml:space="preserve">•
</v>
          </cell>
          <cell r="E6" t="str">
            <v>16 LVLT common shares for each GLBC common and preferred share</v>
          </cell>
        </row>
        <row r="7">
          <cell r="C7" t="str">
            <v>Transaction Value</v>
          </cell>
          <cell r="D7" t="str">
            <v>•</v>
          </cell>
          <cell r="E7" t="str">
            <v>$1.9B, plus GLBC net debt of $1.1B</v>
          </cell>
        </row>
        <row r="8">
          <cell r="C8" t="str">
            <v>Estimated Multiples</v>
          </cell>
          <cell r="D8" t="str">
            <v>•</v>
          </cell>
          <cell r="E8" t="str">
            <v>7.1x GLBC's 2010 Adjusted EBITDA</v>
          </cell>
        </row>
        <row r="9">
          <cell r="C9" t="str">
            <v>Synergies</v>
          </cell>
          <cell r="D9" t="str">
            <v>•
•
•</v>
          </cell>
          <cell r="E9" t="str">
            <v>NPV of synergies $2.5B
$300M of annualized adjusted EBITDA
$40M of annualized capex savings</v>
          </cell>
          <cell r="G9" t="str">
            <v xml:space="preserve">Global Crossing is a leading global IP, Ethernet, data center and video solutions provider with the world's first integrated global IP-based network.
</v>
          </cell>
        </row>
        <row r="10">
          <cell r="C10" t="str">
            <v>Timing</v>
          </cell>
          <cell r="D10" t="str">
            <v>•</v>
          </cell>
          <cell r="E10" t="str">
            <v>Expected to close before year end</v>
          </cell>
        </row>
      </sheetData>
      <sheetData sheetId="12" refreshError="1">
        <row r="2">
          <cell r="A2">
            <v>0</v>
          </cell>
          <cell r="B2">
            <v>0</v>
          </cell>
        </row>
        <row r="3">
          <cell r="A3">
            <v>0</v>
          </cell>
          <cell r="B3">
            <v>0</v>
          </cell>
        </row>
        <row r="4">
          <cell r="A4">
            <v>0</v>
          </cell>
          <cell r="B4">
            <v>0</v>
          </cell>
        </row>
        <row r="5">
          <cell r="B5">
            <v>40724</v>
          </cell>
          <cell r="D5" t="str">
            <v>LVLT</v>
          </cell>
          <cell r="E5" t="str">
            <v>GLBC</v>
          </cell>
          <cell r="F5" t="str">
            <v>Pro Forma</v>
          </cell>
          <cell r="G5" t="str">
            <v>Pro Forma w/ Synergies</v>
          </cell>
        </row>
        <row r="6">
          <cell r="C6" t="str">
            <v>Total Debt</v>
          </cell>
          <cell r="D6">
            <v>7224</v>
          </cell>
          <cell r="E6">
            <v>1417</v>
          </cell>
          <cell r="F6">
            <v>8641</v>
          </cell>
          <cell r="G6">
            <v>8641</v>
          </cell>
        </row>
        <row r="7">
          <cell r="C7" t="str">
            <v>cash and cash equiv</v>
          </cell>
          <cell r="D7">
            <v>584</v>
          </cell>
          <cell r="E7">
            <v>265</v>
          </cell>
          <cell r="F7">
            <v>849</v>
          </cell>
          <cell r="G7">
            <v>849</v>
          </cell>
        </row>
        <row r="8">
          <cell r="C8" t="str">
            <v>Net debt</v>
          </cell>
          <cell r="D8">
            <v>6640</v>
          </cell>
          <cell r="E8">
            <v>1152</v>
          </cell>
          <cell r="F8">
            <v>7792</v>
          </cell>
          <cell r="G8">
            <v>7792</v>
          </cell>
        </row>
        <row r="10">
          <cell r="C10" t="str">
            <v>adjusted EBITDA</v>
          </cell>
          <cell r="D10">
            <v>870</v>
          </cell>
          <cell r="E10">
            <v>407</v>
          </cell>
          <cell r="F10">
            <v>1277</v>
          </cell>
          <cell r="G10">
            <v>1577</v>
          </cell>
        </row>
        <row r="11">
          <cell r="C11" t="str">
            <v>synergies</v>
          </cell>
          <cell r="G11">
            <v>300</v>
          </cell>
        </row>
        <row r="13">
          <cell r="C13" t="str">
            <v>LTM Total Debt / EBITDA</v>
          </cell>
          <cell r="D13">
            <v>8.3034482758620687</v>
          </cell>
          <cell r="E13">
            <v>3.4815724815724818</v>
          </cell>
          <cell r="F13">
            <v>6.7666405638214568</v>
          </cell>
          <cell r="G13">
            <v>5.4793912492073558</v>
          </cell>
        </row>
        <row r="14">
          <cell r="C14" t="str">
            <v>LTM Net Debt / EBITDA</v>
          </cell>
          <cell r="D14">
            <v>7.6321839080459766</v>
          </cell>
          <cell r="E14">
            <v>2.8304668304668303</v>
          </cell>
          <cell r="F14">
            <v>6.1018010963194991</v>
          </cell>
          <cell r="G14">
            <v>4.9410272669625872</v>
          </cell>
        </row>
      </sheetData>
      <sheetData sheetId="13" refreshError="1">
        <row r="2">
          <cell r="B2">
            <v>1</v>
          </cell>
          <cell r="C2">
            <v>2</v>
          </cell>
          <cell r="D2">
            <v>3</v>
          </cell>
          <cell r="E2">
            <v>4</v>
          </cell>
          <cell r="F2">
            <v>5</v>
          </cell>
          <cell r="G2">
            <v>6</v>
          </cell>
          <cell r="H2">
            <v>7</v>
          </cell>
          <cell r="I2">
            <v>8</v>
          </cell>
          <cell r="J2">
            <v>9</v>
          </cell>
          <cell r="K2">
            <v>10</v>
          </cell>
          <cell r="L2">
            <v>11</v>
          </cell>
        </row>
        <row r="3">
          <cell r="F3" t="str">
            <v xml:space="preserve">Date </v>
          </cell>
          <cell r="G3" t="str">
            <v xml:space="preserve">Price </v>
          </cell>
          <cell r="H3" t="str">
            <v>LTM EV / EBITDA</v>
          </cell>
          <cell r="I3" t="str">
            <v>LTM EV / EBITDA</v>
          </cell>
          <cell r="J3" t="str">
            <v xml:space="preserve">Opex </v>
          </cell>
          <cell r="K3" t="str">
            <v xml:space="preserve">Cash </v>
          </cell>
          <cell r="L3" t="str">
            <v xml:space="preserve">Synergies % </v>
          </cell>
        </row>
        <row r="4">
          <cell r="A4" t="str">
            <v>Strategics</v>
          </cell>
          <cell r="D4" t="str">
            <v>Target</v>
          </cell>
          <cell r="E4" t="str">
            <v>Acquirer</v>
          </cell>
          <cell r="F4" t="str">
            <v>Announced</v>
          </cell>
          <cell r="G4" t="str">
            <v>(EV)</v>
          </cell>
          <cell r="H4" t="str">
            <v>Pre-Synergies</v>
          </cell>
          <cell r="I4" t="str">
            <v>Post-Synergies</v>
          </cell>
          <cell r="J4" t="str">
            <v>Synergies</v>
          </cell>
          <cell r="K4" t="str">
            <v>Opex</v>
          </cell>
          <cell r="L4" t="str">
            <v>of Total Opex</v>
          </cell>
        </row>
        <row r="5">
          <cell r="B5">
            <v>10</v>
          </cell>
          <cell r="C5" t="str">
            <v>Level 3 / Global Crossing</v>
          </cell>
          <cell r="D5" t="str">
            <v>Global Crossing</v>
          </cell>
          <cell r="E5" t="str">
            <v>Level 3</v>
          </cell>
          <cell r="F5">
            <v>40644</v>
          </cell>
          <cell r="G5">
            <v>3000</v>
          </cell>
          <cell r="H5">
            <v>7.1</v>
          </cell>
          <cell r="I5">
            <v>4.2</v>
          </cell>
          <cell r="J5">
            <v>300</v>
          </cell>
          <cell r="K5">
            <v>2189</v>
          </cell>
          <cell r="L5">
            <v>0.13704888076747374</v>
          </cell>
          <cell r="O5">
            <v>1</v>
          </cell>
          <cell r="P5" t="str">
            <v>EarthLink / One Comm.</v>
          </cell>
          <cell r="Q5">
            <v>4.0322580645161289E-2</v>
          </cell>
        </row>
        <row r="6">
          <cell r="B6">
            <v>1</v>
          </cell>
          <cell r="C6" t="str">
            <v>EarthLink / One Comm.</v>
          </cell>
          <cell r="D6" t="str">
            <v>One Comm.</v>
          </cell>
          <cell r="E6" t="str">
            <v>EarthLink</v>
          </cell>
          <cell r="F6">
            <v>40532</v>
          </cell>
          <cell r="G6">
            <v>370</v>
          </cell>
          <cell r="H6" t="str">
            <v>4.7x</v>
          </cell>
          <cell r="I6" t="str">
            <v>3.7x</v>
          </cell>
          <cell r="J6">
            <v>20</v>
          </cell>
          <cell r="K6">
            <v>496</v>
          </cell>
          <cell r="L6">
            <v>4.0322580645161289E-2</v>
          </cell>
          <cell r="O6">
            <v>2</v>
          </cell>
          <cell r="P6" t="str">
            <v>Neutral Tandem / Tinet</v>
          </cell>
          <cell r="Q6">
            <v>4.6833184656556649E-2</v>
          </cell>
        </row>
        <row r="7">
          <cell r="B7">
            <v>4</v>
          </cell>
          <cell r="C7" t="str">
            <v>EarthLink / ITC^Deltacom</v>
          </cell>
          <cell r="D7" t="str">
            <v>ITC^Deltacom</v>
          </cell>
          <cell r="E7" t="str">
            <v>EarthLink</v>
          </cell>
          <cell r="F7">
            <v>40452</v>
          </cell>
          <cell r="G7">
            <v>516</v>
          </cell>
          <cell r="H7" t="str">
            <v>5.8x</v>
          </cell>
          <cell r="I7" t="str">
            <v>4.7x</v>
          </cell>
          <cell r="J7">
            <v>20</v>
          </cell>
          <cell r="K7">
            <v>362</v>
          </cell>
          <cell r="L7">
            <v>5.5248618784530384E-2</v>
          </cell>
          <cell r="O7">
            <v>3</v>
          </cell>
          <cell r="P7" t="str">
            <v>PAETEC / US LEC (1)</v>
          </cell>
          <cell r="Q7">
            <v>4.9261083743842367E-2</v>
          </cell>
        </row>
        <row r="8">
          <cell r="B8" t="e">
            <v>#VALUE!</v>
          </cell>
          <cell r="C8" t="str">
            <v>Lightower / Lexent</v>
          </cell>
          <cell r="D8" t="str">
            <v>Lexent</v>
          </cell>
          <cell r="E8" t="str">
            <v>Lightower</v>
          </cell>
          <cell r="F8">
            <v>40435</v>
          </cell>
          <cell r="G8" t="str">
            <v>NA</v>
          </cell>
          <cell r="H8" t="str">
            <v>NA</v>
          </cell>
          <cell r="I8" t="str">
            <v>NA</v>
          </cell>
          <cell r="J8" t="str">
            <v>NA</v>
          </cell>
          <cell r="K8" t="str">
            <v>NA</v>
          </cell>
          <cell r="L8" t="str">
            <v>NA</v>
          </cell>
          <cell r="O8">
            <v>4</v>
          </cell>
          <cell r="P8" t="str">
            <v>EarthLink / ITC^Deltacom</v>
          </cell>
          <cell r="Q8">
            <v>5.5248618784530384E-2</v>
          </cell>
        </row>
        <row r="9">
          <cell r="B9">
            <v>9</v>
          </cell>
          <cell r="C9" t="str">
            <v>PAETEC / Cavalier</v>
          </cell>
          <cell r="D9" t="str">
            <v>Cavalier</v>
          </cell>
          <cell r="E9" t="str">
            <v>PAETEC</v>
          </cell>
          <cell r="F9">
            <v>40434</v>
          </cell>
          <cell r="G9">
            <v>460</v>
          </cell>
          <cell r="H9" t="str">
            <v>5.1x</v>
          </cell>
          <cell r="I9" t="str">
            <v>3.8x</v>
          </cell>
          <cell r="J9">
            <v>30</v>
          </cell>
          <cell r="K9">
            <v>288</v>
          </cell>
          <cell r="L9">
            <v>0.10416666666666667</v>
          </cell>
          <cell r="O9">
            <v>4</v>
          </cell>
          <cell r="P9" t="str">
            <v>EarthLink / ITC^Deltacom</v>
          </cell>
          <cell r="Q9">
            <v>5.5248618784530384E-2</v>
          </cell>
        </row>
        <row r="10">
          <cell r="B10">
            <v>2</v>
          </cell>
          <cell r="C10" t="str">
            <v>Neutral Tandem / Tinet</v>
          </cell>
          <cell r="D10" t="str">
            <v>Tinet</v>
          </cell>
          <cell r="E10" t="str">
            <v>Neutral Tandem</v>
          </cell>
          <cell r="F10">
            <v>40430</v>
          </cell>
          <cell r="G10">
            <v>94.9</v>
          </cell>
          <cell r="H10" t="str">
            <v>7.0x</v>
          </cell>
          <cell r="I10" t="str">
            <v>6.1x</v>
          </cell>
          <cell r="J10">
            <v>2.1</v>
          </cell>
          <cell r="K10">
            <v>44.839999999999996</v>
          </cell>
          <cell r="L10">
            <v>4.6833184656556649E-2</v>
          </cell>
          <cell r="O10">
            <v>5</v>
          </cell>
          <cell r="P10" t="str">
            <v>Windstream / PAETEC</v>
          </cell>
          <cell r="Q10">
            <v>0.06</v>
          </cell>
        </row>
        <row r="11">
          <cell r="B11">
            <v>12</v>
          </cell>
          <cell r="C11" t="str">
            <v>Windstream / KDL / Norlight</v>
          </cell>
          <cell r="D11" t="str">
            <v>KDL / Norlight</v>
          </cell>
          <cell r="E11" t="str">
            <v>Windstream</v>
          </cell>
          <cell r="F11">
            <v>40407</v>
          </cell>
          <cell r="G11">
            <v>782</v>
          </cell>
          <cell r="H11" t="str">
            <v>8.4x</v>
          </cell>
          <cell r="I11" t="str">
            <v>6.6x</v>
          </cell>
          <cell r="J11">
            <v>25</v>
          </cell>
          <cell r="K11">
            <v>138.19999999999999</v>
          </cell>
          <cell r="L11">
            <v>0.18089725036179452</v>
          </cell>
          <cell r="O11">
            <v>6</v>
          </cell>
          <cell r="P11" t="str">
            <v>PAETEC / McLeod USA</v>
          </cell>
          <cell r="Q11">
            <v>6.3965884861407252E-2</v>
          </cell>
        </row>
        <row r="12">
          <cell r="B12">
            <v>11</v>
          </cell>
          <cell r="C12" t="str">
            <v xml:space="preserve">NTELOS / Fibernet </v>
          </cell>
          <cell r="D12" t="str">
            <v xml:space="preserve">Fibernet </v>
          </cell>
          <cell r="E12" t="str">
            <v>NTELOS</v>
          </cell>
          <cell r="F12">
            <v>40379</v>
          </cell>
          <cell r="G12">
            <v>170</v>
          </cell>
          <cell r="H12" t="str">
            <v>6.8x (1)</v>
          </cell>
          <cell r="I12" t="str">
            <v>5.4x (1)</v>
          </cell>
          <cell r="J12">
            <v>8</v>
          </cell>
          <cell r="K12">
            <v>51</v>
          </cell>
          <cell r="L12">
            <v>0.15686274509803921</v>
          </cell>
          <cell r="O12">
            <v>7</v>
          </cell>
          <cell r="P12" t="str">
            <v>Windstream / NuVox</v>
          </cell>
          <cell r="Q12">
            <v>6.726457399103139E-2</v>
          </cell>
        </row>
        <row r="13">
          <cell r="B13" t="e">
            <v>#VALUE!</v>
          </cell>
          <cell r="C13" t="str">
            <v>Lightyear / SouthEast Telephone</v>
          </cell>
          <cell r="D13" t="str">
            <v>SouthEast Telephone</v>
          </cell>
          <cell r="E13" t="str">
            <v>Lightyear</v>
          </cell>
          <cell r="F13">
            <v>40360</v>
          </cell>
          <cell r="G13">
            <v>7.3</v>
          </cell>
          <cell r="H13" t="str">
            <v>NA</v>
          </cell>
          <cell r="I13" t="str">
            <v>NA</v>
          </cell>
          <cell r="J13" t="str">
            <v>NA</v>
          </cell>
          <cell r="K13" t="str">
            <v>NA</v>
          </cell>
          <cell r="L13" t="str">
            <v>NA</v>
          </cell>
          <cell r="O13">
            <v>8</v>
          </cell>
          <cell r="P13" t="str">
            <v>PAETEC / US LEC (2)</v>
          </cell>
          <cell r="Q13">
            <v>9.8039215686274508E-2</v>
          </cell>
        </row>
        <row r="14">
          <cell r="B14" t="e">
            <v>#VALUE!</v>
          </cell>
          <cell r="C14" t="str">
            <v>Zayo Group / AFS</v>
          </cell>
          <cell r="D14" t="str">
            <v>AFS</v>
          </cell>
          <cell r="E14" t="str">
            <v>Zayo Group</v>
          </cell>
          <cell r="F14">
            <v>40359</v>
          </cell>
          <cell r="G14">
            <v>115.5</v>
          </cell>
          <cell r="H14" t="str">
            <v>NA</v>
          </cell>
          <cell r="I14" t="str">
            <v>7.7x</v>
          </cell>
          <cell r="J14" t="str">
            <v>NA</v>
          </cell>
          <cell r="K14" t="str">
            <v>NA</v>
          </cell>
          <cell r="L14" t="str">
            <v>NA</v>
          </cell>
          <cell r="O14">
            <v>9</v>
          </cell>
          <cell r="P14" t="str">
            <v>PAETEC / Cavalier</v>
          </cell>
          <cell r="Q14">
            <v>0.10416666666666667</v>
          </cell>
        </row>
        <row r="15">
          <cell r="B15" t="e">
            <v>#VALUE!</v>
          </cell>
          <cell r="C15" t="str">
            <v>Covad / Megapath / Speakeasy</v>
          </cell>
          <cell r="D15" t="str">
            <v>Speakeasy</v>
          </cell>
          <cell r="E15" t="str">
            <v>Covad / Megapath</v>
          </cell>
          <cell r="F15">
            <v>40340</v>
          </cell>
          <cell r="G15" t="str">
            <v>NA</v>
          </cell>
          <cell r="H15" t="str">
            <v>NA</v>
          </cell>
          <cell r="I15" t="str">
            <v>NA</v>
          </cell>
          <cell r="J15" t="str">
            <v>NA</v>
          </cell>
          <cell r="K15" t="str">
            <v>NA</v>
          </cell>
          <cell r="L15" t="str">
            <v>NA</v>
          </cell>
          <cell r="O15">
            <v>10</v>
          </cell>
          <cell r="P15" t="str">
            <v>Level 3 / Global Crossing</v>
          </cell>
          <cell r="Q15">
            <v>0.13704888076747374</v>
          </cell>
        </row>
        <row r="16">
          <cell r="B16" t="e">
            <v>#VALUE!</v>
          </cell>
          <cell r="C16" t="str">
            <v>Lightower / Veroxity</v>
          </cell>
          <cell r="D16" t="str">
            <v>Veroxity</v>
          </cell>
          <cell r="E16" t="str">
            <v>Lightower</v>
          </cell>
          <cell r="F16">
            <v>40323</v>
          </cell>
          <cell r="G16" t="str">
            <v>NA</v>
          </cell>
          <cell r="H16" t="str">
            <v>NA</v>
          </cell>
          <cell r="I16" t="str">
            <v>NA</v>
          </cell>
          <cell r="J16" t="str">
            <v>NA</v>
          </cell>
          <cell r="K16" t="str">
            <v>NA</v>
          </cell>
          <cell r="L16" t="str">
            <v>NA</v>
          </cell>
          <cell r="O16">
            <v>11</v>
          </cell>
          <cell r="P16" t="str">
            <v xml:space="preserve">NTELOS / Fibernet </v>
          </cell>
          <cell r="Q16">
            <v>0.15686274509803921</v>
          </cell>
        </row>
        <row r="17">
          <cell r="B17" t="e">
            <v>#VALUE!</v>
          </cell>
          <cell r="C17" t="str">
            <v>Covad / Megapath</v>
          </cell>
          <cell r="D17" t="str">
            <v>Megapath</v>
          </cell>
          <cell r="E17" t="str">
            <v>Covad</v>
          </cell>
          <cell r="F17">
            <v>40268</v>
          </cell>
          <cell r="G17" t="str">
            <v>NA</v>
          </cell>
          <cell r="H17" t="str">
            <v>NA</v>
          </cell>
          <cell r="I17" t="str">
            <v>NA</v>
          </cell>
          <cell r="J17" t="str">
            <v>NA</v>
          </cell>
          <cell r="K17" t="str">
            <v>NA</v>
          </cell>
          <cell r="L17" t="str">
            <v>NA</v>
          </cell>
          <cell r="O17">
            <v>12</v>
          </cell>
          <cell r="P17" t="str">
            <v>Windstream / KDL / Norlight</v>
          </cell>
          <cell r="Q17">
            <v>0.18089725036179452</v>
          </cell>
        </row>
        <row r="18">
          <cell r="B18">
            <v>14</v>
          </cell>
          <cell r="C18" t="str">
            <v>Zayo Group / AGL Networks</v>
          </cell>
          <cell r="D18" t="str">
            <v>AGL Networks</v>
          </cell>
          <cell r="E18" t="str">
            <v>Zayo Group</v>
          </cell>
          <cell r="F18">
            <v>40261</v>
          </cell>
          <cell r="G18">
            <v>73</v>
          </cell>
          <cell r="H18" t="str">
            <v>10.1x</v>
          </cell>
          <cell r="I18" t="str">
            <v>7.7x</v>
          </cell>
          <cell r="J18">
            <v>2.2999999999999998</v>
          </cell>
          <cell r="K18">
            <v>11.2</v>
          </cell>
          <cell r="L18">
            <v>0.20535714285714285</v>
          </cell>
          <cell r="O18">
            <v>8</v>
          </cell>
          <cell r="P18" t="str">
            <v>PAETEC / US LEC (2)</v>
          </cell>
          <cell r="Q18">
            <v>9.8039215686274508E-2</v>
          </cell>
        </row>
        <row r="19">
          <cell r="B19" t="e">
            <v>#VALUE!</v>
          </cell>
          <cell r="C19" t="str">
            <v>PacketExchange / Mzima Networks</v>
          </cell>
          <cell r="D19" t="str">
            <v>Mzima Networks</v>
          </cell>
          <cell r="E19" t="str">
            <v>PacketExchange</v>
          </cell>
          <cell r="F19">
            <v>40196</v>
          </cell>
          <cell r="G19" t="str">
            <v>NA</v>
          </cell>
          <cell r="H19" t="str">
            <v>NA</v>
          </cell>
          <cell r="I19" t="str">
            <v>NA</v>
          </cell>
          <cell r="J19" t="str">
            <v>NA</v>
          </cell>
          <cell r="K19" t="str">
            <v>NA</v>
          </cell>
          <cell r="L19" t="str">
            <v>NA</v>
          </cell>
          <cell r="O19">
            <v>9</v>
          </cell>
          <cell r="P19" t="str">
            <v>PAETEC / Cavalier</v>
          </cell>
          <cell r="Q19">
            <v>0.10416666666666667</v>
          </cell>
        </row>
        <row r="20">
          <cell r="B20">
            <v>7</v>
          </cell>
          <cell r="C20" t="str">
            <v>Windstream / NuVox</v>
          </cell>
          <cell r="D20" t="str">
            <v>NuVox</v>
          </cell>
          <cell r="E20" t="str">
            <v>Windstream</v>
          </cell>
          <cell r="F20">
            <v>40120</v>
          </cell>
          <cell r="G20">
            <v>643</v>
          </cell>
          <cell r="H20" t="str">
            <v>5.7x</v>
          </cell>
          <cell r="I20" t="str">
            <v>4.5x</v>
          </cell>
          <cell r="J20">
            <v>30</v>
          </cell>
          <cell r="K20">
            <v>446</v>
          </cell>
          <cell r="L20">
            <v>6.726457399103139E-2</v>
          </cell>
          <cell r="O20">
            <v>9</v>
          </cell>
          <cell r="P20" t="str">
            <v>PAETEC / Cavalier</v>
          </cell>
          <cell r="Q20">
            <v>0.10416666666666667</v>
          </cell>
        </row>
        <row r="21">
          <cell r="B21">
            <v>6</v>
          </cell>
          <cell r="C21" t="str">
            <v>PAETEC / McLeod USA</v>
          </cell>
          <cell r="D21" t="str">
            <v>McLeod USA</v>
          </cell>
          <cell r="E21" t="str">
            <v>PAETEC</v>
          </cell>
          <cell r="F21">
            <v>39342</v>
          </cell>
          <cell r="G21">
            <v>557</v>
          </cell>
          <cell r="H21" t="str">
            <v>11.6x</v>
          </cell>
          <cell r="I21" t="str">
            <v>7.1x</v>
          </cell>
          <cell r="J21">
            <v>30</v>
          </cell>
          <cell r="K21">
            <v>469</v>
          </cell>
          <cell r="L21">
            <v>6.3965884861407252E-2</v>
          </cell>
          <cell r="O21">
            <v>10</v>
          </cell>
          <cell r="P21" t="str">
            <v>Level 3 / Global Crossing</v>
          </cell>
          <cell r="Q21">
            <v>0.13704888076747374</v>
          </cell>
        </row>
        <row r="22">
          <cell r="B22">
            <v>8</v>
          </cell>
          <cell r="C22" t="str">
            <v>PAETEC / US LEC (2)</v>
          </cell>
          <cell r="D22" t="str">
            <v>US LEC (2)</v>
          </cell>
          <cell r="E22" t="str">
            <v>PAETEC</v>
          </cell>
          <cell r="F22">
            <v>38943</v>
          </cell>
          <cell r="G22">
            <v>826</v>
          </cell>
          <cell r="H22" t="str">
            <v>14.2x</v>
          </cell>
          <cell r="I22" t="str">
            <v>8.4x</v>
          </cell>
          <cell r="J22">
            <v>40</v>
          </cell>
          <cell r="K22">
            <v>408</v>
          </cell>
          <cell r="L22">
            <v>9.8039215686274508E-2</v>
          </cell>
          <cell r="O22">
            <v>11</v>
          </cell>
          <cell r="P22" t="str">
            <v xml:space="preserve">NTELOS / Fibernet </v>
          </cell>
          <cell r="Q22">
            <v>0.15686274509803921</v>
          </cell>
        </row>
        <row r="23">
          <cell r="B23">
            <v>3</v>
          </cell>
          <cell r="C23" t="str">
            <v>PAETEC / US LEC (1)</v>
          </cell>
          <cell r="D23" t="str">
            <v>US LEC (1)</v>
          </cell>
          <cell r="E23" t="str">
            <v>PAETEC</v>
          </cell>
          <cell r="F23">
            <v>38943</v>
          </cell>
          <cell r="G23">
            <v>1262</v>
          </cell>
          <cell r="H23" t="str">
            <v>8.6x</v>
          </cell>
          <cell r="I23" t="str">
            <v>6.8x</v>
          </cell>
          <cell r="J23">
            <v>40</v>
          </cell>
          <cell r="K23">
            <v>812</v>
          </cell>
          <cell r="L23">
            <v>4.9261083743842367E-2</v>
          </cell>
          <cell r="O23">
            <v>12</v>
          </cell>
          <cell r="P23" t="str">
            <v>Windstream / KDL / Norlight</v>
          </cell>
          <cell r="Q23">
            <v>0.18089725036179452</v>
          </cell>
        </row>
        <row r="24">
          <cell r="B24">
            <v>15</v>
          </cell>
          <cell r="C24" t="str">
            <v>tw telecom / Xspedius</v>
          </cell>
          <cell r="D24" t="str">
            <v>Xspedius</v>
          </cell>
          <cell r="E24" t="str">
            <v>tw telecom</v>
          </cell>
          <cell r="F24">
            <v>38926</v>
          </cell>
          <cell r="G24">
            <v>531.5</v>
          </cell>
          <cell r="H24" t="str">
            <v>11.8x (2)</v>
          </cell>
          <cell r="I24" t="str">
            <v>5.9x (2)</v>
          </cell>
          <cell r="J24">
            <v>45</v>
          </cell>
          <cell r="K24">
            <v>195</v>
          </cell>
          <cell r="L24">
            <v>0.23076923076923078</v>
          </cell>
          <cell r="O24">
            <v>13</v>
          </cell>
          <cell r="P24" t="str">
            <v>Level 3 / WilTel</v>
          </cell>
          <cell r="Q24">
            <v>0.19444444444444445</v>
          </cell>
        </row>
        <row r="25">
          <cell r="C25" t="str">
            <v>Level 3 / Telcove</v>
          </cell>
          <cell r="D25" t="str">
            <v>Telcove</v>
          </cell>
          <cell r="E25" t="str">
            <v>Level 3</v>
          </cell>
          <cell r="F25">
            <v>38838</v>
          </cell>
          <cell r="G25">
            <v>1237.5</v>
          </cell>
          <cell r="H25" t="str">
            <v>9.5x (3)</v>
          </cell>
          <cell r="I25" t="str">
            <v>NA</v>
          </cell>
          <cell r="J25" t="str">
            <v>NA</v>
          </cell>
          <cell r="K25">
            <v>260</v>
          </cell>
          <cell r="L25" t="str">
            <v>NA</v>
          </cell>
          <cell r="M25" t="str">
            <v>Revenue</v>
          </cell>
          <cell r="N25" t="str">
            <v>Integration</v>
          </cell>
          <cell r="O25">
            <v>12</v>
          </cell>
          <cell r="P25" t="str">
            <v>Windstream / KDL / Norlight</v>
          </cell>
          <cell r="Q25">
            <v>0.18089725036179452</v>
          </cell>
          <cell r="R25" t="str">
            <v>Capex</v>
          </cell>
        </row>
        <row r="26">
          <cell r="B26">
            <v>13</v>
          </cell>
          <cell r="C26" t="str">
            <v>Level 3 / WilTel</v>
          </cell>
          <cell r="D26" t="str">
            <v>WilTel</v>
          </cell>
          <cell r="E26" t="str">
            <v>Level 3</v>
          </cell>
          <cell r="F26">
            <v>38656</v>
          </cell>
          <cell r="G26">
            <v>703.5</v>
          </cell>
          <cell r="H26" t="str">
            <v>NA</v>
          </cell>
          <cell r="I26" t="str">
            <v>NA</v>
          </cell>
          <cell r="J26">
            <v>140</v>
          </cell>
          <cell r="K26">
            <v>720</v>
          </cell>
          <cell r="L26">
            <v>0.19444444444444445</v>
          </cell>
          <cell r="M26">
            <v>900</v>
          </cell>
          <cell r="O26">
            <v>14</v>
          </cell>
          <cell r="P26" t="str">
            <v>Zayo Group / AGL Networks</v>
          </cell>
          <cell r="Q26">
            <v>0.20535714285714285</v>
          </cell>
        </row>
        <row r="27">
          <cell r="B27">
            <v>5</v>
          </cell>
          <cell r="C27" t="str">
            <v>Windstream / PAETEC</v>
          </cell>
          <cell r="D27" t="str">
            <v>PAETEC</v>
          </cell>
          <cell r="E27" t="str">
            <v>Windstream</v>
          </cell>
          <cell r="L27">
            <v>0.06</v>
          </cell>
          <cell r="O27">
            <v>15</v>
          </cell>
          <cell r="P27" t="str">
            <v>tw telecom / Xspedius</v>
          </cell>
          <cell r="Q27">
            <v>0.23076923076923078</v>
          </cell>
        </row>
        <row r="28">
          <cell r="D28" t="str">
            <v>AVERAGE</v>
          </cell>
          <cell r="L28">
            <v>0.1164629645238283</v>
          </cell>
        </row>
        <row r="30">
          <cell r="A30" t="str">
            <v>Private Equity</v>
          </cell>
          <cell r="D30" t="str">
            <v>RCN</v>
          </cell>
          <cell r="E30" t="str">
            <v>ABRY Partners</v>
          </cell>
          <cell r="F30">
            <v>40243</v>
          </cell>
          <cell r="G30">
            <v>1200</v>
          </cell>
          <cell r="H30" t="str">
            <v>8.3x</v>
          </cell>
          <cell r="I30" t="str">
            <v>NA</v>
          </cell>
          <cell r="J30" t="str">
            <v>NA</v>
          </cell>
          <cell r="K30">
            <v>422.5</v>
          </cell>
          <cell r="L30" t="str">
            <v>NA</v>
          </cell>
        </row>
        <row r="31">
          <cell r="D31" t="str">
            <v>DukeNet</v>
          </cell>
          <cell r="E31" t="str">
            <v>Alinda Capital Partners (50% Stake)</v>
          </cell>
          <cell r="F31">
            <v>40354</v>
          </cell>
          <cell r="G31">
            <v>137</v>
          </cell>
          <cell r="H31" t="str">
            <v>NA</v>
          </cell>
          <cell r="I31" t="str">
            <v>NA</v>
          </cell>
          <cell r="J31" t="str">
            <v>NA</v>
          </cell>
          <cell r="K31" t="str">
            <v>NA</v>
          </cell>
          <cell r="L31" t="str">
            <v>NA</v>
          </cell>
        </row>
        <row r="32">
          <cell r="D32" t="str">
            <v>Fibertech</v>
          </cell>
          <cell r="E32" t="str">
            <v>Court Square Capital Partners</v>
          </cell>
          <cell r="F32">
            <v>40416</v>
          </cell>
          <cell r="G32">
            <v>500</v>
          </cell>
          <cell r="H32" t="str">
            <v>NA</v>
          </cell>
          <cell r="I32" t="str">
            <v>NA</v>
          </cell>
          <cell r="J32" t="str">
            <v>NA</v>
          </cell>
          <cell r="K32" t="str">
            <v>NA</v>
          </cell>
          <cell r="L32" t="str">
            <v>NA</v>
          </cell>
        </row>
        <row r="33">
          <cell r="D33" t="str">
            <v>Unite Private Networks</v>
          </cell>
          <cell r="E33" t="str">
            <v>Ridgemont Equity Partners</v>
          </cell>
          <cell r="F33">
            <v>40421</v>
          </cell>
          <cell r="G33" t="str">
            <v>NA</v>
          </cell>
          <cell r="H33" t="str">
            <v>NA</v>
          </cell>
          <cell r="I33" t="str">
            <v>NA</v>
          </cell>
          <cell r="J33" t="str">
            <v>NA</v>
          </cell>
          <cell r="K33" t="str">
            <v>NA</v>
          </cell>
          <cell r="L33" t="str">
            <v>NA</v>
          </cell>
        </row>
        <row r="35">
          <cell r="E35" t="str">
            <v>= Prior Year EBITDA</v>
          </cell>
        </row>
        <row r="37">
          <cell r="E37" t="str">
            <v>= 2007 Projected EBITDA</v>
          </cell>
          <cell r="N37">
            <v>125</v>
          </cell>
          <cell r="O37">
            <v>75</v>
          </cell>
          <cell r="Q37">
            <v>200</v>
          </cell>
          <cell r="R37">
            <v>35</v>
          </cell>
          <cell r="S37">
            <v>235</v>
          </cell>
          <cell r="T37">
            <v>665</v>
          </cell>
          <cell r="U37">
            <v>0.21052631578947367</v>
          </cell>
        </row>
        <row r="38">
          <cell r="E38" t="str">
            <v>= 2006 Projected EBITDA</v>
          </cell>
        </row>
        <row r="40">
          <cell r="D40" t="str">
            <v>(1) Projected Merged Entity</v>
          </cell>
        </row>
        <row r="41">
          <cell r="D41" t="str">
            <v>(2) Price Includes Financing of PAETEC's First and Second Lien Debt, US LEC Debt, Purchase of US LEC Preferred Stock, and Fees &amp; Other</v>
          </cell>
        </row>
      </sheetData>
      <sheetData sheetId="14" refreshError="1">
        <row r="1">
          <cell r="J1" t="str">
            <v>Sep 30 2008 LTM</v>
          </cell>
          <cell r="O1" t="str">
            <v>CTL</v>
          </cell>
          <cell r="P1" t="str">
            <v>SVVS</v>
          </cell>
          <cell r="Q1" t="str">
            <v>SVVS</v>
          </cell>
          <cell r="R1" t="str">
            <v>T/Tmo</v>
          </cell>
          <cell r="X1">
            <v>2008</v>
          </cell>
          <cell r="Z1" t="str">
            <v>12 months ended sept 30 2009</v>
          </cell>
          <cell r="AC1" t="str">
            <v>12 months ended sept 30 2009</v>
          </cell>
        </row>
        <row r="2">
          <cell r="I2" t="str">
            <v>CTL</v>
          </cell>
          <cell r="K2" t="str">
            <v>EMBARQ</v>
          </cell>
          <cell r="L2" t="str">
            <v>CTL</v>
          </cell>
          <cell r="M2" t="str">
            <v>Q</v>
          </cell>
          <cell r="O2" t="str">
            <v>CTL</v>
          </cell>
          <cell r="P2" t="str">
            <v xml:space="preserve">1Q11 </v>
          </cell>
          <cell r="Q2" t="str">
            <v>2011 Guidance</v>
          </cell>
          <cell r="R2">
            <v>2010</v>
          </cell>
          <cell r="T2" t="str">
            <v>Spinco</v>
          </cell>
          <cell r="U2" t="str">
            <v>FRP legacy</v>
          </cell>
          <cell r="V2" t="str">
            <v>adj</v>
          </cell>
          <cell r="X2" t="str">
            <v>FTR</v>
          </cell>
          <cell r="Y2" t="str">
            <v>Spinco</v>
          </cell>
          <cell r="Z2" t="str">
            <v>WIN</v>
          </cell>
          <cell r="AA2" t="str">
            <v>IOWA</v>
          </cell>
          <cell r="AC2" t="str">
            <v>WIN</v>
          </cell>
          <cell r="AD2" t="str">
            <v>Lexcom</v>
          </cell>
          <cell r="AF2" t="str">
            <v>Nuvox</v>
          </cell>
          <cell r="AG2" t="str">
            <v>D&amp;E</v>
          </cell>
          <cell r="AH2" t="str">
            <v>WIN</v>
          </cell>
        </row>
        <row r="3">
          <cell r="B3" t="str">
            <v>WIN / D&amp;E</v>
          </cell>
          <cell r="C3">
            <v>0.29761904761904762</v>
          </cell>
          <cell r="L3">
            <v>7530.2110000000002</v>
          </cell>
          <cell r="M3">
            <v>12311</v>
          </cell>
          <cell r="N3">
            <v>19841.210999999999</v>
          </cell>
          <cell r="Q3">
            <v>1045</v>
          </cell>
          <cell r="R3">
            <v>21346.996447092166</v>
          </cell>
          <cell r="T3">
            <v>1197</v>
          </cell>
          <cell r="U3">
            <v>283</v>
          </cell>
          <cell r="V3">
            <v>-5</v>
          </cell>
          <cell r="W3">
            <v>1475</v>
          </cell>
          <cell r="X3">
            <v>2237</v>
          </cell>
          <cell r="Y3">
            <v>4352</v>
          </cell>
          <cell r="Z3">
            <v>3716.3002721330281</v>
          </cell>
          <cell r="AA3">
            <v>275</v>
          </cell>
          <cell r="AB3">
            <v>3991.3002721330281</v>
          </cell>
          <cell r="AC3">
            <v>3020.2</v>
          </cell>
          <cell r="AD3">
            <v>44</v>
          </cell>
          <cell r="AE3">
            <v>3064.2</v>
          </cell>
          <cell r="AF3">
            <v>565</v>
          </cell>
          <cell r="AG3">
            <v>148</v>
          </cell>
          <cell r="AH3">
            <v>3246.6</v>
          </cell>
          <cell r="AI3">
            <v>3394.6</v>
          </cell>
        </row>
        <row r="4">
          <cell r="B4" t="str">
            <v>WIN / IOWA</v>
          </cell>
          <cell r="C4">
            <v>0.2413793103448276</v>
          </cell>
          <cell r="K4">
            <v>6222</v>
          </cell>
          <cell r="L4">
            <v>3729.6940000000004</v>
          </cell>
          <cell r="M4">
            <v>7896</v>
          </cell>
          <cell r="N4">
            <v>11625.694</v>
          </cell>
          <cell r="Q4">
            <v>767.5</v>
          </cell>
          <cell r="R4">
            <v>15869</v>
          </cell>
          <cell r="T4">
            <v>845</v>
          </cell>
          <cell r="U4">
            <v>218</v>
          </cell>
          <cell r="V4">
            <v>-99</v>
          </cell>
          <cell r="W4">
            <v>964</v>
          </cell>
          <cell r="X4">
            <v>1023</v>
          </cell>
          <cell r="Y4">
            <v>2549</v>
          </cell>
          <cell r="Z4">
            <v>1912.3</v>
          </cell>
          <cell r="AA4">
            <v>145</v>
          </cell>
          <cell r="AB4">
            <v>2057.3000000000002</v>
          </cell>
          <cell r="AC4">
            <v>1497.6999999999998</v>
          </cell>
          <cell r="AD4">
            <v>21</v>
          </cell>
          <cell r="AE4">
            <v>1518.6999999999998</v>
          </cell>
          <cell r="AF4">
            <v>453</v>
          </cell>
          <cell r="AG4">
            <v>84</v>
          </cell>
          <cell r="AH4">
            <v>1527.3</v>
          </cell>
          <cell r="AI4">
            <v>1611.3</v>
          </cell>
        </row>
        <row r="5">
          <cell r="B5" t="str">
            <v>WIN / LEXCOM</v>
          </cell>
          <cell r="C5">
            <v>0.23809523809523808</v>
          </cell>
          <cell r="K5">
            <v>3624</v>
          </cell>
          <cell r="L5">
            <v>3800.5169999999998</v>
          </cell>
          <cell r="M5">
            <v>4415</v>
          </cell>
          <cell r="N5">
            <v>8215.5169999999998</v>
          </cell>
          <cell r="Q5">
            <v>277.5</v>
          </cell>
          <cell r="T5">
            <v>352</v>
          </cell>
          <cell r="U5">
            <v>65</v>
          </cell>
          <cell r="X5">
            <v>1214</v>
          </cell>
          <cell r="Y5">
            <v>1803</v>
          </cell>
          <cell r="Z5">
            <v>1804.0002721330281</v>
          </cell>
          <cell r="AA5">
            <v>130</v>
          </cell>
          <cell r="AB5">
            <v>1934.0002721330281</v>
          </cell>
          <cell r="AC5">
            <v>1522.5</v>
          </cell>
          <cell r="AD5">
            <v>23</v>
          </cell>
          <cell r="AE5">
            <v>1545.5</v>
          </cell>
          <cell r="AF5">
            <v>112</v>
          </cell>
          <cell r="AG5">
            <v>64</v>
          </cell>
          <cell r="AH5">
            <v>1719.3</v>
          </cell>
          <cell r="AI5">
            <v>1783.3</v>
          </cell>
        </row>
        <row r="6">
          <cell r="B6" t="str">
            <v>FTR / VZ</v>
          </cell>
          <cell r="C6">
            <v>0.19615535504119264</v>
          </cell>
          <cell r="K6">
            <v>2598</v>
          </cell>
        </row>
        <row r="7">
          <cell r="B7" t="str">
            <v>T/T-Mo</v>
          </cell>
          <cell r="C7">
            <v>0.18904782910076248</v>
          </cell>
          <cell r="M7">
            <v>575</v>
          </cell>
          <cell r="Q7">
            <v>70</v>
          </cell>
          <cell r="R7">
            <v>3000</v>
          </cell>
          <cell r="T7">
            <v>111</v>
          </cell>
          <cell r="Y7">
            <v>500</v>
          </cell>
          <cell r="AA7">
            <v>35</v>
          </cell>
          <cell r="AD7">
            <v>5</v>
          </cell>
          <cell r="AF7">
            <v>30</v>
          </cell>
          <cell r="AG7">
            <v>25</v>
          </cell>
        </row>
        <row r="8">
          <cell r="B8" t="str">
            <v>LVLT/GLBC</v>
          </cell>
          <cell r="C8">
            <v>0.13700000000000001</v>
          </cell>
          <cell r="J8">
            <v>300</v>
          </cell>
          <cell r="K8">
            <v>375</v>
          </cell>
          <cell r="M8">
            <v>50</v>
          </cell>
        </row>
        <row r="9">
          <cell r="B9" t="str">
            <v>FRP / VZ</v>
          </cell>
          <cell r="C9">
            <v>0.13136094674556212</v>
          </cell>
        </row>
        <row r="10">
          <cell r="B10" t="str">
            <v>CTL / EQ *</v>
          </cell>
          <cell r="C10">
            <v>0.10347682119205298</v>
          </cell>
          <cell r="T10">
            <v>111</v>
          </cell>
          <cell r="Y10">
            <v>500</v>
          </cell>
          <cell r="AG10">
            <v>25</v>
          </cell>
        </row>
        <row r="11">
          <cell r="B11" t="str">
            <v>CTL / SVVS</v>
          </cell>
          <cell r="C11">
            <v>9.1205211726384364E-2</v>
          </cell>
        </row>
        <row r="12">
          <cell r="B12" t="str">
            <v>CTL / EQ **</v>
          </cell>
          <cell r="C12">
            <v>8.2781456953642391E-2</v>
          </cell>
          <cell r="J12">
            <v>8.2781456953642391E-2</v>
          </cell>
          <cell r="K12">
            <v>0.10347682119205298</v>
          </cell>
          <cell r="M12">
            <v>7.2821681864235058E-2</v>
          </cell>
          <cell r="Q12">
            <v>9.1205211726384364E-2</v>
          </cell>
          <cell r="R12">
            <v>0.18904782910076248</v>
          </cell>
          <cell r="T12">
            <v>0.13136094674556212</v>
          </cell>
          <cell r="Y12">
            <v>0.19615535504119264</v>
          </cell>
          <cell r="AA12">
            <v>0.2413793103448276</v>
          </cell>
          <cell r="AD12">
            <v>0.23809523809523808</v>
          </cell>
          <cell r="AF12">
            <v>6.6225165562913912E-2</v>
          </cell>
          <cell r="AG12">
            <v>0.29761904761904762</v>
          </cell>
        </row>
        <row r="13">
          <cell r="B13" t="str">
            <v>CTL / Q (1)</v>
          </cell>
          <cell r="C13">
            <v>7.2821681864235058E-2</v>
          </cell>
          <cell r="I13" t="str">
            <v>Note 1: CenturyTel presentation (10/27/08) assuming $300m in announced cost synergies and $4.4b 2008 proforma cash opex</v>
          </cell>
          <cell r="L13" t="str">
            <v>Note: Investors' presentation (04/22/10) assuming $575 of operating expense synergies and $11.6b 2009 proforma cash opex</v>
          </cell>
          <cell r="T13" t="str">
            <v>Note: Fairpoint investor presentation (04/17/08), assuming $111m of announced cost synergies and $964m in proforma 2007 cash opex.</v>
          </cell>
          <cell r="X13" t="str">
            <v>Note: Assuming $500m cash opex savings and $3.5b in pro forma 2008 cash opex. Spinco numbers from Verizon's 8-k (03/24/2010)</v>
          </cell>
          <cell r="Z13" t="str">
            <v>Note: Windstream press release (11/24/09) assuming $35m in operating expenses and capex savings, and $2.0bn in proforma cash opex for the 12 months ended 09/30/09. IWA proforma for Sherburne, WIN proforma for Nuvox, D&amp;E and Lexcom</v>
          </cell>
          <cell r="AC13" t="str">
            <v>Note: Windstream press releases (09/08/09-12/01/09) assuming $5m in operating expenses and capex savings, and $1.5bn in proforma cash opex for the 12 months ended 09/30/09. WIN excludes Nuvox, D&amp;E and Lexcom.</v>
          </cell>
          <cell r="AG13" t="str">
            <v>(7) Windstream press release (05/11/09) assuming $25m in operating expenses and capex savings, and $1.6bn in proforma cash opex for the 12 months ended 03/31/09. WIN excludes Nuvox.</v>
          </cell>
        </row>
        <row r="14">
          <cell r="B14" t="str">
            <v>WIN / NuVox</v>
          </cell>
          <cell r="C14">
            <v>6.7000000000000004E-2</v>
          </cell>
        </row>
        <row r="15">
          <cell r="B15" t="str">
            <v>WIN / PAET</v>
          </cell>
          <cell r="C15">
            <v>0.06</v>
          </cell>
          <cell r="Q15">
            <v>280</v>
          </cell>
        </row>
        <row r="16">
          <cell r="Q16">
            <v>8000</v>
          </cell>
        </row>
        <row r="17">
          <cell r="I17" t="str">
            <v>Note 2: CenturyTel 2Q09 earnings conference call, assuming $375m in cost synergies and $4.4b 2008 proforma cash opex</v>
          </cell>
          <cell r="Q17">
            <v>8280</v>
          </cell>
        </row>
        <row r="43">
          <cell r="Q43" t="str">
            <v>Share price</v>
          </cell>
          <cell r="R43">
            <v>40</v>
          </cell>
        </row>
        <row r="45">
          <cell r="C45" t="str">
            <v>2Q10</v>
          </cell>
          <cell r="G45" t="str">
            <v>4Q09</v>
          </cell>
          <cell r="R45" t="str">
            <v>CTL</v>
          </cell>
          <cell r="S45" t="str">
            <v>SVVS</v>
          </cell>
          <cell r="T45" t="str">
            <v>CTL+SVVS</v>
          </cell>
        </row>
        <row r="46">
          <cell r="C46" t="str">
            <v>Access 
Lines
(000)</v>
          </cell>
          <cell r="D46" t="str">
            <v>Mkt
Share
(%)</v>
          </cell>
          <cell r="G46" t="str">
            <v>B'band
(000)</v>
          </cell>
          <cell r="H46" t="str">
            <v>Mkt
Share
(%)</v>
          </cell>
          <cell r="I46" t="str">
            <v>Penetration of Access Lines</v>
          </cell>
          <cell r="Q46" t="str">
            <v>Shares</v>
          </cell>
          <cell r="R46">
            <v>588.5</v>
          </cell>
          <cell r="S46">
            <v>16</v>
          </cell>
          <cell r="T46">
            <v>604.5</v>
          </cell>
        </row>
        <row r="47">
          <cell r="Q47" t="str">
            <v>Mkt cap</v>
          </cell>
          <cell r="R47">
            <v>23540</v>
          </cell>
          <cell r="S47">
            <v>640</v>
          </cell>
          <cell r="T47">
            <v>24180</v>
          </cell>
        </row>
        <row r="49">
          <cell r="B49" t="str">
            <v>AT&amp;T</v>
          </cell>
          <cell r="C49">
            <v>46058</v>
          </cell>
          <cell r="D49">
            <v>0.37751097804547484</v>
          </cell>
          <cell r="F49" t="str">
            <v>Comcast</v>
          </cell>
          <cell r="G49">
            <v>16448</v>
          </cell>
          <cell r="H49">
            <v>0.23394901123401871</v>
          </cell>
          <cell r="I49" t="str">
            <v>na</v>
          </cell>
          <cell r="Q49" t="str">
            <v>Net Debt</v>
          </cell>
          <cell r="R49">
            <v>19631</v>
          </cell>
          <cell r="S49">
            <v>2400</v>
          </cell>
          <cell r="T49">
            <v>22031</v>
          </cell>
        </row>
        <row r="50">
          <cell r="B50" t="str">
            <v>Verizon</v>
          </cell>
          <cell r="C50">
            <v>27138</v>
          </cell>
          <cell r="D50">
            <v>0.22243460250549515</v>
          </cell>
          <cell r="F50" t="str">
            <v>AT&amp;T</v>
          </cell>
          <cell r="G50">
            <v>15916</v>
          </cell>
          <cell r="H50">
            <v>0.22638208066638144</v>
          </cell>
          <cell r="I50">
            <v>0.34556428850579701</v>
          </cell>
        </row>
        <row r="51">
          <cell r="B51" t="str">
            <v>CTL + Q</v>
          </cell>
          <cell r="C51">
            <v>16258</v>
          </cell>
          <cell r="D51">
            <v>0.13325749014423835</v>
          </cell>
          <cell r="F51" t="str">
            <v>Time Warner Cable</v>
          </cell>
          <cell r="G51">
            <v>9606</v>
          </cell>
          <cell r="H51">
            <v>0.13663145682842801</v>
          </cell>
          <cell r="I51" t="str">
            <v>na</v>
          </cell>
          <cell r="Q51" t="str">
            <v>EV</v>
          </cell>
          <cell r="R51">
            <v>43171</v>
          </cell>
          <cell r="S51">
            <v>3040</v>
          </cell>
          <cell r="T51">
            <v>46211</v>
          </cell>
        </row>
        <row r="52">
          <cell r="B52" t="str">
            <v>Comcast</v>
          </cell>
          <cell r="C52">
            <v>8125</v>
          </cell>
          <cell r="D52">
            <v>6.659595936904518E-2</v>
          </cell>
          <cell r="F52" t="str">
            <v>Verizon</v>
          </cell>
          <cell r="G52">
            <v>8279</v>
          </cell>
          <cell r="H52">
            <v>0.1177568010704305</v>
          </cell>
          <cell r="I52">
            <v>0.30507038101555017</v>
          </cell>
        </row>
        <row r="53">
          <cell r="B53" t="str">
            <v>Frontier</v>
          </cell>
          <cell r="C53">
            <v>6009.25</v>
          </cell>
          <cell r="D53">
            <v>4.9254371549345817E-2</v>
          </cell>
          <cell r="F53" t="str">
            <v>CTL + Q</v>
          </cell>
          <cell r="G53">
            <v>5201</v>
          </cell>
          <cell r="H53">
            <v>7.3976702786243395E-2</v>
          </cell>
          <cell r="I53">
            <v>0.3199040472382827</v>
          </cell>
        </row>
        <row r="54">
          <cell r="B54" t="str">
            <v>Time Warner Cable</v>
          </cell>
          <cell r="C54">
            <v>4392</v>
          </cell>
          <cell r="D54">
            <v>3.5998701975242638E-2</v>
          </cell>
          <cell r="F54" t="str">
            <v>Cox</v>
          </cell>
          <cell r="G54">
            <v>4157.3310000000001</v>
          </cell>
          <cell r="H54">
            <v>5.9132020721214394E-2</v>
          </cell>
          <cell r="I54" t="str">
            <v>na</v>
          </cell>
          <cell r="Q54" t="str">
            <v>EBITDA</v>
          </cell>
          <cell r="R54">
            <v>8000</v>
          </cell>
          <cell r="S54">
            <v>280</v>
          </cell>
          <cell r="T54">
            <v>8280</v>
          </cell>
          <cell r="U54">
            <v>8350</v>
          </cell>
          <cell r="W54">
            <v>8300</v>
          </cell>
          <cell r="X54">
            <v>8370</v>
          </cell>
        </row>
        <row r="55">
          <cell r="B55" t="str">
            <v>Windstream</v>
          </cell>
          <cell r="C55">
            <v>3358.5</v>
          </cell>
          <cell r="D55">
            <v>2.7527695943500092E-2</v>
          </cell>
          <cell r="F55" t="str">
            <v>Charter</v>
          </cell>
          <cell r="G55">
            <v>3316.2</v>
          </cell>
          <cell r="H55">
            <v>4.7168148775185603E-2</v>
          </cell>
          <cell r="I55" t="str">
            <v>na</v>
          </cell>
        </row>
        <row r="56">
          <cell r="B56" t="str">
            <v>Cox</v>
          </cell>
          <cell r="C56">
            <v>2646.703</v>
          </cell>
          <cell r="D56">
            <v>2.1693504670760613E-2</v>
          </cell>
          <cell r="F56" t="str">
            <v>Cablevision</v>
          </cell>
          <cell r="G56">
            <v>2876.5000000000005</v>
          </cell>
          <cell r="H56">
            <v>4.0914052213926008E-2</v>
          </cell>
          <cell r="I56" t="str">
            <v>na</v>
          </cell>
          <cell r="Q56" t="str">
            <v>EV/EBITDA</v>
          </cell>
          <cell r="R56">
            <v>5.3963749999999999</v>
          </cell>
          <cell r="T56">
            <v>5.5810386473429956</v>
          </cell>
          <cell r="U56">
            <v>5.5342514970059877</v>
          </cell>
        </row>
        <row r="57">
          <cell r="B57" t="str">
            <v>Cablevision</v>
          </cell>
          <cell r="C57">
            <v>2706.0840202898721</v>
          </cell>
          <cell r="D57">
            <v>2.2180216795624215E-2</v>
          </cell>
          <cell r="F57" t="str">
            <v>Frontier</v>
          </cell>
          <cell r="G57">
            <v>1715.4540000000002</v>
          </cell>
          <cell r="H57">
            <v>2.4399852086420377E-2</v>
          </cell>
          <cell r="I57">
            <v>0.28546890210924825</v>
          </cell>
        </row>
        <row r="58">
          <cell r="B58" t="str">
            <v>Charter</v>
          </cell>
          <cell r="C58">
            <v>1708</v>
          </cell>
          <cell r="D58">
            <v>1.3999495212594359E-2</v>
          </cell>
          <cell r="F58" t="str">
            <v>Windstream</v>
          </cell>
          <cell r="G58">
            <v>1273.3</v>
          </cell>
          <cell r="H58">
            <v>1.8110850924384487E-2</v>
          </cell>
          <cell r="I58">
            <v>0.37912758672026203</v>
          </cell>
          <cell r="R58">
            <v>2.453875</v>
          </cell>
          <cell r="T58">
            <v>2.6607487922705313</v>
          </cell>
          <cell r="U58">
            <v>2.6384431137724551</v>
          </cell>
        </row>
        <row r="59">
          <cell r="B59" t="str">
            <v>FairPoint</v>
          </cell>
          <cell r="C59">
            <v>1197</v>
          </cell>
          <cell r="D59">
            <v>9.8111216448919479E-3</v>
          </cell>
          <cell r="F59" t="str">
            <v>Insight</v>
          </cell>
          <cell r="G59">
            <v>517.5</v>
          </cell>
          <cell r="H59">
            <v>7.3606890390080669E-3</v>
          </cell>
          <cell r="I59" t="str">
            <v>na</v>
          </cell>
        </row>
        <row r="60">
          <cell r="B60" t="str">
            <v>TDS</v>
          </cell>
          <cell r="C60">
            <v>868.1</v>
          </cell>
          <cell r="D60">
            <v>7.1153172096329997E-3</v>
          </cell>
          <cell r="F60" t="str">
            <v>FairPoint</v>
          </cell>
          <cell r="G60">
            <v>303</v>
          </cell>
          <cell r="H60">
            <v>4.3097367706655927E-3</v>
          </cell>
          <cell r="I60">
            <v>0.25313283208020049</v>
          </cell>
        </row>
        <row r="61">
          <cell r="B61" t="str">
            <v>Cincinnati Bell</v>
          </cell>
          <cell r="C61">
            <v>699</v>
          </cell>
          <cell r="D61">
            <v>5.7293016121800098E-3</v>
          </cell>
          <cell r="F61" t="str">
            <v>TDS</v>
          </cell>
          <cell r="G61">
            <v>258.2</v>
          </cell>
          <cell r="H61">
            <v>3.672521564969822E-3</v>
          </cell>
          <cell r="I61">
            <v>0.29743117152401793</v>
          </cell>
        </row>
        <row r="62">
          <cell r="B62" t="str">
            <v>Insight</v>
          </cell>
          <cell r="C62">
            <v>310</v>
          </cell>
          <cell r="D62">
            <v>2.5408919882343394E-3</v>
          </cell>
          <cell r="F62" t="str">
            <v>Cincinnati Bell</v>
          </cell>
          <cell r="G62">
            <v>252.6</v>
          </cell>
          <cell r="H62">
            <v>3.5928696642578508E-3</v>
          </cell>
          <cell r="I62">
            <v>0.36137339055793993</v>
          </cell>
          <cell r="S62">
            <v>800</v>
          </cell>
        </row>
        <row r="63">
          <cell r="B63" t="str">
            <v>Consolidated Comm.</v>
          </cell>
          <cell r="C63">
            <v>242.28200000000001</v>
          </cell>
          <cell r="D63">
            <v>1.9858464280432006E-3</v>
          </cell>
          <cell r="F63" t="str">
            <v>Consolidated Comm.</v>
          </cell>
          <cell r="G63">
            <v>103.428</v>
          </cell>
          <cell r="H63">
            <v>1.4711137119353165E-3</v>
          </cell>
          <cell r="I63">
            <v>0.42689097828150663</v>
          </cell>
          <cell r="P63">
            <v>2276</v>
          </cell>
          <cell r="S63">
            <v>20</v>
          </cell>
        </row>
        <row r="64">
          <cell r="B64" t="str">
            <v>Alaska</v>
          </cell>
          <cell r="C64">
            <v>178.00799999999998</v>
          </cell>
          <cell r="D64">
            <v>1.4590293581987683E-3</v>
          </cell>
          <cell r="F64" t="str">
            <v>Alaska</v>
          </cell>
          <cell r="G64">
            <v>45.933</v>
          </cell>
          <cell r="H64">
            <v>6.5333049203624642E-4</v>
          </cell>
          <cell r="I64">
            <v>0.25803896454091951</v>
          </cell>
        </row>
        <row r="65">
          <cell r="B65" t="str">
            <v>nTelos</v>
          </cell>
          <cell r="C65">
            <v>86.432000000000002</v>
          </cell>
          <cell r="D65">
            <v>7.0843347202280773E-4</v>
          </cell>
          <cell r="F65" t="str">
            <v>nTelos</v>
          </cell>
          <cell r="G65">
            <v>24.802</v>
          </cell>
          <cell r="H65">
            <v>3.5277257883184167E-4</v>
          </cell>
          <cell r="I65">
            <v>0.28695390596075526</v>
          </cell>
          <cell r="S65">
            <v>3.3984706881903144E-2</v>
          </cell>
        </row>
        <row r="66">
          <cell r="B66" t="str">
            <v>Shenandoah</v>
          </cell>
          <cell r="C66">
            <v>24.04</v>
          </cell>
          <cell r="D66">
            <v>1.9704207547468876E-4</v>
          </cell>
          <cell r="F66" t="str">
            <v>Shenandoah</v>
          </cell>
          <cell r="G66">
            <v>11.67</v>
          </cell>
          <cell r="H66">
            <v>1.6598887166226886E-4</v>
          </cell>
          <cell r="I66">
            <v>0.48544093178036607</v>
          </cell>
        </row>
        <row r="67">
          <cell r="B67" t="str">
            <v>TOTAL</v>
          </cell>
          <cell r="C67">
            <v>122004.39902028987</v>
          </cell>
          <cell r="D67">
            <v>1.0000000000000002</v>
          </cell>
          <cell r="F67" t="str">
            <v>TOTAL</v>
          </cell>
          <cell r="G67">
            <v>70305.918000000005</v>
          </cell>
          <cell r="H67">
            <v>0.99999999999999978</v>
          </cell>
          <cell r="I67">
            <v>0.57625723797309814</v>
          </cell>
        </row>
        <row r="69">
          <cell r="B69" t="str">
            <v>Qwest</v>
          </cell>
          <cell r="C69">
            <v>0</v>
          </cell>
          <cell r="D69">
            <v>0</v>
          </cell>
          <cell r="F69" t="str">
            <v>Qwest</v>
          </cell>
          <cell r="G69">
            <v>0</v>
          </cell>
          <cell r="H69">
            <v>0</v>
          </cell>
          <cell r="I69" t="e">
            <v>#DIV/0!</v>
          </cell>
          <cell r="S69">
            <v>2500</v>
          </cell>
        </row>
        <row r="70">
          <cell r="B70" t="str">
            <v>CenturyLink</v>
          </cell>
          <cell r="C70">
            <v>16258</v>
          </cell>
          <cell r="D70">
            <v>0.13325749014423835</v>
          </cell>
          <cell r="F70" t="str">
            <v>CenturyLink</v>
          </cell>
          <cell r="G70">
            <v>5201</v>
          </cell>
          <cell r="H70">
            <v>7.3976702786243395E-2</v>
          </cell>
          <cell r="I70">
            <v>0.3199040472382827</v>
          </cell>
          <cell r="R70">
            <v>58</v>
          </cell>
          <cell r="S70">
            <v>43.103448275862071</v>
          </cell>
        </row>
      </sheetData>
      <sheetData sheetId="15" refreshError="1">
        <row r="1">
          <cell r="G1" t="str">
            <v>FCC  Approval</v>
          </cell>
          <cell r="J1">
            <v>40660</v>
          </cell>
        </row>
        <row r="2">
          <cell r="C2" t="str">
            <v>Announced</v>
          </cell>
          <cell r="D2" t="str">
            <v xml:space="preserve">Closed </v>
          </cell>
          <cell r="E2" t="str">
            <v>Days Outstanding</v>
          </cell>
          <cell r="H2" t="str">
            <v>Days Outstanding</v>
          </cell>
        </row>
        <row r="3">
          <cell r="G3" t="str">
            <v>Status</v>
          </cell>
        </row>
        <row r="4">
          <cell r="B4" t="str">
            <v>CenturyTel/Embarq</v>
          </cell>
          <cell r="C4">
            <v>39748</v>
          </cell>
          <cell r="D4">
            <v>39995</v>
          </cell>
          <cell r="E4">
            <v>247</v>
          </cell>
          <cell r="G4" t="str">
            <v>Closed</v>
          </cell>
          <cell r="H4">
            <v>197</v>
          </cell>
        </row>
        <row r="5">
          <cell r="B5" t="str">
            <v>Verizon / Alltel</v>
          </cell>
          <cell r="C5">
            <v>39604</v>
          </cell>
          <cell r="D5">
            <v>39822</v>
          </cell>
          <cell r="E5">
            <v>218</v>
          </cell>
          <cell r="G5" t="str">
            <v>Closed</v>
          </cell>
          <cell r="H5">
            <v>132</v>
          </cell>
        </row>
        <row r="6">
          <cell r="B6" t="str">
            <v xml:space="preserve"> AT&amp;T / Verizon</v>
          </cell>
          <cell r="C6">
            <v>39941</v>
          </cell>
          <cell r="D6">
            <v>40351</v>
          </cell>
          <cell r="E6">
            <v>410</v>
          </cell>
          <cell r="G6" t="str">
            <v>Closed</v>
          </cell>
          <cell r="H6">
            <v>368</v>
          </cell>
        </row>
        <row r="7">
          <cell r="B7" t="str">
            <v xml:space="preserve"> ATN / Verizon</v>
          </cell>
          <cell r="C7">
            <v>39973</v>
          </cell>
          <cell r="D7">
            <v>40288</v>
          </cell>
          <cell r="E7">
            <v>315</v>
          </cell>
          <cell r="G7" t="str">
            <v>Closed</v>
          </cell>
          <cell r="H7">
            <v>285</v>
          </cell>
        </row>
        <row r="8">
          <cell r="B8" t="str">
            <v>AT&amp;T / Centennial</v>
          </cell>
          <cell r="C8">
            <v>39759</v>
          </cell>
          <cell r="D8">
            <v>40123</v>
          </cell>
          <cell r="E8">
            <v>364</v>
          </cell>
          <cell r="G8" t="str">
            <v>Closed</v>
          </cell>
          <cell r="H8">
            <v>323</v>
          </cell>
        </row>
        <row r="9">
          <cell r="B9" t="str">
            <v>Windstream / D&amp;E</v>
          </cell>
          <cell r="C9">
            <v>39944</v>
          </cell>
          <cell r="D9">
            <v>40127</v>
          </cell>
          <cell r="E9">
            <v>183</v>
          </cell>
          <cell r="G9" t="str">
            <v>na</v>
          </cell>
          <cell r="H9" t="str">
            <v>na</v>
          </cell>
        </row>
        <row r="10">
          <cell r="B10" t="str">
            <v>Frontier/Verizon</v>
          </cell>
          <cell r="C10">
            <v>39946</v>
          </cell>
          <cell r="D10">
            <v>40360</v>
          </cell>
          <cell r="E10">
            <v>414</v>
          </cell>
          <cell r="G10" t="str">
            <v>Closed</v>
          </cell>
          <cell r="H10">
            <v>283</v>
          </cell>
        </row>
        <row r="11">
          <cell r="B11" t="str">
            <v>Windstream / Lexcom</v>
          </cell>
          <cell r="C11">
            <v>40064</v>
          </cell>
          <cell r="D11">
            <v>40148</v>
          </cell>
          <cell r="E11">
            <v>84</v>
          </cell>
          <cell r="G11" t="str">
            <v>na</v>
          </cell>
          <cell r="H11" t="str">
            <v>na</v>
          </cell>
        </row>
        <row r="12">
          <cell r="B12" t="str">
            <v>Windstream / Nuvox</v>
          </cell>
          <cell r="C12">
            <v>40120</v>
          </cell>
          <cell r="D12">
            <v>40217</v>
          </cell>
          <cell r="E12">
            <v>97</v>
          </cell>
          <cell r="G12" t="str">
            <v>na</v>
          </cell>
          <cell r="H12" t="str">
            <v>na</v>
          </cell>
          <cell r="J12">
            <v>40326</v>
          </cell>
          <cell r="K12">
            <v>40568</v>
          </cell>
        </row>
        <row r="13">
          <cell r="B13" t="str">
            <v>Windstream / Iowa</v>
          </cell>
          <cell r="C13">
            <v>40141</v>
          </cell>
          <cell r="D13">
            <v>40330</v>
          </cell>
          <cell r="E13">
            <v>189</v>
          </cell>
          <cell r="G13" t="str">
            <v>na</v>
          </cell>
          <cell r="H13" t="str">
            <v>na</v>
          </cell>
          <cell r="K13">
            <v>40506</v>
          </cell>
        </row>
        <row r="14">
          <cell r="B14" t="str">
            <v>CenturyLink/Qwest</v>
          </cell>
          <cell r="C14">
            <v>40290</v>
          </cell>
          <cell r="D14">
            <v>40620</v>
          </cell>
          <cell r="E14">
            <v>330</v>
          </cell>
          <cell r="G14" t="str">
            <v>Closed</v>
          </cell>
          <cell r="H14">
            <v>294</v>
          </cell>
        </row>
        <row r="15">
          <cell r="B15" t="str">
            <v>Verizon / Terremark</v>
          </cell>
          <cell r="C15">
            <v>40571</v>
          </cell>
          <cell r="D15">
            <v>40644</v>
          </cell>
          <cell r="E15">
            <v>73</v>
          </cell>
          <cell r="G15" t="str">
            <v>na</v>
          </cell>
          <cell r="H15" t="str">
            <v>na</v>
          </cell>
        </row>
        <row r="16">
          <cell r="B16" t="str">
            <v>CenturyLink / SAVVIS</v>
          </cell>
          <cell r="C16">
            <v>40660</v>
          </cell>
          <cell r="D16">
            <v>40739</v>
          </cell>
          <cell r="E16">
            <v>79</v>
          </cell>
          <cell r="G16" t="str">
            <v>Closed</v>
          </cell>
          <cell r="H16">
            <v>54</v>
          </cell>
          <cell r="J16">
            <v>40683</v>
          </cell>
          <cell r="K16">
            <v>40737</v>
          </cell>
        </row>
        <row r="17">
          <cell r="B17" t="str">
            <v>Average</v>
          </cell>
          <cell r="E17">
            <v>231</v>
          </cell>
          <cell r="H17">
            <v>242</v>
          </cell>
        </row>
        <row r="19">
          <cell r="B19" t="str">
            <v>PENDING DEALS:</v>
          </cell>
        </row>
        <row r="20">
          <cell r="B20" t="str">
            <v>AT&amp;T / T-Mobile USA</v>
          </cell>
          <cell r="C20">
            <v>40622</v>
          </cell>
          <cell r="E20">
            <v>38</v>
          </cell>
          <cell r="G20" t="str">
            <v>Pending</v>
          </cell>
        </row>
        <row r="21">
          <cell r="B21" t="str">
            <v>Level 3 / Global Crossing</v>
          </cell>
          <cell r="C21">
            <v>40645</v>
          </cell>
          <cell r="E21">
            <v>15</v>
          </cell>
          <cell r="G21" t="str">
            <v>Pending</v>
          </cell>
        </row>
        <row r="23">
          <cell r="F23">
            <v>197</v>
          </cell>
        </row>
        <row r="27">
          <cell r="B27" t="str">
            <v>Fairpoint / Verizon</v>
          </cell>
          <cell r="C27">
            <v>39098</v>
          </cell>
          <cell r="D27">
            <v>39538</v>
          </cell>
          <cell r="E27">
            <v>440</v>
          </cell>
          <cell r="G27" t="str">
            <v>Closed</v>
          </cell>
          <cell r="H27">
            <v>301</v>
          </cell>
        </row>
        <row r="28">
          <cell r="B28" t="str">
            <v>Sprint / Clearwire</v>
          </cell>
          <cell r="C28">
            <v>39575</v>
          </cell>
          <cell r="D28">
            <v>39780</v>
          </cell>
          <cell r="E28">
            <v>205</v>
          </cell>
          <cell r="G28" t="str">
            <v>Closed</v>
          </cell>
          <cell r="H28">
            <v>133</v>
          </cell>
        </row>
      </sheetData>
      <sheetData sheetId="16" refreshError="1">
        <row r="2">
          <cell r="G2">
            <v>2010</v>
          </cell>
          <cell r="K2">
            <v>2011</v>
          </cell>
          <cell r="O2">
            <v>2012</v>
          </cell>
        </row>
        <row r="3">
          <cell r="G3" t="str">
            <v>CTL</v>
          </cell>
          <cell r="H3" t="str">
            <v>SVVS</v>
          </cell>
          <cell r="I3" t="str">
            <v>Synergies</v>
          </cell>
          <cell r="J3" t="str">
            <v>CTL+
SVVS</v>
          </cell>
          <cell r="K3" t="str">
            <v>CTL</v>
          </cell>
          <cell r="L3" t="str">
            <v>SVVS</v>
          </cell>
          <cell r="M3" t="str">
            <v>Synergies</v>
          </cell>
          <cell r="N3" t="str">
            <v>CTL+
SVVS</v>
          </cell>
          <cell r="O3" t="str">
            <v>CTL</v>
          </cell>
          <cell r="P3" t="str">
            <v>SVVS</v>
          </cell>
          <cell r="Q3" t="str">
            <v>Synergies</v>
          </cell>
          <cell r="R3" t="str">
            <v>CTL+
SVVS</v>
          </cell>
          <cell r="AA3" t="str">
            <v>2011E</v>
          </cell>
          <cell r="AD3" t="str">
            <v>2012E</v>
          </cell>
          <cell r="AJ3" t="str">
            <v>2011E</v>
          </cell>
          <cell r="AM3" t="str">
            <v>2012E</v>
          </cell>
        </row>
        <row r="4">
          <cell r="B4" t="str">
            <v>REVENUE</v>
          </cell>
          <cell r="G4">
            <v>0</v>
          </cell>
          <cell r="H4">
            <v>932.98399999999992</v>
          </cell>
          <cell r="J4">
            <v>932.98399999999992</v>
          </cell>
          <cell r="K4">
            <v>0.14130561399182451</v>
          </cell>
          <cell r="L4">
            <v>1064.8198769645483</v>
          </cell>
          <cell r="N4">
            <v>1064.96118257854</v>
          </cell>
          <cell r="O4">
            <v>9.6519420651753007E-2</v>
          </cell>
          <cell r="P4">
            <v>1167.5956745876374</v>
          </cell>
          <cell r="R4">
            <v>1167.6921940082891</v>
          </cell>
          <cell r="AA4" t="str">
            <v>REVENUES</v>
          </cell>
          <cell r="AB4" t="str">
            <v>EBITDA MARGINS</v>
          </cell>
          <cell r="AC4" t="str">
            <v>EBITDA MARGINS w/ SYERNGIES</v>
          </cell>
          <cell r="AD4" t="str">
            <v>REVENUES</v>
          </cell>
          <cell r="AE4" t="str">
            <v>EBITDA MARGINS</v>
          </cell>
          <cell r="AF4" t="str">
            <v>EBITDA MARGINS w/ SYERNGIES</v>
          </cell>
          <cell r="AJ4" t="str">
            <v>REVENUES</v>
          </cell>
          <cell r="AK4" t="str">
            <v>EBITDA MARGINS</v>
          </cell>
          <cell r="AL4" t="str">
            <v>EBITDA MARGINS w/ SYERNGIES</v>
          </cell>
          <cell r="AM4" t="str">
            <v>REVENUES</v>
          </cell>
          <cell r="AN4" t="str">
            <v>EBITDA MARGINS</v>
          </cell>
          <cell r="AO4" t="str">
            <v>EBITDA MARGINS w/ SYERNGIES</v>
          </cell>
        </row>
        <row r="5">
          <cell r="B5" t="str">
            <v>Growth Y/Y</v>
          </cell>
          <cell r="K5" t="e">
            <v>#DIV/0!</v>
          </cell>
          <cell r="L5">
            <v>0.14130561399182451</v>
          </cell>
          <cell r="N5">
            <v>0.14145706955161086</v>
          </cell>
          <cell r="O5">
            <v>-0.31694560516656245</v>
          </cell>
          <cell r="P5">
            <v>9.6519420651753007E-2</v>
          </cell>
          <cell r="R5">
            <v>9.6464559563580909E-2</v>
          </cell>
          <cell r="T5" t="e">
            <v>#DIV/0!</v>
          </cell>
          <cell r="U5">
            <v>4134.1016473014333</v>
          </cell>
          <cell r="AA5">
            <v>7535.5808370512113</v>
          </cell>
          <cell r="AB5" t="e">
            <v>#DIV/0!</v>
          </cell>
          <cell r="AC5" t="e">
            <v>#DIV/0!</v>
          </cell>
          <cell r="AD5">
            <v>12097.002517248649</v>
          </cell>
          <cell r="AE5" t="e">
            <v>#DIV/0!</v>
          </cell>
          <cell r="AF5" t="e">
            <v>#DIV/0!</v>
          </cell>
          <cell r="AJ5">
            <v>0.99986731383612537</v>
          </cell>
          <cell r="AK5">
            <v>1</v>
          </cell>
          <cell r="AL5">
            <v>1</v>
          </cell>
          <cell r="AM5">
            <v>0.99991734172657232</v>
          </cell>
          <cell r="AN5">
            <v>1</v>
          </cell>
          <cell r="AO5">
            <v>1</v>
          </cell>
        </row>
        <row r="6">
          <cell r="B6" t="str">
            <v>EBITDA</v>
          </cell>
          <cell r="G6">
            <v>0</v>
          </cell>
          <cell r="H6">
            <v>231.07099999999994</v>
          </cell>
          <cell r="J6">
            <v>231.07099999999994</v>
          </cell>
          <cell r="K6">
            <v>0</v>
          </cell>
          <cell r="L6">
            <v>309.05796100415847</v>
          </cell>
          <cell r="N6">
            <v>309.05796100415847</v>
          </cell>
          <cell r="O6">
            <v>0</v>
          </cell>
          <cell r="P6">
            <v>332.55774998685092</v>
          </cell>
          <cell r="R6">
            <v>332.55774998685092</v>
          </cell>
        </row>
        <row r="7">
          <cell r="B7" t="str">
            <v>Growth Y/Y</v>
          </cell>
          <cell r="K7" t="e">
            <v>#DIV/0!</v>
          </cell>
          <cell r="L7">
            <v>0.33750215736357458</v>
          </cell>
          <cell r="N7">
            <v>0.33750215736357458</v>
          </cell>
          <cell r="O7" t="e">
            <v>#DIV/0!</v>
          </cell>
          <cell r="P7">
            <v>7.6036834341168369E-2</v>
          </cell>
          <cell r="R7">
            <v>7.6036834341168369E-2</v>
          </cell>
        </row>
        <row r="8">
          <cell r="B8" t="str">
            <v>Margin</v>
          </cell>
          <cell r="G8" t="e">
            <v>#DIV/0!</v>
          </cell>
          <cell r="H8">
            <v>0.24766877031117357</v>
          </cell>
          <cell r="J8">
            <v>0.24766877031117357</v>
          </cell>
          <cell r="K8">
            <v>0</v>
          </cell>
          <cell r="L8">
            <v>0.29024435746370664</v>
          </cell>
          <cell r="N8">
            <v>0.2902058460533285</v>
          </cell>
          <cell r="O8">
            <v>0</v>
          </cell>
          <cell r="P8">
            <v>0.28482269780958308</v>
          </cell>
          <cell r="R8">
            <v>0.28479915485714913</v>
          </cell>
        </row>
        <row r="9">
          <cell r="B9" t="str">
            <v>EBITDA (2)</v>
          </cell>
          <cell r="G9">
            <v>0</v>
          </cell>
          <cell r="H9">
            <v>231.07099999999994</v>
          </cell>
          <cell r="I9">
            <v>70</v>
          </cell>
          <cell r="J9">
            <v>301.07099999999991</v>
          </cell>
          <cell r="K9">
            <v>0</v>
          </cell>
          <cell r="L9">
            <v>309.05796100415847</v>
          </cell>
          <cell r="M9">
            <v>70</v>
          </cell>
          <cell r="N9">
            <v>379.05796100415847</v>
          </cell>
          <cell r="O9">
            <v>0</v>
          </cell>
          <cell r="P9">
            <v>332.55774998685092</v>
          </cell>
          <cell r="Q9">
            <v>70</v>
          </cell>
          <cell r="R9">
            <v>402.55774998685092</v>
          </cell>
        </row>
        <row r="10">
          <cell r="B10" t="str">
            <v>Growth Y/Y</v>
          </cell>
          <cell r="K10" t="e">
            <v>#DIV/0!</v>
          </cell>
          <cell r="L10">
            <v>0.33750215736357458</v>
          </cell>
          <cell r="N10">
            <v>0.25903179317887992</v>
          </cell>
          <cell r="O10" t="e">
            <v>#DIV/0!</v>
          </cell>
          <cell r="P10">
            <v>7.6036834341168369E-2</v>
          </cell>
          <cell r="R10">
            <v>6.1995239251642076E-2</v>
          </cell>
        </row>
        <row r="11">
          <cell r="B11" t="str">
            <v>Margin</v>
          </cell>
          <cell r="G11" t="e">
            <v>#DIV/0!</v>
          </cell>
          <cell r="H11">
            <v>0.24766877031117357</v>
          </cell>
          <cell r="J11">
            <v>0.32269685225041367</v>
          </cell>
          <cell r="K11">
            <v>0</v>
          </cell>
          <cell r="L11">
            <v>0.29024435746370664</v>
          </cell>
          <cell r="N11">
            <v>0.3559359413329633</v>
          </cell>
          <cell r="O11">
            <v>0</v>
          </cell>
          <cell r="P11">
            <v>0.28482269780958308</v>
          </cell>
          <cell r="R11">
            <v>0.34474645977122398</v>
          </cell>
        </row>
        <row r="13">
          <cell r="J13">
            <v>0</v>
          </cell>
          <cell r="N13" t="e">
            <v>#DIV/0!</v>
          </cell>
          <cell r="R13">
            <v>4134.1016473014333</v>
          </cell>
        </row>
        <row r="15">
          <cell r="G15">
            <v>0</v>
          </cell>
          <cell r="J15">
            <v>932.98399999999992</v>
          </cell>
          <cell r="N15">
            <v>1</v>
          </cell>
        </row>
        <row r="16">
          <cell r="G16">
            <v>-466.49199999999996</v>
          </cell>
          <cell r="J16">
            <v>466.49199999999996</v>
          </cell>
          <cell r="N16">
            <v>1</v>
          </cell>
        </row>
        <row r="17">
          <cell r="G17" t="e">
            <v>#DIV/0!</v>
          </cell>
          <cell r="N17">
            <v>379.05796100415847</v>
          </cell>
        </row>
        <row r="20">
          <cell r="G20">
            <v>2010</v>
          </cell>
          <cell r="K20">
            <v>2011</v>
          </cell>
          <cell r="O20">
            <v>2012</v>
          </cell>
        </row>
        <row r="21">
          <cell r="G21" t="str">
            <v>CTL</v>
          </cell>
          <cell r="H21" t="str">
            <v>SVVS</v>
          </cell>
          <cell r="I21" t="str">
            <v>Synergies</v>
          </cell>
          <cell r="J21" t="str">
            <v>CTL+
SVVS</v>
          </cell>
          <cell r="K21" t="str">
            <v>CTL</v>
          </cell>
          <cell r="L21" t="str">
            <v>SVVS</v>
          </cell>
          <cell r="M21" t="str">
            <v>Synergies</v>
          </cell>
          <cell r="N21" t="str">
            <v>CTL+
SVVS</v>
          </cell>
          <cell r="O21" t="str">
            <v>CTL</v>
          </cell>
          <cell r="P21" t="str">
            <v>SVVS</v>
          </cell>
          <cell r="Q21" t="str">
            <v>Synergies</v>
          </cell>
          <cell r="R21" t="str">
            <v>CTL+
SVVS</v>
          </cell>
        </row>
        <row r="22">
          <cell r="B22" t="str">
            <v>REVENUE</v>
          </cell>
          <cell r="G22">
            <v>18552.534</v>
          </cell>
          <cell r="H22">
            <v>933</v>
          </cell>
          <cell r="J22">
            <v>19485.534</v>
          </cell>
          <cell r="K22">
            <v>18124.320550851284</v>
          </cell>
          <cell r="L22">
            <v>1045</v>
          </cell>
          <cell r="N22">
            <v>19169.320550851284</v>
          </cell>
          <cell r="O22">
            <v>17695.292413378193</v>
          </cell>
          <cell r="P22">
            <v>1172</v>
          </cell>
          <cell r="R22">
            <v>18867.292413378193</v>
          </cell>
        </row>
        <row r="23">
          <cell r="B23" t="str">
            <v>Growth Y/Y</v>
          </cell>
          <cell r="K23">
            <v>-2.3081130003519523E-2</v>
          </cell>
          <cell r="L23">
            <v>0.120042872454448</v>
          </cell>
          <cell r="N23">
            <v>-1.6228113078590289E-2</v>
          </cell>
          <cell r="O23">
            <v>-2.367140529595968E-2</v>
          </cell>
          <cell r="P23">
            <v>0.12153110047846893</v>
          </cell>
          <cell r="R23">
            <v>-1.5755808176502017E-2</v>
          </cell>
        </row>
        <row r="24">
          <cell r="B24" t="str">
            <v>EBITDA</v>
          </cell>
          <cell r="G24">
            <v>8063.5629999999983</v>
          </cell>
          <cell r="H24">
            <v>236.2</v>
          </cell>
          <cell r="J24">
            <v>8299.762999999999</v>
          </cell>
          <cell r="K24">
            <v>7926</v>
          </cell>
          <cell r="L24">
            <v>277.5</v>
          </cell>
          <cell r="N24">
            <v>8203.5</v>
          </cell>
          <cell r="O24">
            <v>7952.8475416387664</v>
          </cell>
          <cell r="P24">
            <v>330</v>
          </cell>
          <cell r="R24">
            <v>8282.8475416387664</v>
          </cell>
        </row>
        <row r="25">
          <cell r="B25" t="str">
            <v>Growth Y/Y</v>
          </cell>
          <cell r="K25">
            <v>-1.7059828266983046E-2</v>
          </cell>
          <cell r="L25">
            <v>0.17485182049110937</v>
          </cell>
          <cell r="N25">
            <v>-1.1598282987116515E-2</v>
          </cell>
          <cell r="O25">
            <v>3.3872749985826012E-3</v>
          </cell>
          <cell r="P25">
            <v>0.18918918918918926</v>
          </cell>
          <cell r="R25">
            <v>9.6724010042990027E-3</v>
          </cell>
        </row>
        <row r="26">
          <cell r="B26" t="str">
            <v>Margin</v>
          </cell>
          <cell r="G26">
            <v>0.43463405052916215</v>
          </cell>
          <cell r="H26">
            <v>0.25316184351554127</v>
          </cell>
          <cell r="J26">
            <v>0.42594485734904669</v>
          </cell>
          <cell r="K26">
            <v>0.43731294520873626</v>
          </cell>
          <cell r="L26">
            <v>0.26555023923444976</v>
          </cell>
          <cell r="N26">
            <v>0.4279494402651477</v>
          </cell>
          <cell r="O26">
            <v>0.44943295402262839</v>
          </cell>
          <cell r="P26">
            <v>0.28156996587030719</v>
          </cell>
          <cell r="R26">
            <v>0.439005627313311</v>
          </cell>
        </row>
        <row r="27">
          <cell r="B27" t="str">
            <v>EBITDA w/ Synergies</v>
          </cell>
          <cell r="G27">
            <v>8063.5629999999983</v>
          </cell>
          <cell r="H27">
            <v>236.2</v>
          </cell>
          <cell r="I27">
            <v>70</v>
          </cell>
          <cell r="J27">
            <v>8369.762999999999</v>
          </cell>
          <cell r="K27">
            <v>7926</v>
          </cell>
          <cell r="L27">
            <v>277.5</v>
          </cell>
          <cell r="M27">
            <v>70</v>
          </cell>
          <cell r="N27">
            <v>8273.5</v>
          </cell>
          <cell r="O27">
            <v>7952.8475416387664</v>
          </cell>
          <cell r="P27">
            <v>330</v>
          </cell>
          <cell r="Q27">
            <v>70</v>
          </cell>
          <cell r="R27">
            <v>8352.8475416387664</v>
          </cell>
        </row>
        <row r="28">
          <cell r="B28" t="str">
            <v>Growth Y/Y</v>
          </cell>
          <cell r="K28">
            <v>-1.7059828266983046E-2</v>
          </cell>
          <cell r="L28">
            <v>0.17485182049110937</v>
          </cell>
          <cell r="N28">
            <v>-1.15012814580292E-2</v>
          </cell>
          <cell r="O28">
            <v>3.3872749985826012E-3</v>
          </cell>
          <cell r="P28">
            <v>0.18918918918918926</v>
          </cell>
          <cell r="R28">
            <v>9.5905652551842024E-3</v>
          </cell>
        </row>
        <row r="29">
          <cell r="B29" t="str">
            <v>Margin</v>
          </cell>
          <cell r="G29">
            <v>0.43463405052916215</v>
          </cell>
          <cell r="H29">
            <v>0.25316184351554127</v>
          </cell>
          <cell r="J29">
            <v>0.42953726595329639</v>
          </cell>
          <cell r="K29">
            <v>0.43731294520873626</v>
          </cell>
          <cell r="L29">
            <v>0.26555023923444976</v>
          </cell>
          <cell r="N29">
            <v>0.43160110855533607</v>
          </cell>
          <cell r="O29">
            <v>0.44943295402262839</v>
          </cell>
          <cell r="P29">
            <v>0.28156996587030719</v>
          </cell>
          <cell r="R29">
            <v>0.44271575161023263</v>
          </cell>
        </row>
        <row r="31">
          <cell r="N31">
            <v>68.530169249292342</v>
          </cell>
        </row>
        <row r="35">
          <cell r="B35" t="str">
            <v>REVENUE GROWTH</v>
          </cell>
          <cell r="G35">
            <v>2011</v>
          </cell>
          <cell r="H35">
            <v>2012</v>
          </cell>
        </row>
        <row r="36">
          <cell r="B36" t="str">
            <v>CTL</v>
          </cell>
          <cell r="G36" t="e">
            <v>#DIV/0!</v>
          </cell>
          <cell r="H36">
            <v>-0.31694560516656245</v>
          </cell>
        </row>
        <row r="37">
          <cell r="B37" t="str">
            <v>SVVS</v>
          </cell>
          <cell r="G37">
            <v>0.14130561399182451</v>
          </cell>
          <cell r="H37">
            <v>9.6519420651753007E-2</v>
          </cell>
        </row>
        <row r="38">
          <cell r="B38" t="str">
            <v>CTL+SVVS</v>
          </cell>
          <cell r="G38">
            <v>0.14145706955161086</v>
          </cell>
          <cell r="H38">
            <v>9.6464559563580909E-2</v>
          </cell>
        </row>
        <row r="40">
          <cell r="G40" t="str">
            <v>2011E</v>
          </cell>
          <cell r="J40" t="str">
            <v>2012E</v>
          </cell>
        </row>
        <row r="41">
          <cell r="G41" t="str">
            <v>CTL</v>
          </cell>
          <cell r="H41" t="str">
            <v>∆</v>
          </cell>
          <cell r="I41" t="str">
            <v>CTL+
SVVS</v>
          </cell>
          <cell r="J41" t="str">
            <v>CTL</v>
          </cell>
          <cell r="K41" t="str">
            <v>∆</v>
          </cell>
          <cell r="L41" t="str">
            <v>CTL+
SVVS</v>
          </cell>
        </row>
        <row r="42">
          <cell r="G42" t="e">
            <v>#DIV/0!</v>
          </cell>
          <cell r="H42">
            <v>0.14145706955161086</v>
          </cell>
          <cell r="I42">
            <v>0.14145706955161086</v>
          </cell>
          <cell r="J42">
            <v>-0.31694560516656245</v>
          </cell>
          <cell r="K42">
            <v>9.6464559563580909E-2</v>
          </cell>
          <cell r="L42">
            <v>9.6464559563580909E-2</v>
          </cell>
        </row>
        <row r="43">
          <cell r="H43" t="e">
            <v>#DIV/0!</v>
          </cell>
          <cell r="K43">
            <v>-0.41341016473014336</v>
          </cell>
        </row>
        <row r="45">
          <cell r="H45" t="e">
            <v>#DIV/0!</v>
          </cell>
          <cell r="K45">
            <v>4134.1016473014333</v>
          </cell>
        </row>
      </sheetData>
      <sheetData sheetId="17" refreshError="1">
        <row r="2">
          <cell r="A2" t="str">
            <v>CTL / SVVS TRANSACTION SUMMARY</v>
          </cell>
        </row>
        <row r="3">
          <cell r="A3" t="str">
            <v>Consideration</v>
          </cell>
          <cell r="B3" t="str">
            <v xml:space="preserve">$40 per SVVS share; 75% in cash 25% in stock. </v>
          </cell>
        </row>
        <row r="5">
          <cell r="A5" t="str">
            <v>Exchange ratio</v>
          </cell>
          <cell r="B5" t="str">
            <v>The number of CTL shares issued will be based upon the volume-weighted average price of CTL during the 30-day trading period ending 3 trading days prior to the closing, provided that if this avg price is less than or equal to $34.42, each SAVVIS share wil</v>
          </cell>
        </row>
        <row r="7">
          <cell r="A7" t="str">
            <v>Transaction Value</v>
          </cell>
          <cell r="B7" t="str">
            <v>~$2.5B, plus net debt of ~$0.7B which will be assumed or refinanced at close.</v>
          </cell>
        </row>
        <row r="9">
          <cell r="A9" t="str">
            <v>Estimated Synergies</v>
          </cell>
          <cell r="B9" t="str">
            <v>~$70M annual run-rate synergies or 9.1% of 2011 SAVVIS cash opex guidance</v>
          </cell>
        </row>
        <row r="11">
          <cell r="A11" t="str">
            <v>Estimated multiples</v>
          </cell>
          <cell r="B11" t="str">
            <v>10.9x / 8.8x 2011 EBITDA  (before / after run-rate synergies)</v>
          </cell>
        </row>
        <row r="12">
          <cell r="I12">
            <v>35.619999999999997</v>
          </cell>
        </row>
        <row r="13">
          <cell r="A13" t="str">
            <v>Financing</v>
          </cell>
          <cell r="B13" t="str">
            <v>CTL will finance the transaction through a combination of existing cash and debt, including a $2B committed bridge facility and $1.7B existing undrawn revolver</v>
          </cell>
          <cell r="I13">
            <v>5.66</v>
          </cell>
        </row>
        <row r="14">
          <cell r="I14">
            <v>0.15889949466591805</v>
          </cell>
          <cell r="J14">
            <v>0.16639999999999999</v>
          </cell>
        </row>
        <row r="15">
          <cell r="A15" t="str">
            <v>Net Leverage</v>
          </cell>
          <cell r="B15" t="str">
            <v>CTL's leverage stood at ~2.3x at YE2010, the deal increases leverage to ~2.5x</v>
          </cell>
          <cell r="I15">
            <v>-4.5075152248088668E-2</v>
          </cell>
        </row>
        <row r="17">
          <cell r="A17" t="str">
            <v>Dividend Policy</v>
          </cell>
          <cell r="B17" t="str">
            <v>Maintain CTL's annual dividend of $2.90 per share</v>
          </cell>
          <cell r="I17">
            <v>0.15889949466591805</v>
          </cell>
        </row>
        <row r="19">
          <cell r="A19" t="str">
            <v>Dividend payout ratio</v>
          </cell>
          <cell r="B19" t="str">
            <v xml:space="preserve"> ~50%, management says the deal is FCF accretive in first year after closing</v>
          </cell>
          <cell r="J19">
            <v>8.14</v>
          </cell>
        </row>
        <row r="20">
          <cell r="J20">
            <v>5.65</v>
          </cell>
        </row>
        <row r="21">
          <cell r="A21" t="str">
            <v>Anticipated Closing</v>
          </cell>
          <cell r="B21" t="str">
            <v>Management announced timing of closing to be 2H11</v>
          </cell>
          <cell r="J21">
            <v>2.4900000000000002</v>
          </cell>
        </row>
        <row r="23">
          <cell r="A23" t="str">
            <v>Termination Fee</v>
          </cell>
          <cell r="B23" t="str">
            <v>The Merger Agreement provides that, upon termination of the Merger Agreement under certain circumstances, SAVVIS may be obligated to pay
CenturyLink a termination fee of $85M</v>
          </cell>
        </row>
        <row r="27">
          <cell r="G27" t="str">
            <v>BIG TELCO DEALS OF 2011</v>
          </cell>
        </row>
        <row r="28">
          <cell r="H28" t="str">
            <v>SIZE (EV)</v>
          </cell>
          <cell r="I28" t="str">
            <v>DATE</v>
          </cell>
        </row>
        <row r="29">
          <cell r="G29" t="str">
            <v>VERIZON / TERREMARK</v>
          </cell>
          <cell r="H29">
            <v>1.9</v>
          </cell>
          <cell r="I29">
            <v>40571</v>
          </cell>
        </row>
        <row r="30">
          <cell r="G30" t="str">
            <v>AT&amp;T / T-MOBILE</v>
          </cell>
          <cell r="H30">
            <v>39</v>
          </cell>
          <cell r="I30">
            <v>40622</v>
          </cell>
        </row>
        <row r="31">
          <cell r="G31" t="str">
            <v>LEVEL 3 / GLBC</v>
          </cell>
          <cell r="H31">
            <v>3</v>
          </cell>
          <cell r="I31">
            <v>40645</v>
          </cell>
        </row>
        <row r="32">
          <cell r="G32" t="str">
            <v>CENTURYLINK / SVVS</v>
          </cell>
          <cell r="H32">
            <v>3.2</v>
          </cell>
          <cell r="I32">
            <v>40660</v>
          </cell>
        </row>
        <row r="33">
          <cell r="G33" t="str">
            <v>TOTAL</v>
          </cell>
          <cell r="H33">
            <v>47.1</v>
          </cell>
        </row>
      </sheetData>
      <sheetData sheetId="1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Old Q"/>
      <sheetName val="Table"/>
      <sheetName val="Q"/>
      <sheetName val="Rev"/>
      <sheetName val="IS"/>
      <sheetName val="BS"/>
      <sheetName val="CF"/>
      <sheetName val="Debt - PF"/>
      <sheetName val="Debt - Standalone"/>
      <sheetName val="Diff - OLD"/>
      <sheetName val="Maturities"/>
      <sheetName val="Valuation"/>
      <sheetName val="Comparison"/>
      <sheetName val="Tables"/>
      <sheetName val="Link"/>
      <sheetName val="Charts - NEW"/>
      <sheetName val="Performance"/>
      <sheetName val="MWA RR"/>
      <sheetName val="LVLT Standalone"/>
      <sheetName val="GLBC Standalone"/>
      <sheetName val="DCF"/>
      <sheetName val="MW-Cache"/>
      <sheetName val="Est vs Act"/>
      <sheetName val="Est. Table"/>
      <sheetName val="Charts"/>
      <sheetName val="Valuation - Standalone"/>
      <sheetName val="Charts - PF"/>
      <sheetName val="Charts - Standalone"/>
      <sheetName val="mwareSettings"/>
      <sheetName val="Standalone Charts"/>
      <sheetName val="mc"/>
      <sheetName val="pro-forma"/>
      <sheetName val="mwareD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1">
          <cell r="H1">
            <v>40633</v>
          </cell>
        </row>
        <row r="3">
          <cell r="B3" t="str">
            <v>($MM)</v>
          </cell>
          <cell r="D3" t="str">
            <v>Actual</v>
          </cell>
          <cell r="E3" t="str">
            <v>MS (A)</v>
          </cell>
          <cell r="F3" t="str">
            <v>MS (E)</v>
          </cell>
          <cell r="G3" t="str">
            <v>MS (E)</v>
          </cell>
          <cell r="H3" t="str">
            <v>Cons (E)</v>
          </cell>
          <cell r="I3" t="str">
            <v>MS (E) v.</v>
          </cell>
          <cell r="K3" t="str">
            <v>Actual</v>
          </cell>
          <cell r="L3" t="str">
            <v>Actual</v>
          </cell>
          <cell r="R3" t="str">
            <v>Guidance</v>
          </cell>
          <cell r="S3" t="str">
            <v>Comments</v>
          </cell>
          <cell r="U3" t="str">
            <v>($MM)</v>
          </cell>
          <cell r="V3" t="str">
            <v>NEW</v>
          </cell>
          <cell r="W3" t="str">
            <v>OLD</v>
          </cell>
          <cell r="X3" t="str">
            <v>NEW</v>
          </cell>
          <cell r="Y3" t="str">
            <v>OLD</v>
          </cell>
          <cell r="Z3" t="str">
            <v>NEW</v>
          </cell>
          <cell r="AA3" t="str">
            <v>OLD</v>
          </cell>
        </row>
        <row r="4">
          <cell r="B4" t="str">
            <v>except per share calcs</v>
          </cell>
          <cell r="E4" t="str">
            <v>4Q10</v>
          </cell>
          <cell r="F4" t="str">
            <v>1Q11</v>
          </cell>
          <cell r="G4" t="str">
            <v>Diff.</v>
          </cell>
          <cell r="H4" t="str">
            <v>1Q11</v>
          </cell>
          <cell r="I4" t="str">
            <v>Cons (E)</v>
          </cell>
          <cell r="K4" t="str">
            <v>4Q10</v>
          </cell>
          <cell r="L4" t="str">
            <v>1Q10</v>
          </cell>
          <cell r="M4" t="str">
            <v>Seq. (A)</v>
          </cell>
          <cell r="N4" t="str">
            <v>Y/Y (A)</v>
          </cell>
          <cell r="O4" t="str">
            <v>Seq. (E)</v>
          </cell>
          <cell r="P4" t="str">
            <v>Y/Y (E)</v>
          </cell>
          <cell r="R4" t="str">
            <v xml:space="preserve"> for 2Q10</v>
          </cell>
          <cell r="S4" t="str">
            <v>Post 2Q10</v>
          </cell>
          <cell r="U4" t="str">
            <v>except per share calcs</v>
          </cell>
          <cell r="V4" t="str">
            <v>2011E</v>
          </cell>
          <cell r="W4" t="str">
            <v>2011E</v>
          </cell>
          <cell r="X4" t="str">
            <v>2012E</v>
          </cell>
          <cell r="Y4" t="str">
            <v>2012E</v>
          </cell>
          <cell r="Z4" t="str">
            <v>2013E</v>
          </cell>
          <cell r="AA4" t="str">
            <v>2013E</v>
          </cell>
        </row>
        <row r="5">
          <cell r="U5">
            <v>0</v>
          </cell>
        </row>
        <row r="6">
          <cell r="B6" t="str">
            <v>REVENUES:</v>
          </cell>
          <cell r="U6" t="str">
            <v>REVENUES:</v>
          </cell>
        </row>
        <row r="7">
          <cell r="B7" t="str">
            <v>Core Network Svcs</v>
          </cell>
          <cell r="D7">
            <v>729</v>
          </cell>
          <cell r="E7">
            <v>720</v>
          </cell>
          <cell r="F7">
            <v>729</v>
          </cell>
          <cell r="G7">
            <v>0</v>
          </cell>
          <cell r="K7">
            <v>720</v>
          </cell>
          <cell r="L7">
            <v>701</v>
          </cell>
          <cell r="M7">
            <v>1.2499999999999956E-2</v>
          </cell>
          <cell r="N7">
            <v>3.9942938659058402E-2</v>
          </cell>
          <cell r="O7">
            <v>1.2499999999999956E-2</v>
          </cell>
          <cell r="P7">
            <v>3.9942938659058402E-2</v>
          </cell>
          <cell r="R7" t="str">
            <v>Grow on 694 base</v>
          </cell>
          <cell r="S7" t="str">
            <v>Should grow sequentially in 2H10</v>
          </cell>
          <cell r="U7" t="str">
            <v>Core Network Svcs</v>
          </cell>
          <cell r="V7">
            <v>3008</v>
          </cell>
          <cell r="W7" t="e">
            <v>#REF!</v>
          </cell>
          <cell r="X7">
            <v>0</v>
          </cell>
          <cell r="Y7" t="e">
            <v>#REF!</v>
          </cell>
          <cell r="Z7">
            <v>0</v>
          </cell>
          <cell r="AA7" t="e">
            <v>#REF!</v>
          </cell>
        </row>
        <row r="8">
          <cell r="B8" t="str">
            <v>Wholesale Voice</v>
          </cell>
          <cell r="D8">
            <v>164</v>
          </cell>
          <cell r="E8">
            <v>161</v>
          </cell>
          <cell r="F8">
            <v>164</v>
          </cell>
          <cell r="G8">
            <v>0</v>
          </cell>
          <cell r="K8">
            <v>161</v>
          </cell>
          <cell r="L8">
            <v>165</v>
          </cell>
          <cell r="M8">
            <v>1.8633540372670732E-2</v>
          </cell>
          <cell r="N8">
            <v>-6.0606060606060996E-3</v>
          </cell>
          <cell r="O8">
            <v>1.8633540372670732E-2</v>
          </cell>
          <cell r="P8">
            <v>-6.0606060606060996E-3</v>
          </cell>
          <cell r="S8" t="str">
            <v>Will remain volatile, managed for margin</v>
          </cell>
          <cell r="U8" t="str">
            <v>Wholesale Voice</v>
          </cell>
          <cell r="V8">
            <v>611</v>
          </cell>
          <cell r="W8" t="e">
            <v>#REF!</v>
          </cell>
          <cell r="X8">
            <v>0</v>
          </cell>
          <cell r="Y8" t="e">
            <v>#REF!</v>
          </cell>
          <cell r="Z8">
            <v>0</v>
          </cell>
          <cell r="AA8" t="e">
            <v>#REF!</v>
          </cell>
        </row>
        <row r="9">
          <cell r="B9" t="str">
            <v>Other Communications</v>
          </cell>
          <cell r="D9">
            <v>21</v>
          </cell>
          <cell r="E9">
            <v>23</v>
          </cell>
          <cell r="F9">
            <v>21</v>
          </cell>
          <cell r="G9">
            <v>0</v>
          </cell>
          <cell r="K9">
            <v>23</v>
          </cell>
          <cell r="L9">
            <v>34</v>
          </cell>
          <cell r="M9">
            <v>-8.6956521739130488E-2</v>
          </cell>
          <cell r="N9">
            <v>-0.38235294117647056</v>
          </cell>
          <cell r="O9">
            <v>-8.6956521739130488E-2</v>
          </cell>
          <cell r="P9">
            <v>-0.38235294117647056</v>
          </cell>
          <cell r="R9" t="str">
            <v>Dropping 40% Y/Y</v>
          </cell>
          <cell r="U9" t="str">
            <v>Other Communications</v>
          </cell>
          <cell r="V9">
            <v>69</v>
          </cell>
          <cell r="W9" t="e">
            <v>#REF!</v>
          </cell>
          <cell r="X9">
            <v>0</v>
          </cell>
          <cell r="Y9" t="e">
            <v>#REF!</v>
          </cell>
          <cell r="Z9">
            <v>0</v>
          </cell>
          <cell r="AA9" t="e">
            <v>#REF!</v>
          </cell>
        </row>
        <row r="10">
          <cell r="B10" t="str">
            <v>Coal</v>
          </cell>
          <cell r="D10">
            <v>15</v>
          </cell>
          <cell r="E10">
            <v>17</v>
          </cell>
          <cell r="F10">
            <v>15</v>
          </cell>
          <cell r="G10">
            <v>0</v>
          </cell>
          <cell r="K10">
            <v>17</v>
          </cell>
          <cell r="L10">
            <v>10</v>
          </cell>
          <cell r="M10">
            <v>-0.11764705882352944</v>
          </cell>
          <cell r="N10">
            <v>0.5</v>
          </cell>
          <cell r="O10">
            <v>-0.11764705882352944</v>
          </cell>
          <cell r="P10">
            <v>0.5</v>
          </cell>
          <cell r="R10" t="str">
            <v>Back to mid-teens</v>
          </cell>
          <cell r="U10" t="str">
            <v>Coal</v>
          </cell>
          <cell r="V10">
            <v>54</v>
          </cell>
          <cell r="W10" t="e">
            <v>#REF!</v>
          </cell>
          <cell r="X10">
            <v>0</v>
          </cell>
          <cell r="Y10" t="e">
            <v>#REF!</v>
          </cell>
          <cell r="Z10">
            <v>0</v>
          </cell>
          <cell r="AA10" t="e">
            <v>#REF!</v>
          </cell>
        </row>
        <row r="11">
          <cell r="F11">
            <v>0</v>
          </cell>
          <cell r="N11" t="e">
            <v>#DIV/0!</v>
          </cell>
          <cell r="U11">
            <v>0</v>
          </cell>
          <cell r="W11">
            <v>0</v>
          </cell>
          <cell r="Y11">
            <v>0</v>
          </cell>
        </row>
        <row r="12">
          <cell r="B12" t="str">
            <v>TOTAL REVENUES</v>
          </cell>
          <cell r="D12">
            <v>929</v>
          </cell>
          <cell r="E12">
            <v>921</v>
          </cell>
          <cell r="F12">
            <v>929</v>
          </cell>
          <cell r="G12">
            <v>0</v>
          </cell>
          <cell r="H12">
            <v>922.6</v>
          </cell>
          <cell r="I12">
            <v>6.3999999999999773</v>
          </cell>
          <cell r="K12">
            <v>921</v>
          </cell>
          <cell r="L12">
            <v>910</v>
          </cell>
          <cell r="M12">
            <v>8.6862106406080386E-3</v>
          </cell>
          <cell r="N12">
            <v>2.0879120879120805E-2</v>
          </cell>
          <cell r="O12">
            <v>8.6862106406080386E-3</v>
          </cell>
          <cell r="P12">
            <v>2.0879120879120805E-2</v>
          </cell>
          <cell r="U12" t="str">
            <v>TOTAL REVENUES</v>
          </cell>
          <cell r="V12">
            <v>3742</v>
          </cell>
          <cell r="W12" t="e">
            <v>#REF!</v>
          </cell>
          <cell r="X12">
            <v>0</v>
          </cell>
          <cell r="Y12" t="e">
            <v>#REF!</v>
          </cell>
          <cell r="Z12">
            <v>0</v>
          </cell>
          <cell r="AA12" t="e">
            <v>#REF!</v>
          </cell>
        </row>
        <row r="13">
          <cell r="F13">
            <v>0</v>
          </cell>
          <cell r="U13">
            <v>0</v>
          </cell>
          <cell r="W13">
            <v>0</v>
          </cell>
          <cell r="Y13">
            <v>0</v>
          </cell>
        </row>
        <row r="14">
          <cell r="B14" t="str">
            <v>MARGINS:</v>
          </cell>
          <cell r="U14" t="str">
            <v>MARGINS:</v>
          </cell>
        </row>
        <row r="15">
          <cell r="B15" t="str">
            <v>Cost of Revenue (Comm.)</v>
          </cell>
          <cell r="D15">
            <v>357</v>
          </cell>
          <cell r="E15">
            <v>352</v>
          </cell>
          <cell r="F15">
            <v>357</v>
          </cell>
          <cell r="G15">
            <v>0</v>
          </cell>
          <cell r="K15">
            <v>352</v>
          </cell>
          <cell r="L15">
            <v>371</v>
          </cell>
          <cell r="M15">
            <v>1.4204545454545414E-2</v>
          </cell>
          <cell r="N15">
            <v>-3.7735849056603765E-2</v>
          </cell>
          <cell r="O15">
            <v>1.4204545454545414E-2</v>
          </cell>
          <cell r="P15">
            <v>-3.7735849056603765E-2</v>
          </cell>
          <cell r="S15" t="str">
            <v>Saw network optimization, mix shift benefits in 2Q</v>
          </cell>
          <cell r="U15" t="str">
            <v>Cost of Revenue (Comm.)</v>
          </cell>
          <cell r="V15">
            <v>1388</v>
          </cell>
          <cell r="W15" t="e">
            <v>#REF!</v>
          </cell>
          <cell r="X15">
            <v>0</v>
          </cell>
          <cell r="Y15" t="e">
            <v>#REF!</v>
          </cell>
          <cell r="Z15">
            <v>0</v>
          </cell>
          <cell r="AA15" t="e">
            <v>#REF!</v>
          </cell>
        </row>
        <row r="16">
          <cell r="B16" t="str">
            <v>Gross Margin (Comm.)</v>
          </cell>
          <cell r="D16">
            <v>0.60940919037199126</v>
          </cell>
          <cell r="E16">
            <v>0.61061946902654862</v>
          </cell>
          <cell r="F16">
            <v>0.60940919037199126</v>
          </cell>
          <cell r="G16">
            <v>0</v>
          </cell>
          <cell r="K16">
            <v>0.61061946902654862</v>
          </cell>
          <cell r="L16">
            <v>0.58777777777777773</v>
          </cell>
          <cell r="M16">
            <v>-12.102786545573618</v>
          </cell>
          <cell r="N16">
            <v>216.31412594213529</v>
          </cell>
          <cell r="O16">
            <v>-12.102786545573618</v>
          </cell>
          <cell r="P16">
            <v>216.31412594213529</v>
          </cell>
          <cell r="R16" t="str">
            <v>58 - 60%</v>
          </cell>
          <cell r="U16" t="str">
            <v>Gross Margin (Comm.)</v>
          </cell>
          <cell r="V16">
            <v>0.62364425162689807</v>
          </cell>
          <cell r="W16" t="e">
            <v>#REF!</v>
          </cell>
          <cell r="X16" t="e">
            <v>#DIV/0!</v>
          </cell>
          <cell r="Y16" t="e">
            <v>#REF!</v>
          </cell>
          <cell r="Z16" t="e">
            <v>#DIV/0!</v>
          </cell>
          <cell r="AA16" t="e">
            <v>#REF!</v>
          </cell>
        </row>
        <row r="17">
          <cell r="B17" t="str">
            <v>Cost of Revenue (Coal)</v>
          </cell>
          <cell r="D17">
            <v>15</v>
          </cell>
          <cell r="E17">
            <v>13</v>
          </cell>
          <cell r="F17">
            <v>15</v>
          </cell>
          <cell r="G17">
            <v>0</v>
          </cell>
          <cell r="K17">
            <v>13</v>
          </cell>
          <cell r="L17">
            <v>12</v>
          </cell>
          <cell r="M17">
            <v>0.15384615384615374</v>
          </cell>
          <cell r="N17">
            <v>0.25</v>
          </cell>
          <cell r="O17">
            <v>0.15384615384615374</v>
          </cell>
          <cell r="P17">
            <v>0.25</v>
          </cell>
          <cell r="U17" t="str">
            <v>Cost of Revenue (Coal)</v>
          </cell>
          <cell r="V17">
            <v>52</v>
          </cell>
          <cell r="W17" t="e">
            <v>#REF!</v>
          </cell>
          <cell r="X17">
            <v>0</v>
          </cell>
          <cell r="Y17" t="e">
            <v>#REF!</v>
          </cell>
          <cell r="Z17">
            <v>0</v>
          </cell>
          <cell r="AA17" t="e">
            <v>#REF!</v>
          </cell>
        </row>
        <row r="18">
          <cell r="B18" t="str">
            <v>SG&amp;A</v>
          </cell>
          <cell r="D18">
            <v>332</v>
          </cell>
          <cell r="E18">
            <v>330</v>
          </cell>
          <cell r="F18">
            <v>332</v>
          </cell>
          <cell r="G18">
            <v>0</v>
          </cell>
          <cell r="K18">
            <v>330</v>
          </cell>
          <cell r="L18">
            <v>327</v>
          </cell>
          <cell r="M18">
            <v>6.0606060606060996E-3</v>
          </cell>
          <cell r="N18">
            <v>1.5290519877675823E-2</v>
          </cell>
          <cell r="O18">
            <v>6.0606060606060996E-3</v>
          </cell>
          <cell r="P18">
            <v>1.5290519877675823E-2</v>
          </cell>
          <cell r="R18" t="str">
            <v>Flat through 2010</v>
          </cell>
          <cell r="S18" t="str">
            <v>Likely higher in 3Q on seasonal utility costs</v>
          </cell>
          <cell r="U18" t="str">
            <v>SG&amp;A</v>
          </cell>
          <cell r="V18">
            <v>1384</v>
          </cell>
          <cell r="W18" t="e">
            <v>#REF!</v>
          </cell>
          <cell r="X18">
            <v>0</v>
          </cell>
          <cell r="Y18" t="e">
            <v>#REF!</v>
          </cell>
          <cell r="Z18">
            <v>0</v>
          </cell>
          <cell r="AA18" t="e">
            <v>#REF!</v>
          </cell>
        </row>
        <row r="19">
          <cell r="B19" t="str">
            <v>SG&amp;A (% of Revenue)</v>
          </cell>
          <cell r="D19">
            <v>0.35737351991388588</v>
          </cell>
          <cell r="E19">
            <v>0.35830618892508143</v>
          </cell>
          <cell r="F19">
            <v>0.35737351991388588</v>
          </cell>
          <cell r="G19">
            <v>0</v>
          </cell>
          <cell r="K19">
            <v>0.35830618892508143</v>
          </cell>
          <cell r="L19">
            <v>0.35934065934065934</v>
          </cell>
          <cell r="M19">
            <v>-9.3266901119554149</v>
          </cell>
          <cell r="N19">
            <v>-19.671394267734566</v>
          </cell>
          <cell r="O19">
            <v>-9.3266901119554149</v>
          </cell>
          <cell r="P19">
            <v>-19.671394267734566</v>
          </cell>
          <cell r="R19" t="str">
            <v>Flat through 2010</v>
          </cell>
          <cell r="U19" t="str">
            <v>SG&amp;A (% of Revenue)</v>
          </cell>
          <cell r="V19">
            <v>0.36985569214323893</v>
          </cell>
          <cell r="W19" t="e">
            <v>#REF!</v>
          </cell>
          <cell r="X19" t="e">
            <v>#DIV/0!</v>
          </cell>
          <cell r="Y19" t="e">
            <v>#REF!</v>
          </cell>
          <cell r="Z19" t="e">
            <v>#DIV/0!</v>
          </cell>
          <cell r="AA19" t="e">
            <v>#REF!</v>
          </cell>
        </row>
        <row r="20">
          <cell r="B20" t="str">
            <v>Restructuring</v>
          </cell>
          <cell r="D20">
            <v>0</v>
          </cell>
          <cell r="E20">
            <v>0</v>
          </cell>
          <cell r="F20">
            <v>0</v>
          </cell>
          <cell r="U20" t="str">
            <v>Restructuring</v>
          </cell>
        </row>
        <row r="21">
          <cell r="F21">
            <v>0</v>
          </cell>
          <cell r="U21">
            <v>0</v>
          </cell>
          <cell r="W21">
            <v>0</v>
          </cell>
          <cell r="Y21">
            <v>0</v>
          </cell>
        </row>
        <row r="22">
          <cell r="B22" t="str">
            <v>Adjusted EBITDA</v>
          </cell>
          <cell r="D22">
            <v>225</v>
          </cell>
          <cell r="E22">
            <v>226</v>
          </cell>
          <cell r="F22">
            <v>225</v>
          </cell>
          <cell r="G22">
            <v>0</v>
          </cell>
          <cell r="H22">
            <v>216.1</v>
          </cell>
          <cell r="I22">
            <v>8.9000000000000057</v>
          </cell>
          <cell r="K22">
            <v>226</v>
          </cell>
          <cell r="L22">
            <v>200</v>
          </cell>
          <cell r="M22">
            <v>-4.4247787610619538E-3</v>
          </cell>
          <cell r="N22">
            <v>0.125</v>
          </cell>
          <cell r="O22">
            <v>-4.4247787610619538E-3</v>
          </cell>
          <cell r="P22">
            <v>0.125</v>
          </cell>
          <cell r="S22" t="str">
            <v>Leverage to 80% incremental gross margin in CNS</v>
          </cell>
          <cell r="U22" t="str">
            <v>Adjusted EBITDA</v>
          </cell>
          <cell r="V22">
            <v>918</v>
          </cell>
          <cell r="W22" t="e">
            <v>#REF!</v>
          </cell>
          <cell r="X22">
            <v>0</v>
          </cell>
          <cell r="Y22" t="e">
            <v>#REF!</v>
          </cell>
          <cell r="Z22">
            <v>0</v>
          </cell>
          <cell r="AA22" t="e">
            <v>#REF!</v>
          </cell>
        </row>
        <row r="23">
          <cell r="B23" t="str">
            <v>EBITDA Margin</v>
          </cell>
          <cell r="D23">
            <v>0.24219590958019377</v>
          </cell>
          <cell r="E23">
            <v>0.24538545059717698</v>
          </cell>
          <cell r="F23">
            <v>0.24219590958019377</v>
          </cell>
          <cell r="G23">
            <v>0</v>
          </cell>
          <cell r="H23">
            <v>0.23422935183177973</v>
          </cell>
          <cell r="I23">
            <v>79.665577484140385</v>
          </cell>
          <cell r="K23">
            <v>0.24538545059717698</v>
          </cell>
          <cell r="L23">
            <v>0.21978021978021978</v>
          </cell>
          <cell r="M23">
            <v>-31.895410169832104</v>
          </cell>
          <cell r="N23">
            <v>224.15689799973993</v>
          </cell>
          <cell r="O23">
            <v>-31.895410169832104</v>
          </cell>
          <cell r="P23">
            <v>224.15689799973993</v>
          </cell>
          <cell r="U23" t="str">
            <v>EBITDA Margin</v>
          </cell>
          <cell r="V23">
            <v>0.24532335649385356</v>
          </cell>
          <cell r="W23" t="e">
            <v>#REF!</v>
          </cell>
          <cell r="X23" t="e">
            <v>#DIV/0!</v>
          </cell>
          <cell r="Y23" t="e">
            <v>#REF!</v>
          </cell>
          <cell r="Z23" t="e">
            <v>#DIV/0!</v>
          </cell>
          <cell r="AA23" t="e">
            <v>#REF!</v>
          </cell>
        </row>
        <row r="24">
          <cell r="F24">
            <v>0</v>
          </cell>
          <cell r="U24">
            <v>0</v>
          </cell>
          <cell r="W24">
            <v>0</v>
          </cell>
          <cell r="Y24">
            <v>0</v>
          </cell>
        </row>
        <row r="25">
          <cell r="B25" t="str">
            <v>D&amp;A</v>
          </cell>
          <cell r="E25">
            <v>223</v>
          </cell>
          <cell r="F25">
            <v>0</v>
          </cell>
          <cell r="G25">
            <v>0</v>
          </cell>
          <cell r="H25">
            <v>226.14048099999999</v>
          </cell>
          <cell r="I25">
            <v>-226.14048099999999</v>
          </cell>
          <cell r="K25">
            <v>223</v>
          </cell>
          <cell r="L25">
            <v>229</v>
          </cell>
          <cell r="O25">
            <v>-1</v>
          </cell>
          <cell r="P25">
            <v>-1</v>
          </cell>
          <cell r="U25" t="str">
            <v>D&amp;A</v>
          </cell>
          <cell r="W25">
            <v>0</v>
          </cell>
          <cell r="Y25">
            <v>0</v>
          </cell>
        </row>
        <row r="26">
          <cell r="B26" t="str">
            <v>Stock Comp and Other</v>
          </cell>
          <cell r="E26">
            <v>14</v>
          </cell>
          <cell r="F26">
            <v>0</v>
          </cell>
          <cell r="G26">
            <v>0</v>
          </cell>
          <cell r="K26">
            <v>14</v>
          </cell>
          <cell r="L26">
            <v>10</v>
          </cell>
          <cell r="O26">
            <v>-1</v>
          </cell>
          <cell r="P26">
            <v>-1</v>
          </cell>
          <cell r="U26" t="str">
            <v>Stock Comp and Other</v>
          </cell>
          <cell r="W26">
            <v>0</v>
          </cell>
          <cell r="Y26">
            <v>0</v>
          </cell>
        </row>
        <row r="27">
          <cell r="B27" t="str">
            <v>EBIT</v>
          </cell>
          <cell r="E27">
            <v>-11</v>
          </cell>
          <cell r="F27">
            <v>0</v>
          </cell>
          <cell r="G27">
            <v>0</v>
          </cell>
          <cell r="H27">
            <v>-10.040481</v>
          </cell>
          <cell r="I27">
            <v>10.040481</v>
          </cell>
          <cell r="K27">
            <v>-11</v>
          </cell>
          <cell r="L27">
            <v>-39</v>
          </cell>
          <cell r="O27">
            <v>-1</v>
          </cell>
          <cell r="P27">
            <v>-1</v>
          </cell>
          <cell r="U27" t="str">
            <v>EBIT</v>
          </cell>
          <cell r="W27">
            <v>0</v>
          </cell>
          <cell r="Y27">
            <v>0</v>
          </cell>
        </row>
        <row r="28">
          <cell r="F28">
            <v>0</v>
          </cell>
          <cell r="U28">
            <v>0</v>
          </cell>
          <cell r="W28">
            <v>0</v>
          </cell>
          <cell r="Y28">
            <v>0</v>
          </cell>
        </row>
        <row r="29">
          <cell r="B29" t="str">
            <v>Interest Expense</v>
          </cell>
          <cell r="E29">
            <v>145</v>
          </cell>
          <cell r="F29">
            <v>0</v>
          </cell>
          <cell r="G29">
            <v>0</v>
          </cell>
          <cell r="K29">
            <v>145</v>
          </cell>
          <cell r="L29">
            <v>147</v>
          </cell>
          <cell r="O29">
            <v>-1</v>
          </cell>
          <cell r="P29">
            <v>-1</v>
          </cell>
          <cell r="U29" t="str">
            <v>Interest Expense</v>
          </cell>
          <cell r="W29">
            <v>0</v>
          </cell>
          <cell r="Y29">
            <v>0</v>
          </cell>
        </row>
        <row r="30">
          <cell r="B30" t="str">
            <v>Other</v>
          </cell>
          <cell r="E30">
            <v>-4</v>
          </cell>
          <cell r="F30">
            <v>0</v>
          </cell>
          <cell r="G30">
            <v>0</v>
          </cell>
          <cell r="K30">
            <v>-4</v>
          </cell>
          <cell r="L30">
            <v>-5</v>
          </cell>
          <cell r="U30" t="str">
            <v>Other</v>
          </cell>
          <cell r="W30">
            <v>0</v>
          </cell>
          <cell r="Y30">
            <v>0</v>
          </cell>
        </row>
        <row r="31">
          <cell r="B31" t="str">
            <v>Interest Income</v>
          </cell>
          <cell r="E31">
            <v>0</v>
          </cell>
          <cell r="F31">
            <v>0</v>
          </cell>
          <cell r="G31">
            <v>0</v>
          </cell>
          <cell r="K31">
            <v>0</v>
          </cell>
          <cell r="L31">
            <v>0</v>
          </cell>
          <cell r="U31" t="str">
            <v>Interest Income</v>
          </cell>
          <cell r="W31">
            <v>0</v>
          </cell>
          <cell r="Y31">
            <v>0</v>
          </cell>
        </row>
        <row r="32">
          <cell r="B32" t="str">
            <v>Net Interest Expense and Other</v>
          </cell>
          <cell r="E32">
            <v>141</v>
          </cell>
          <cell r="F32">
            <v>0</v>
          </cell>
          <cell r="G32">
            <v>0</v>
          </cell>
          <cell r="H32">
            <v>156.36071900000002</v>
          </cell>
          <cell r="I32">
            <v>-156.36071900000002</v>
          </cell>
          <cell r="K32">
            <v>141</v>
          </cell>
          <cell r="L32">
            <v>142</v>
          </cell>
          <cell r="U32" t="str">
            <v>Net Interest Expense and Other</v>
          </cell>
          <cell r="W32">
            <v>0</v>
          </cell>
          <cell r="Y32">
            <v>0</v>
          </cell>
        </row>
        <row r="33">
          <cell r="F33">
            <v>0</v>
          </cell>
          <cell r="U33">
            <v>0</v>
          </cell>
          <cell r="W33">
            <v>0</v>
          </cell>
          <cell r="Y33">
            <v>0</v>
          </cell>
        </row>
        <row r="34">
          <cell r="B34" t="str">
            <v>EBT</v>
          </cell>
          <cell r="E34">
            <v>-152</v>
          </cell>
          <cell r="F34">
            <v>0</v>
          </cell>
          <cell r="G34">
            <v>0</v>
          </cell>
          <cell r="H34">
            <v>-166.40120000000002</v>
          </cell>
          <cell r="I34">
            <v>166.40120000000002</v>
          </cell>
          <cell r="K34">
            <v>-152</v>
          </cell>
          <cell r="L34">
            <v>-181</v>
          </cell>
          <cell r="U34" t="str">
            <v>EBT</v>
          </cell>
          <cell r="W34">
            <v>0</v>
          </cell>
          <cell r="Y34">
            <v>0</v>
          </cell>
        </row>
        <row r="35">
          <cell r="F35">
            <v>0</v>
          </cell>
          <cell r="G35">
            <v>0</v>
          </cell>
          <cell r="U35">
            <v>0</v>
          </cell>
          <cell r="W35">
            <v>0</v>
          </cell>
          <cell r="Y35">
            <v>0</v>
          </cell>
        </row>
        <row r="36">
          <cell r="B36" t="str">
            <v>Income Taxes</v>
          </cell>
          <cell r="E36">
            <v>0</v>
          </cell>
          <cell r="F36">
            <v>0</v>
          </cell>
          <cell r="G36">
            <v>0</v>
          </cell>
          <cell r="H36">
            <v>6.4849999999999852</v>
          </cell>
          <cell r="I36">
            <v>-6.4849999999999852</v>
          </cell>
          <cell r="K36">
            <v>0</v>
          </cell>
          <cell r="L36">
            <v>-2</v>
          </cell>
          <cell r="U36" t="str">
            <v>Income Taxes</v>
          </cell>
          <cell r="W36">
            <v>0</v>
          </cell>
          <cell r="Y36">
            <v>0</v>
          </cell>
        </row>
        <row r="37">
          <cell r="F37">
            <v>0</v>
          </cell>
          <cell r="U37">
            <v>0</v>
          </cell>
          <cell r="W37">
            <v>0</v>
          </cell>
          <cell r="Y37">
            <v>0</v>
          </cell>
        </row>
        <row r="38">
          <cell r="B38" t="str">
            <v>Net Income (Operating)</v>
          </cell>
          <cell r="E38">
            <v>-152</v>
          </cell>
          <cell r="F38">
            <v>0</v>
          </cell>
          <cell r="G38">
            <v>0</v>
          </cell>
          <cell r="H38">
            <v>-172.8862</v>
          </cell>
          <cell r="I38">
            <v>172.8862</v>
          </cell>
          <cell r="K38">
            <v>-152</v>
          </cell>
          <cell r="L38">
            <v>-183</v>
          </cell>
          <cell r="U38" t="str">
            <v>Net Income (Operating)</v>
          </cell>
          <cell r="W38">
            <v>0</v>
          </cell>
          <cell r="Y38">
            <v>0</v>
          </cell>
        </row>
        <row r="39">
          <cell r="F39">
            <v>0</v>
          </cell>
          <cell r="U39">
            <v>0</v>
          </cell>
          <cell r="W39">
            <v>0</v>
          </cell>
          <cell r="Y39">
            <v>0</v>
          </cell>
        </row>
        <row r="40">
          <cell r="B40" t="str">
            <v>Reconciliation to (GAAP):</v>
          </cell>
          <cell r="F40">
            <v>0</v>
          </cell>
          <cell r="U40" t="str">
            <v>Reconciliation to (GAAP):</v>
          </cell>
          <cell r="W40">
            <v>0</v>
          </cell>
          <cell r="Y40">
            <v>0</v>
          </cell>
        </row>
        <row r="41">
          <cell r="B41" t="str">
            <v>Minority Interest</v>
          </cell>
          <cell r="F41">
            <v>0</v>
          </cell>
          <cell r="K41">
            <v>0</v>
          </cell>
          <cell r="U41" t="str">
            <v>Minority Interest</v>
          </cell>
          <cell r="W41">
            <v>0</v>
          </cell>
          <cell r="Y41">
            <v>0</v>
          </cell>
        </row>
        <row r="42">
          <cell r="B42" t="str">
            <v>Unusual Charges</v>
          </cell>
          <cell r="F42">
            <v>0</v>
          </cell>
          <cell r="K42">
            <v>0</v>
          </cell>
          <cell r="U42" t="str">
            <v>Unusual Charges</v>
          </cell>
          <cell r="W42">
            <v>0</v>
          </cell>
          <cell r="Y42">
            <v>0</v>
          </cell>
        </row>
        <row r="43">
          <cell r="B43" t="str">
            <v>Asset Impairments</v>
          </cell>
          <cell r="F43">
            <v>0</v>
          </cell>
          <cell r="K43">
            <v>0</v>
          </cell>
          <cell r="U43" t="str">
            <v>Asset Impairments</v>
          </cell>
          <cell r="W43">
            <v>0</v>
          </cell>
          <cell r="Y43">
            <v>0</v>
          </cell>
        </row>
        <row r="44">
          <cell r="B44" t="str">
            <v>Goodwill Impairments</v>
          </cell>
          <cell r="F44">
            <v>0</v>
          </cell>
          <cell r="K44">
            <v>0</v>
          </cell>
          <cell r="U44" t="str">
            <v>Goodwill Impairments</v>
          </cell>
          <cell r="W44">
            <v>0</v>
          </cell>
          <cell r="Y44">
            <v>0</v>
          </cell>
        </row>
        <row r="45">
          <cell r="B45" t="str">
            <v>Dividends on Preferred</v>
          </cell>
          <cell r="F45">
            <v>0</v>
          </cell>
          <cell r="K45">
            <v>0</v>
          </cell>
          <cell r="U45" t="str">
            <v>Dividends on Preferred</v>
          </cell>
          <cell r="W45">
            <v>0</v>
          </cell>
          <cell r="Y45">
            <v>0</v>
          </cell>
        </row>
        <row r="46">
          <cell r="B46" t="str">
            <v>Extraordinary Items</v>
          </cell>
          <cell r="F46">
            <v>0</v>
          </cell>
          <cell r="K46">
            <v>0</v>
          </cell>
          <cell r="U46" t="str">
            <v>Extraordinary Items</v>
          </cell>
          <cell r="W46">
            <v>0</v>
          </cell>
          <cell r="Y46">
            <v>0</v>
          </cell>
        </row>
        <row r="47">
          <cell r="B47" t="str">
            <v>Net Income to Common</v>
          </cell>
          <cell r="E47">
            <v>-152</v>
          </cell>
          <cell r="F47">
            <v>0</v>
          </cell>
          <cell r="G47">
            <v>0</v>
          </cell>
          <cell r="K47">
            <v>-152</v>
          </cell>
          <cell r="L47">
            <v>-183</v>
          </cell>
          <cell r="U47" t="str">
            <v>Net Income to Common</v>
          </cell>
          <cell r="W47">
            <v>0</v>
          </cell>
          <cell r="Y47">
            <v>0</v>
          </cell>
        </row>
        <row r="48">
          <cell r="F48">
            <v>0</v>
          </cell>
          <cell r="U48">
            <v>0</v>
          </cell>
          <cell r="W48">
            <v>0</v>
          </cell>
          <cell r="Y48">
            <v>0</v>
          </cell>
        </row>
        <row r="49">
          <cell r="B49" t="str">
            <v>Basic Reported (GAAP) EPS</v>
          </cell>
          <cell r="E49">
            <v>-9.1565768619326762E-2</v>
          </cell>
          <cell r="F49">
            <v>0</v>
          </cell>
          <cell r="G49">
            <v>0</v>
          </cell>
          <cell r="K49">
            <v>-9.1565768619326762E-2</v>
          </cell>
          <cell r="L49">
            <v>-0.11174023509412741</v>
          </cell>
          <cell r="U49" t="str">
            <v>Basic Reported (GAAP) EPS</v>
          </cell>
          <cell r="W49">
            <v>0</v>
          </cell>
          <cell r="Y49">
            <v>0</v>
          </cell>
        </row>
        <row r="50">
          <cell r="B50" t="str">
            <v>Diluted Reported (GAAP) EPS</v>
          </cell>
          <cell r="E50">
            <v>-9.1565768619326762E-2</v>
          </cell>
          <cell r="F50">
            <v>0</v>
          </cell>
          <cell r="G50">
            <v>0</v>
          </cell>
          <cell r="K50">
            <v>-9.1565768619326762E-2</v>
          </cell>
          <cell r="L50">
            <v>-0.11174023509412741</v>
          </cell>
          <cell r="U50" t="str">
            <v>Diluted Reported (GAAP) EPS</v>
          </cell>
          <cell r="W50">
            <v>0</v>
          </cell>
          <cell r="Y50">
            <v>0</v>
          </cell>
        </row>
        <row r="51">
          <cell r="B51" t="str">
            <v>Diluted EPS (Cont. Ops)</v>
          </cell>
          <cell r="D51">
            <v>-0.12</v>
          </cell>
          <cell r="E51">
            <v>-0.4674347778666037</v>
          </cell>
          <cell r="F51">
            <v>-1.829068085349373</v>
          </cell>
          <cell r="G51">
            <v>1.7090680853493732</v>
          </cell>
          <cell r="H51">
            <v>-0.1</v>
          </cell>
          <cell r="I51">
            <v>-1.729068085349373</v>
          </cell>
          <cell r="K51">
            <v>-9.1565768619326762E-2</v>
          </cell>
          <cell r="L51">
            <v>-0.11174023509412741</v>
          </cell>
          <cell r="M51" t="str">
            <v>NM</v>
          </cell>
          <cell r="N51" t="str">
            <v>NM</v>
          </cell>
          <cell r="O51" t="str">
            <v>NM</v>
          </cell>
          <cell r="P51" t="str">
            <v>NM</v>
          </cell>
          <cell r="U51" t="str">
            <v>Diluted EPS (Cont. Ops)</v>
          </cell>
          <cell r="V51">
            <v>-3.0978389452822923</v>
          </cell>
          <cell r="W51" t="e">
            <v>#REF!</v>
          </cell>
          <cell r="X51">
            <v>0</v>
          </cell>
          <cell r="Y51" t="e">
            <v>#REF!</v>
          </cell>
          <cell r="Z51">
            <v>0</v>
          </cell>
          <cell r="AA51">
            <v>0</v>
          </cell>
        </row>
        <row r="52">
          <cell r="F52">
            <v>0</v>
          </cell>
          <cell r="U52">
            <v>0</v>
          </cell>
          <cell r="W52">
            <v>0</v>
          </cell>
          <cell r="Y52">
            <v>0</v>
          </cell>
        </row>
        <row r="53">
          <cell r="B53" t="str">
            <v>Avg Basic Shares</v>
          </cell>
          <cell r="E53">
            <v>1660.009</v>
          </cell>
          <cell r="F53">
            <v>0</v>
          </cell>
          <cell r="G53">
            <v>0</v>
          </cell>
          <cell r="K53">
            <v>1660.009</v>
          </cell>
          <cell r="L53">
            <v>1637.7270000000001</v>
          </cell>
          <cell r="U53" t="str">
            <v>Avg Basic Shares</v>
          </cell>
          <cell r="W53">
            <v>0</v>
          </cell>
          <cell r="Y53">
            <v>0</v>
          </cell>
        </row>
        <row r="54">
          <cell r="B54" t="str">
            <v>Avg Diluted Shares</v>
          </cell>
          <cell r="E54">
            <v>1660.009</v>
          </cell>
          <cell r="F54">
            <v>0</v>
          </cell>
          <cell r="G54">
            <v>0</v>
          </cell>
          <cell r="K54">
            <v>1660.009</v>
          </cell>
          <cell r="L54">
            <v>1637.7270000000001</v>
          </cell>
          <cell r="U54" t="str">
            <v>Avg Diluted Shares</v>
          </cell>
          <cell r="W54">
            <v>0</v>
          </cell>
          <cell r="Y54">
            <v>0</v>
          </cell>
        </row>
        <row r="55">
          <cell r="W55">
            <v>0</v>
          </cell>
          <cell r="Y55">
            <v>0</v>
          </cell>
        </row>
        <row r="56">
          <cell r="B56" t="str">
            <v>FCFE CALCULATION:</v>
          </cell>
          <cell r="U56" t="str">
            <v>FCFE CALCULATION:</v>
          </cell>
        </row>
        <row r="57">
          <cell r="B57" t="str">
            <v>EBITDA</v>
          </cell>
          <cell r="D57">
            <v>225</v>
          </cell>
          <cell r="E57">
            <v>226</v>
          </cell>
          <cell r="F57">
            <v>225</v>
          </cell>
          <cell r="G57">
            <v>0</v>
          </cell>
          <cell r="H57">
            <v>216.1</v>
          </cell>
          <cell r="I57">
            <v>8.9000000000000057</v>
          </cell>
          <cell r="K57">
            <v>226</v>
          </cell>
          <cell r="L57">
            <v>200</v>
          </cell>
          <cell r="M57">
            <v>-4.4247787610619538E-3</v>
          </cell>
          <cell r="N57">
            <v>0.125</v>
          </cell>
          <cell r="O57">
            <v>-4.4247787610619538E-3</v>
          </cell>
          <cell r="P57">
            <v>0.125</v>
          </cell>
          <cell r="U57" t="str">
            <v>EBITDA</v>
          </cell>
          <cell r="V57">
            <v>918</v>
          </cell>
          <cell r="W57" t="e">
            <v>#REF!</v>
          </cell>
          <cell r="X57">
            <v>0</v>
          </cell>
          <cell r="Y57" t="e">
            <v>#REF!</v>
          </cell>
          <cell r="Z57">
            <v>0</v>
          </cell>
          <cell r="AA57" t="e">
            <v>#REF!</v>
          </cell>
        </row>
        <row r="58">
          <cell r="B58" t="str">
            <v>- Capex</v>
          </cell>
          <cell r="D58">
            <v>115</v>
          </cell>
          <cell r="E58">
            <v>117</v>
          </cell>
          <cell r="F58">
            <v>115</v>
          </cell>
          <cell r="G58">
            <v>0</v>
          </cell>
          <cell r="H58">
            <v>104</v>
          </cell>
          <cell r="I58">
            <v>11</v>
          </cell>
          <cell r="K58">
            <v>117</v>
          </cell>
          <cell r="L58">
            <v>82</v>
          </cell>
          <cell r="M58">
            <v>-1.7094017094017144E-2</v>
          </cell>
          <cell r="N58">
            <v>0.40243902439024382</v>
          </cell>
          <cell r="O58">
            <v>-1.7094017094017144E-2</v>
          </cell>
          <cell r="P58">
            <v>0.40243902439024382</v>
          </cell>
          <cell r="R58" t="str">
            <v>Higher capex in 2010</v>
          </cell>
          <cell r="S58" t="str">
            <v>Close to run-rate for year given better demand trends</v>
          </cell>
          <cell r="U58" t="str">
            <v>- Capex</v>
          </cell>
          <cell r="V58">
            <v>444</v>
          </cell>
          <cell r="W58" t="e">
            <v>#REF!</v>
          </cell>
          <cell r="X58">
            <v>0</v>
          </cell>
          <cell r="Y58" t="e">
            <v>#REF!</v>
          </cell>
          <cell r="Z58">
            <v>0</v>
          </cell>
          <cell r="AA58" t="e">
            <v>#REF!</v>
          </cell>
        </row>
        <row r="59">
          <cell r="B59" t="str">
            <v>- Net Interest Expense</v>
          </cell>
          <cell r="D59">
            <v>157</v>
          </cell>
          <cell r="E59" t="e">
            <v>#REF!</v>
          </cell>
          <cell r="F59" t="e">
            <v>#REF!</v>
          </cell>
          <cell r="G59" t="e">
            <v>#REF!</v>
          </cell>
          <cell r="K59" t="e">
            <v>#REF!</v>
          </cell>
          <cell r="L59" t="e">
            <v>#REF!</v>
          </cell>
          <cell r="M59" t="e">
            <v>#REF!</v>
          </cell>
          <cell r="N59" t="e">
            <v>#REF!</v>
          </cell>
          <cell r="O59" t="e">
            <v>#REF!</v>
          </cell>
          <cell r="P59" t="str">
            <v>NM</v>
          </cell>
          <cell r="U59" t="str">
            <v>- Net Interest Expense</v>
          </cell>
          <cell r="V59">
            <v>495</v>
          </cell>
          <cell r="W59" t="e">
            <v>#REF!</v>
          </cell>
          <cell r="X59">
            <v>0</v>
          </cell>
          <cell r="Y59" t="e">
            <v>#REF!</v>
          </cell>
          <cell r="Z59">
            <v>0</v>
          </cell>
          <cell r="AA59" t="e">
            <v>#REF!</v>
          </cell>
          <cell r="AE59" t="str">
            <v>Actual</v>
          </cell>
          <cell r="AF59" t="str">
            <v>Cons (E)</v>
          </cell>
          <cell r="AI59" t="str">
            <v>Actual</v>
          </cell>
          <cell r="AJ59" t="str">
            <v>Actual</v>
          </cell>
        </row>
        <row r="60">
          <cell r="B60" t="str">
            <v>FCFE</v>
          </cell>
          <cell r="D60">
            <v>-47</v>
          </cell>
          <cell r="E60" t="e">
            <v>#REF!</v>
          </cell>
          <cell r="F60" t="e">
            <v>#REF!</v>
          </cell>
          <cell r="G60" t="e">
            <v>#REF!</v>
          </cell>
          <cell r="K60" t="e">
            <v>#REF!</v>
          </cell>
          <cell r="L60" t="e">
            <v>#REF!</v>
          </cell>
          <cell r="M60" t="e">
            <v>#REF!</v>
          </cell>
          <cell r="N60" t="e">
            <v>#REF!</v>
          </cell>
          <cell r="O60" t="e">
            <v>#REF!</v>
          </cell>
          <cell r="P60" t="e">
            <v>#REF!</v>
          </cell>
          <cell r="S60" t="str">
            <v>Likely negative for the year</v>
          </cell>
          <cell r="U60" t="str">
            <v>FCFE</v>
          </cell>
          <cell r="V60">
            <v>-21</v>
          </cell>
          <cell r="W60" t="e">
            <v>#REF!</v>
          </cell>
          <cell r="X60">
            <v>0</v>
          </cell>
          <cell r="Y60" t="e">
            <v>#REF!</v>
          </cell>
          <cell r="Z60">
            <v>0</v>
          </cell>
          <cell r="AA60" t="e">
            <v>#REF!</v>
          </cell>
          <cell r="AE60" t="str">
            <v>2Q11</v>
          </cell>
          <cell r="AF60" t="str">
            <v>2Q11</v>
          </cell>
          <cell r="AG60" t="str">
            <v>Diff.</v>
          </cell>
          <cell r="AI60" t="str">
            <v>1Q11</v>
          </cell>
          <cell r="AJ60" t="str">
            <v>2Q10</v>
          </cell>
          <cell r="AK60" t="str">
            <v>Seq. (E)</v>
          </cell>
          <cell r="AL60" t="str">
            <v>Y/Y (E)</v>
          </cell>
          <cell r="AM60" t="str">
            <v>Seq. (A)</v>
          </cell>
          <cell r="AN60" t="str">
            <v>Y/Y (A)</v>
          </cell>
        </row>
        <row r="62">
          <cell r="AC62" t="str">
            <v>REVENUES</v>
          </cell>
          <cell r="AF62">
            <v>936.8</v>
          </cell>
          <cell r="AG62">
            <v>-936.8</v>
          </cell>
          <cell r="AI62">
            <v>929</v>
          </cell>
          <cell r="AJ62">
            <v>908</v>
          </cell>
          <cell r="AK62">
            <v>8.3961248654467191E-3</v>
          </cell>
          <cell r="AL62">
            <v>3.1718061674008702E-2</v>
          </cell>
          <cell r="AM62">
            <v>-1</v>
          </cell>
          <cell r="AN62">
            <v>-1</v>
          </cell>
        </row>
        <row r="63">
          <cell r="AC63" t="str">
            <v>GROSS INCOME</v>
          </cell>
          <cell r="AF63">
            <v>563.70000000000005</v>
          </cell>
          <cell r="AG63">
            <v>-563.70000000000005</v>
          </cell>
          <cell r="AI63">
            <v>557</v>
          </cell>
          <cell r="AJ63">
            <v>534</v>
          </cell>
          <cell r="AK63">
            <v>1.2028725314183308E-2</v>
          </cell>
          <cell r="AL63">
            <v>5.5617977528090057E-2</v>
          </cell>
          <cell r="AM63">
            <v>-1</v>
          </cell>
          <cell r="AN63">
            <v>-1</v>
          </cell>
        </row>
        <row r="64">
          <cell r="AC64" t="str">
            <v>Margin</v>
          </cell>
          <cell r="AE64" t="e">
            <v>#DIV/0!</v>
          </cell>
          <cell r="AF64">
            <v>0.60172929120409913</v>
          </cell>
          <cell r="AG64" t="e">
            <v>#DIV/0!</v>
          </cell>
          <cell r="AI64">
            <v>0.59956942949407965</v>
          </cell>
          <cell r="AJ64">
            <v>0.58810572687224671</v>
          </cell>
          <cell r="AK64">
            <v>21.59861710019473</v>
          </cell>
          <cell r="AL64">
            <v>136.23564331852413</v>
          </cell>
        </row>
        <row r="65">
          <cell r="D65">
            <v>115</v>
          </cell>
          <cell r="AC65" t="str">
            <v>EBITDA</v>
          </cell>
          <cell r="AF65">
            <v>230.2</v>
          </cell>
          <cell r="AG65">
            <v>-230.2</v>
          </cell>
          <cell r="AI65">
            <v>225</v>
          </cell>
          <cell r="AJ65">
            <v>209</v>
          </cell>
          <cell r="AK65">
            <v>2.3111111111111082E-2</v>
          </cell>
          <cell r="AL65">
            <v>0.10143540669856455</v>
          </cell>
          <cell r="AM65">
            <v>-1</v>
          </cell>
          <cell r="AN65">
            <v>-1</v>
          </cell>
        </row>
        <row r="66">
          <cell r="AC66" t="str">
            <v>Margin</v>
          </cell>
          <cell r="AE66" t="e">
            <v>#DIV/0!</v>
          </cell>
          <cell r="AF66">
            <v>0.24573014517506406</v>
          </cell>
          <cell r="AG66" t="e">
            <v>#DIV/0!</v>
          </cell>
          <cell r="AI66">
            <v>0.24219590958019377</v>
          </cell>
          <cell r="AJ66">
            <v>0.23017621145374451</v>
          </cell>
          <cell r="AK66">
            <v>35.342355948702888</v>
          </cell>
          <cell r="AL66">
            <v>155.53933721319552</v>
          </cell>
        </row>
        <row r="67">
          <cell r="AC67" t="str">
            <v>CAPEX</v>
          </cell>
          <cell r="AF67">
            <v>107</v>
          </cell>
          <cell r="AG67">
            <v>-107</v>
          </cell>
          <cell r="AI67">
            <v>115</v>
          </cell>
          <cell r="AJ67">
            <v>104</v>
          </cell>
          <cell r="AK67">
            <v>-6.956521739130439E-2</v>
          </cell>
          <cell r="AL67">
            <v>2.8846153846153744E-2</v>
          </cell>
          <cell r="AM67">
            <v>-1</v>
          </cell>
          <cell r="AN67">
            <v>-1</v>
          </cell>
        </row>
        <row r="68">
          <cell r="AC68" t="str">
            <v>Capex Intensity</v>
          </cell>
          <cell r="AE68" t="e">
            <v>#DIV/0!</v>
          </cell>
          <cell r="AF68">
            <v>0.11421861656703673</v>
          </cell>
          <cell r="AG68" t="e">
            <v>#DIV/0!</v>
          </cell>
          <cell r="AI68">
            <v>0.12378902045209902</v>
          </cell>
          <cell r="AJ68">
            <v>0.11453744493392071</v>
          </cell>
          <cell r="AK68">
            <v>-95.704038850622922</v>
          </cell>
          <cell r="AL68">
            <v>-3.1882836688397473</v>
          </cell>
        </row>
        <row r="69">
          <cell r="AC69" t="str">
            <v>NET INTEREST EXP.</v>
          </cell>
          <cell r="AF69">
            <v>154.5</v>
          </cell>
          <cell r="AG69">
            <v>-154.5</v>
          </cell>
          <cell r="AI69">
            <v>157</v>
          </cell>
          <cell r="AJ69">
            <v>145</v>
          </cell>
          <cell r="AK69">
            <v>-1.5923566878980888E-2</v>
          </cell>
          <cell r="AL69">
            <v>6.5517241379310365E-2</v>
          </cell>
          <cell r="AM69">
            <v>-1</v>
          </cell>
          <cell r="AN69">
            <v>-1</v>
          </cell>
        </row>
        <row r="70">
          <cell r="AC70" t="str">
            <v>FCFE</v>
          </cell>
          <cell r="AF70">
            <v>-31.300000000000011</v>
          </cell>
          <cell r="AG70">
            <v>31.300000000000011</v>
          </cell>
          <cell r="AI70">
            <v>-47</v>
          </cell>
          <cell r="AJ70">
            <v>-40</v>
          </cell>
          <cell r="AK70" t="str">
            <v>NA</v>
          </cell>
          <cell r="AL70" t="str">
            <v>NA</v>
          </cell>
        </row>
        <row r="71">
          <cell r="AC71" t="str">
            <v>EPS</v>
          </cell>
          <cell r="AF71">
            <v>-0.09</v>
          </cell>
          <cell r="AG71">
            <v>0.09</v>
          </cell>
          <cell r="AI71">
            <v>-1.829068085349373</v>
          </cell>
          <cell r="AJ71">
            <v>-1.5271001542762721</v>
          </cell>
          <cell r="AK71" t="str">
            <v>NA</v>
          </cell>
          <cell r="AL71" t="str">
            <v>NA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T-Exhibit"/>
      <sheetName val="__FDSCACHE__"/>
      <sheetName val="PricePerSF"/>
      <sheetName val="Variance"/>
      <sheetName val="US Fund"/>
      <sheetName val="Income Statement"/>
      <sheetName val="Financing"/>
      <sheetName val="BS"/>
      <sheetName val="CFS"/>
      <sheetName val="Assumptions"/>
      <sheetName val="Exhibits"/>
      <sheetName val="AcqDisp"/>
      <sheetName val="Quarterly Performance"/>
      <sheetName val="Analysis"/>
      <sheetName val="NAV"/>
      <sheetName val="For Graph"/>
      <sheetName val="Development Pipeline"/>
      <sheetName val="Preferreds"/>
      <sheetName val="mwareDates"/>
      <sheetName val="mwareSettings"/>
    </sheetNames>
    <sheetDataSet>
      <sheetData sheetId="0" refreshError="1"/>
      <sheetData sheetId="1" refreshError="1"/>
      <sheetData sheetId="2" refreshError="1"/>
      <sheetData sheetId="3" refreshError="1">
        <row r="1">
          <cell r="A1" t="str">
            <v>Brookfield</v>
          </cell>
          <cell r="H1" t="str">
            <v>David Cohen</v>
          </cell>
        </row>
        <row r="2">
          <cell r="A2" t="str">
            <v>Quarterly Earnings Variance Analysis</v>
          </cell>
          <cell r="H2" t="str">
            <v>Morgan Stanley REIT Research Team</v>
          </cell>
        </row>
        <row r="3">
          <cell r="A3" t="str">
            <v>(Dollars In Thousands, Except Per-Share)</v>
          </cell>
          <cell r="H3" t="str">
            <v>(212) 761- 8564   dave.cohen@morganstanley.com</v>
          </cell>
        </row>
        <row r="7">
          <cell r="B7" t="str">
            <v>MS</v>
          </cell>
          <cell r="C7" t="str">
            <v>Reported</v>
          </cell>
          <cell r="E7" t="str">
            <v>Per Share</v>
          </cell>
        </row>
        <row r="8">
          <cell r="A8" t="str">
            <v>Year Ends December 31</v>
          </cell>
          <cell r="B8" t="str">
            <v>4Q07A</v>
          </cell>
          <cell r="C8" t="str">
            <v>4Q07A</v>
          </cell>
          <cell r="D8" t="str">
            <v>Variance</v>
          </cell>
          <cell r="E8" t="str">
            <v>Impact</v>
          </cell>
          <cell r="F8" t="str">
            <v>Comments</v>
          </cell>
          <cell r="G8" t="str">
            <v>4Q06A</v>
          </cell>
          <cell r="H8" t="str">
            <v>3Q07A</v>
          </cell>
        </row>
        <row r="9">
          <cell r="A9" t="str">
            <v>Commercial Property Operations</v>
          </cell>
        </row>
        <row r="10">
          <cell r="A10" t="str">
            <v xml:space="preserve">  Recurring Fee Income (% of Gross Assets)</v>
          </cell>
          <cell r="B10">
            <v>6.4332913140169887E-4</v>
          </cell>
          <cell r="C10">
            <v>7.7434342130734983E-4</v>
          </cell>
          <cell r="G10">
            <v>7.4965957600281138E-4</v>
          </cell>
          <cell r="H10">
            <v>6.2833845642713707E-4</v>
          </cell>
        </row>
        <row r="11">
          <cell r="A11" t="str">
            <v xml:space="preserve">  Rental Property Expenses as % of Rental Revenue</v>
          </cell>
          <cell r="B11">
            <v>0.39314516129032262</v>
          </cell>
          <cell r="C11">
            <v>0.4259927797833935</v>
          </cell>
          <cell r="G11">
            <v>0.39314516129032256</v>
          </cell>
          <cell r="H11">
            <v>0.4059040590405904</v>
          </cell>
        </row>
        <row r="12">
          <cell r="A12" t="str">
            <v>Residential Property Operations</v>
          </cell>
          <cell r="B12">
            <v>0.60685483870967738</v>
          </cell>
          <cell r="C12">
            <v>0.57400722021660644</v>
          </cell>
          <cell r="G12">
            <v>0.60685483870967749</v>
          </cell>
          <cell r="H12">
            <v>0.59409594095940954</v>
          </cell>
        </row>
        <row r="13">
          <cell r="A13" t="str">
            <v xml:space="preserve">  Operating Expenses as % of Revenue</v>
          </cell>
          <cell r="B13">
            <v>0.6</v>
          </cell>
          <cell r="C13">
            <v>0.70479704797047971</v>
          </cell>
          <cell r="G13">
            <v>0.67721518987341767</v>
          </cell>
          <cell r="H13">
            <v>0.69285714285714284</v>
          </cell>
        </row>
        <row r="14">
          <cell r="A14" t="str">
            <v>Interest and Other Income as % of NOI</v>
          </cell>
        </row>
        <row r="15">
          <cell r="A15" t="str">
            <v>Admin. And Development Expenses as % of NOI</v>
          </cell>
          <cell r="B15">
            <v>7.4212802350889034E-2</v>
          </cell>
          <cell r="C15">
            <v>8.0154371381920733E-2</v>
          </cell>
          <cell r="G15">
            <v>6.3186813186813184E-2</v>
          </cell>
          <cell r="H15">
            <v>7.7039021939373634E-2</v>
          </cell>
        </row>
        <row r="17">
          <cell r="A17" t="str">
            <v>Commercial Property Operations</v>
          </cell>
        </row>
        <row r="18">
          <cell r="A18" t="str">
            <v xml:space="preserve">  Revenue</v>
          </cell>
          <cell r="B18">
            <v>544615.70933726709</v>
          </cell>
          <cell r="C18">
            <v>554000</v>
          </cell>
          <cell r="D18">
            <v>9384.2906627329066</v>
          </cell>
          <cell r="E18">
            <v>2.3655887730609799E-2</v>
          </cell>
          <cell r="G18">
            <v>496000</v>
          </cell>
          <cell r="H18">
            <v>542000</v>
          </cell>
        </row>
        <row r="19">
          <cell r="A19" t="str">
            <v>Recurring Fee Income</v>
          </cell>
          <cell r="B19">
            <v>9969.6715493321281</v>
          </cell>
          <cell r="C19">
            <v>12000</v>
          </cell>
          <cell r="D19">
            <v>2030.3284506678719</v>
          </cell>
          <cell r="E19">
            <v>5.1180449979023749E-3</v>
          </cell>
          <cell r="G19">
            <v>12000</v>
          </cell>
          <cell r="H19">
            <v>10000</v>
          </cell>
        </row>
        <row r="20">
          <cell r="A20" t="str">
            <v>Fees from Leasing</v>
          </cell>
          <cell r="B20">
            <v>0</v>
          </cell>
          <cell r="C20">
            <v>0</v>
          </cell>
          <cell r="D20">
            <v>0</v>
          </cell>
          <cell r="E20">
            <v>0</v>
          </cell>
          <cell r="G20">
            <v>0</v>
          </cell>
          <cell r="H20">
            <v>0</v>
          </cell>
        </row>
        <row r="21">
          <cell r="A21" t="str">
            <v xml:space="preserve">  Operating Expenses</v>
          </cell>
          <cell r="B21">
            <v>214113.03088864335</v>
          </cell>
          <cell r="C21">
            <v>236000</v>
          </cell>
          <cell r="D21">
            <v>-21886.969111356651</v>
          </cell>
          <cell r="E21">
            <v>-5.5172596701176337E-2</v>
          </cell>
          <cell r="G21">
            <v>195000</v>
          </cell>
          <cell r="H21">
            <v>220000</v>
          </cell>
        </row>
        <row r="22">
          <cell r="A22" t="str">
            <v xml:space="preserve">  Operating Income</v>
          </cell>
          <cell r="B22">
            <v>340472.3499979559</v>
          </cell>
          <cell r="C22">
            <v>330000</v>
          </cell>
          <cell r="D22">
            <v>-10472.349997955898</v>
          </cell>
          <cell r="E22">
            <v>-2.6398663972664226E-2</v>
          </cell>
          <cell r="G22">
            <v>313000</v>
          </cell>
          <cell r="H22">
            <v>332000</v>
          </cell>
        </row>
        <row r="24">
          <cell r="A24" t="str">
            <v xml:space="preserve">  Termination and other gains</v>
          </cell>
          <cell r="B24">
            <v>0</v>
          </cell>
          <cell r="C24">
            <v>0</v>
          </cell>
          <cell r="D24">
            <v>0</v>
          </cell>
          <cell r="E24">
            <v>0</v>
          </cell>
          <cell r="G24">
            <v>0</v>
          </cell>
          <cell r="H24">
            <v>0</v>
          </cell>
        </row>
        <row r="25">
          <cell r="A25" t="str">
            <v xml:space="preserve"> Acquisition/Development/Disposition NOI</v>
          </cell>
          <cell r="B25">
            <v>-18.84375</v>
          </cell>
          <cell r="C25">
            <v>0</v>
          </cell>
          <cell r="D25">
            <v>18.84375</v>
          </cell>
          <cell r="E25">
            <v>4.7501260398285858E-5</v>
          </cell>
          <cell r="G25">
            <v>0</v>
          </cell>
          <cell r="H25">
            <v>0</v>
          </cell>
        </row>
        <row r="26">
          <cell r="A26" t="str">
            <v xml:space="preserve"> US Fund Minority Interest in NOI</v>
          </cell>
          <cell r="B26">
            <v>-79958.63850442179</v>
          </cell>
          <cell r="C26">
            <v>-73150</v>
          </cell>
          <cell r="D26">
            <v>6808.6385044217895</v>
          </cell>
          <cell r="E26">
            <v>1.7163192600004512E-2</v>
          </cell>
          <cell r="G26">
            <v>0</v>
          </cell>
          <cell r="H26">
            <v>-76450</v>
          </cell>
        </row>
        <row r="27">
          <cell r="A27" t="str">
            <v xml:space="preserve">  Total NOI from Commercial Properties</v>
          </cell>
          <cell r="B27">
            <v>260494.86774353409</v>
          </cell>
          <cell r="C27">
            <v>256850</v>
          </cell>
          <cell r="D27">
            <v>-3644.8677435340942</v>
          </cell>
          <cell r="E27">
            <v>-9.1879701122613913E-3</v>
          </cell>
          <cell r="G27">
            <v>313000</v>
          </cell>
          <cell r="H27">
            <v>255550</v>
          </cell>
        </row>
        <row r="29">
          <cell r="A29" t="str">
            <v>Development and Residential Operations</v>
          </cell>
        </row>
        <row r="30">
          <cell r="A30" t="str">
            <v xml:space="preserve">  Revenue</v>
          </cell>
          <cell r="B30">
            <v>238969.125</v>
          </cell>
          <cell r="C30">
            <v>271000</v>
          </cell>
          <cell r="D30">
            <v>32030.875</v>
          </cell>
          <cell r="E30">
            <v>8.0743319889084952E-2</v>
          </cell>
          <cell r="G30">
            <v>158000</v>
          </cell>
          <cell r="H30">
            <v>140000</v>
          </cell>
        </row>
        <row r="31">
          <cell r="A31" t="str">
            <v xml:space="preserve">  Operating Expenses</v>
          </cell>
          <cell r="B31">
            <v>143381.47500000001</v>
          </cell>
          <cell r="C31">
            <v>191000</v>
          </cell>
          <cell r="D31">
            <v>-47618.524999999994</v>
          </cell>
          <cell r="E31">
            <v>-0.12003661457020418</v>
          </cell>
          <cell r="G31">
            <v>107000</v>
          </cell>
          <cell r="H31">
            <v>97000</v>
          </cell>
        </row>
        <row r="32">
          <cell r="A32" t="str">
            <v xml:space="preserve">  Operating income</v>
          </cell>
          <cell r="B32">
            <v>95587.65</v>
          </cell>
          <cell r="C32">
            <v>80000</v>
          </cell>
          <cell r="D32">
            <v>-15587.649999999994</v>
          </cell>
          <cell r="E32">
            <v>-3.9293294681119216E-2</v>
          </cell>
          <cell r="G32">
            <v>51000</v>
          </cell>
          <cell r="H32">
            <v>43000</v>
          </cell>
        </row>
        <row r="33">
          <cell r="A33" t="str">
            <v xml:space="preserve">     Operating Margin</v>
          </cell>
          <cell r="B33">
            <v>0.4</v>
          </cell>
          <cell r="C33">
            <v>0.29520295202952029</v>
          </cell>
          <cell r="G33">
            <v>0.32278481012658228</v>
          </cell>
          <cell r="H33">
            <v>0.30714285714285716</v>
          </cell>
        </row>
        <row r="35">
          <cell r="A35" t="str">
            <v>Net Operating Income</v>
          </cell>
          <cell r="B35">
            <v>356082.51774353406</v>
          </cell>
          <cell r="C35">
            <v>336850</v>
          </cell>
          <cell r="D35">
            <v>-19232.517743534059</v>
          </cell>
          <cell r="E35">
            <v>-4.8481264793380538E-2</v>
          </cell>
          <cell r="G35">
            <v>364000</v>
          </cell>
          <cell r="H35">
            <v>298550</v>
          </cell>
        </row>
        <row r="36">
          <cell r="A36" t="str">
            <v xml:space="preserve">  Administrative and development</v>
          </cell>
          <cell r="B36">
            <v>26425.881509907831</v>
          </cell>
          <cell r="C36">
            <v>27000</v>
          </cell>
          <cell r="D36">
            <v>-574.11849009216894</v>
          </cell>
          <cell r="E36">
            <v>-1.447235921583486E-3</v>
          </cell>
          <cell r="G36">
            <v>23000</v>
          </cell>
          <cell r="H36">
            <v>23000</v>
          </cell>
        </row>
        <row r="38">
          <cell r="A38" t="str">
            <v>EBITDA</v>
          </cell>
          <cell r="B38">
            <v>329656.63623362622</v>
          </cell>
          <cell r="C38">
            <v>309850</v>
          </cell>
          <cell r="D38">
            <v>-19806.636233626225</v>
          </cell>
          <cell r="E38">
            <v>-4.9928500714964012E-2</v>
          </cell>
          <cell r="G38">
            <v>341000</v>
          </cell>
          <cell r="H38">
            <v>275550</v>
          </cell>
        </row>
        <row r="40">
          <cell r="A40" t="str">
            <v xml:space="preserve">  Interest and other income</v>
          </cell>
          <cell r="B40">
            <v>13356.076831654282</v>
          </cell>
          <cell r="C40">
            <v>12000</v>
          </cell>
          <cell r="D40">
            <v>-1356.0768316542817</v>
          </cell>
          <cell r="E40">
            <v>-3.4183938282185068E-3</v>
          </cell>
          <cell r="G40">
            <v>14000</v>
          </cell>
          <cell r="H40">
            <v>13000</v>
          </cell>
        </row>
        <row r="41">
          <cell r="A41" t="str">
            <v xml:space="preserve">  US Fund Min Int Share of Interest and Other Income</v>
          </cell>
          <cell r="B41">
            <v>1650</v>
          </cell>
          <cell r="C41">
            <v>3300</v>
          </cell>
          <cell r="D41">
            <v>1650</v>
          </cell>
          <cell r="E41">
            <v>4.1593143433324934E-3</v>
          </cell>
        </row>
        <row r="42">
          <cell r="A42" t="str">
            <v xml:space="preserve">  Interest expense</v>
          </cell>
          <cell r="B42">
            <v>190987.99921391468</v>
          </cell>
          <cell r="C42">
            <v>189000</v>
          </cell>
          <cell r="D42">
            <v>1987.999213914678</v>
          </cell>
          <cell r="E42">
            <v>5.0113416030115399E-3</v>
          </cell>
          <cell r="G42">
            <v>207000</v>
          </cell>
          <cell r="H42">
            <v>192000</v>
          </cell>
        </row>
        <row r="43">
          <cell r="A43" t="str">
            <v xml:space="preserve">  US Fund Min Int Share of Interest Expense</v>
          </cell>
          <cell r="B43">
            <v>-53900</v>
          </cell>
          <cell r="C43">
            <v>-51700.000000000007</v>
          </cell>
          <cell r="D43">
            <v>-2199.9999999999927</v>
          </cell>
          <cell r="E43">
            <v>-5.5457524577766388E-3</v>
          </cell>
        </row>
        <row r="44">
          <cell r="A44" t="str">
            <v xml:space="preserve">  Minority shareholders' interests</v>
          </cell>
          <cell r="B44">
            <v>7204.5021293583022</v>
          </cell>
          <cell r="C44">
            <v>9000</v>
          </cell>
          <cell r="D44">
            <v>-1795.4978706416978</v>
          </cell>
          <cell r="E44">
            <v>-4.526084876838159E-3</v>
          </cell>
          <cell r="G44">
            <v>4000</v>
          </cell>
          <cell r="H44">
            <v>6000</v>
          </cell>
        </row>
        <row r="46">
          <cell r="A46" t="str">
            <v>Cashflow from operations</v>
          </cell>
          <cell r="B46">
            <v>200370.21172200755</v>
          </cell>
          <cell r="C46">
            <v>178850</v>
          </cell>
          <cell r="D46">
            <v>-21520.211722007545</v>
          </cell>
          <cell r="E46">
            <v>-5.4248075931453352E-2</v>
          </cell>
          <cell r="G46">
            <v>144000</v>
          </cell>
          <cell r="H46">
            <v>146100</v>
          </cell>
        </row>
        <row r="48">
          <cell r="A48" t="str">
            <v xml:space="preserve">  Depreciation and amortization</v>
          </cell>
          <cell r="B48">
            <v>135587.53307091695</v>
          </cell>
          <cell r="C48">
            <v>138000</v>
          </cell>
          <cell r="D48">
            <v>-2412.4669290830498</v>
          </cell>
          <cell r="E48">
            <v>-6.0813383642123768E-3</v>
          </cell>
          <cell r="G48">
            <v>136000</v>
          </cell>
          <cell r="H48">
            <v>136000</v>
          </cell>
        </row>
        <row r="49">
          <cell r="A49" t="str">
            <v xml:space="preserve">  Unrealized foreign exchange on preferred share restatement</v>
          </cell>
          <cell r="B49">
            <v>0</v>
          </cell>
          <cell r="C49">
            <v>0</v>
          </cell>
          <cell r="D49">
            <v>0</v>
          </cell>
          <cell r="E49">
            <v>0</v>
          </cell>
          <cell r="G49">
            <v>0</v>
          </cell>
          <cell r="H49">
            <v>0</v>
          </cell>
        </row>
        <row r="50">
          <cell r="A50" t="str">
            <v xml:space="preserve">  Gains from Discontinued Operations</v>
          </cell>
          <cell r="B50">
            <v>0</v>
          </cell>
          <cell r="C50">
            <v>28000</v>
          </cell>
          <cell r="D50">
            <v>28000</v>
          </cell>
          <cell r="E50">
            <v>7.0582304008066546E-2</v>
          </cell>
          <cell r="G50">
            <v>0</v>
          </cell>
          <cell r="H50">
            <v>7000</v>
          </cell>
        </row>
        <row r="51">
          <cell r="A51" t="str">
            <v xml:space="preserve">  Discontinued Operations</v>
          </cell>
          <cell r="B51">
            <v>0</v>
          </cell>
          <cell r="C51">
            <v>2000</v>
          </cell>
          <cell r="D51">
            <v>2000</v>
          </cell>
          <cell r="E51">
            <v>5.0415931434333247E-3</v>
          </cell>
          <cell r="G51">
            <v>1000</v>
          </cell>
          <cell r="H51">
            <v>2000</v>
          </cell>
        </row>
        <row r="52">
          <cell r="A52" t="str">
            <v>Income before Tax</v>
          </cell>
          <cell r="B52">
            <v>64782.678651090595</v>
          </cell>
          <cell r="C52">
            <v>70850</v>
          </cell>
          <cell r="D52">
            <v>6067.3213489094051</v>
          </cell>
          <cell r="E52">
            <v>1.5294482855834145E-2</v>
          </cell>
          <cell r="G52">
            <v>9000</v>
          </cell>
          <cell r="H52">
            <v>17100</v>
          </cell>
        </row>
        <row r="53">
          <cell r="A53" t="str">
            <v xml:space="preserve">  Transaction Costs</v>
          </cell>
          <cell r="B53">
            <v>0</v>
          </cell>
          <cell r="C53">
            <v>-2000</v>
          </cell>
          <cell r="D53">
            <v>2000</v>
          </cell>
          <cell r="E53">
            <v>5.0415931434333247E-3</v>
          </cell>
          <cell r="G53">
            <v>-15000</v>
          </cell>
          <cell r="H53">
            <v>-35000</v>
          </cell>
        </row>
        <row r="54">
          <cell r="A54" t="str">
            <v xml:space="preserve">  Fund Interest in Transaction Costs</v>
          </cell>
          <cell r="B54">
            <v>0</v>
          </cell>
          <cell r="C54">
            <v>0</v>
          </cell>
          <cell r="D54">
            <v>0</v>
          </cell>
          <cell r="E54">
            <v>0</v>
          </cell>
          <cell r="G54">
            <v>9000</v>
          </cell>
          <cell r="H54">
            <v>0</v>
          </cell>
        </row>
        <row r="55">
          <cell r="A55" t="str">
            <v xml:space="preserve">  U.S. Fund Non-controlling Interest Expense</v>
          </cell>
          <cell r="B55">
            <v>0</v>
          </cell>
          <cell r="C55">
            <v>0</v>
          </cell>
          <cell r="D55">
            <v>0</v>
          </cell>
          <cell r="E55">
            <v>0</v>
          </cell>
          <cell r="G55">
            <v>-21000</v>
          </cell>
          <cell r="H55">
            <v>0</v>
          </cell>
        </row>
        <row r="56">
          <cell r="A56" t="str">
            <v xml:space="preserve">  Net Fees Paid to Brookfield</v>
          </cell>
          <cell r="B56">
            <v>0</v>
          </cell>
          <cell r="C56">
            <v>0</v>
          </cell>
          <cell r="D56">
            <v>0</v>
          </cell>
          <cell r="E56">
            <v>0</v>
          </cell>
          <cell r="G56">
            <v>0</v>
          </cell>
          <cell r="H56">
            <v>0</v>
          </cell>
        </row>
        <row r="57">
          <cell r="A57" t="str">
            <v xml:space="preserve">  U.S. Fund Non-controlling interests in Depreciation</v>
          </cell>
          <cell r="B57">
            <v>45000</v>
          </cell>
          <cell r="C57">
            <v>45000</v>
          </cell>
          <cell r="D57">
            <v>0</v>
          </cell>
          <cell r="E57">
            <v>0</v>
          </cell>
          <cell r="G57">
            <v>45000</v>
          </cell>
          <cell r="H57">
            <v>45000</v>
          </cell>
        </row>
        <row r="58">
          <cell r="A58" t="str">
            <v xml:space="preserve">  Non-cash taxes and other provisions</v>
          </cell>
          <cell r="B58">
            <v>16195.669662772649</v>
          </cell>
          <cell r="C58">
            <v>9000</v>
          </cell>
          <cell r="D58">
            <v>7195.6696627726487</v>
          </cell>
          <cell r="E58">
            <v>1.8138819417122885E-2</v>
          </cell>
          <cell r="G58">
            <v>6000</v>
          </cell>
          <cell r="H58">
            <v>22000</v>
          </cell>
        </row>
        <row r="59">
          <cell r="A59" t="str">
            <v>Net income</v>
          </cell>
          <cell r="B59">
            <v>93587.008988317946</v>
          </cell>
          <cell r="C59">
            <v>104850</v>
          </cell>
          <cell r="D59">
            <v>11262.991011682054</v>
          </cell>
          <cell r="E59">
            <v>2.8391709129523705E-2</v>
          </cell>
          <cell r="G59">
            <v>21000</v>
          </cell>
          <cell r="H59">
            <v>5100</v>
          </cell>
        </row>
        <row r="61">
          <cell r="A61" t="str">
            <v>Preferred dividends</v>
          </cell>
          <cell r="B61">
            <v>0</v>
          </cell>
          <cell r="C61">
            <v>0</v>
          </cell>
          <cell r="D61">
            <v>0</v>
          </cell>
          <cell r="E61">
            <v>0</v>
          </cell>
          <cell r="G61">
            <v>1000</v>
          </cell>
          <cell r="H61">
            <v>2000</v>
          </cell>
        </row>
        <row r="62">
          <cell r="A62" t="str">
            <v xml:space="preserve">Net Income Avail for Common </v>
          </cell>
          <cell r="B62">
            <v>93587.008988317946</v>
          </cell>
          <cell r="C62">
            <v>104850</v>
          </cell>
          <cell r="D62">
            <v>11262.991011682054</v>
          </cell>
          <cell r="E62">
            <v>2.8391709129523705E-2</v>
          </cell>
          <cell r="G62">
            <v>20000</v>
          </cell>
          <cell r="H62">
            <v>3100</v>
          </cell>
        </row>
        <row r="64">
          <cell r="A64" t="str">
            <v>FFO Calculation</v>
          </cell>
          <cell r="G64">
            <v>0</v>
          </cell>
          <cell r="H64">
            <v>0</v>
          </cell>
        </row>
        <row r="65">
          <cell r="A65" t="str">
            <v>Depreciation and amortization</v>
          </cell>
          <cell r="B65">
            <v>135587.53307091695</v>
          </cell>
          <cell r="C65">
            <v>138000</v>
          </cell>
          <cell r="D65">
            <v>2412.4669290830498</v>
          </cell>
          <cell r="E65">
            <v>6.0813383642123768E-3</v>
          </cell>
          <cell r="G65">
            <v>137000</v>
          </cell>
          <cell r="H65">
            <v>136000</v>
          </cell>
        </row>
        <row r="66">
          <cell r="A66" t="str">
            <v>Non-cash taxes and other provisions</v>
          </cell>
          <cell r="B66">
            <v>16195.669662772649</v>
          </cell>
          <cell r="C66">
            <v>9000</v>
          </cell>
          <cell r="D66">
            <v>-7195.6696627726487</v>
          </cell>
          <cell r="E66">
            <v>-1.8138819417122885E-2</v>
          </cell>
          <cell r="G66">
            <v>6000</v>
          </cell>
          <cell r="H66">
            <v>22000</v>
          </cell>
        </row>
        <row r="67">
          <cell r="A67" t="str">
            <v>Unrealized foreign exchange on preferred share restatement</v>
          </cell>
          <cell r="B67">
            <v>0</v>
          </cell>
          <cell r="C67">
            <v>0</v>
          </cell>
          <cell r="D67">
            <v>0</v>
          </cell>
          <cell r="E67">
            <v>0</v>
          </cell>
          <cell r="G67">
            <v>0</v>
          </cell>
          <cell r="H67">
            <v>0</v>
          </cell>
        </row>
        <row r="68">
          <cell r="A68" t="str">
            <v>Straight-Line Rents</v>
          </cell>
          <cell r="B68">
            <v>0</v>
          </cell>
          <cell r="C68">
            <v>0</v>
          </cell>
          <cell r="D68">
            <v>0</v>
          </cell>
          <cell r="E68">
            <v>0</v>
          </cell>
          <cell r="G68">
            <v>0</v>
          </cell>
          <cell r="H68">
            <v>0</v>
          </cell>
        </row>
        <row r="69">
          <cell r="A69" t="str">
            <v>Income from discontinued operations</v>
          </cell>
          <cell r="B69">
            <v>0</v>
          </cell>
          <cell r="C69">
            <v>0</v>
          </cell>
          <cell r="D69">
            <v>0</v>
          </cell>
          <cell r="E69">
            <v>0</v>
          </cell>
          <cell r="G69">
            <v>0</v>
          </cell>
          <cell r="H69">
            <v>0</v>
          </cell>
        </row>
        <row r="70">
          <cell r="A70" t="str">
            <v>Other adjustments</v>
          </cell>
          <cell r="B70">
            <v>0</v>
          </cell>
          <cell r="C70">
            <v>8000</v>
          </cell>
          <cell r="D70">
            <v>8000</v>
          </cell>
          <cell r="E70">
            <v>2.0166372573733299E-2</v>
          </cell>
          <cell r="G70">
            <v>6000</v>
          </cell>
          <cell r="H70">
            <v>33000</v>
          </cell>
        </row>
        <row r="71">
          <cell r="A71" t="str">
            <v>Fund Interests</v>
          </cell>
          <cell r="B71">
            <v>-45000</v>
          </cell>
          <cell r="C71">
            <v>-45000</v>
          </cell>
          <cell r="D71">
            <v>0</v>
          </cell>
          <cell r="E71">
            <v>0</v>
          </cell>
          <cell r="G71">
            <v>-45000</v>
          </cell>
          <cell r="H71">
            <v>-45000</v>
          </cell>
        </row>
        <row r="72">
          <cell r="A72" t="str">
            <v>FFO including lease term. &amp; other gains</v>
          </cell>
          <cell r="B72">
            <v>200370.21172200755</v>
          </cell>
          <cell r="C72">
            <v>214850</v>
          </cell>
          <cell r="D72">
            <v>14479.788277992455</v>
          </cell>
          <cell r="E72">
            <v>3.6500600650346493E-2</v>
          </cell>
          <cell r="G72">
            <v>124000</v>
          </cell>
          <cell r="H72">
            <v>149100</v>
          </cell>
        </row>
        <row r="73">
          <cell r="A73" t="str">
            <v>Minority interest in lease term fees and gains</v>
          </cell>
          <cell r="B73">
            <v>0</v>
          </cell>
          <cell r="C73">
            <v>0</v>
          </cell>
          <cell r="D73">
            <v>0</v>
          </cell>
          <cell r="E73">
            <v>0</v>
          </cell>
          <cell r="G73">
            <v>0</v>
          </cell>
          <cell r="H73">
            <v>0</v>
          </cell>
        </row>
        <row r="74">
          <cell r="A74" t="str">
            <v>Gains from Dispositions</v>
          </cell>
          <cell r="B74">
            <v>0</v>
          </cell>
          <cell r="C74">
            <v>-28000</v>
          </cell>
          <cell r="D74">
            <v>-28000</v>
          </cell>
          <cell r="E74">
            <v>-7.0582304008066546E-2</v>
          </cell>
        </row>
        <row r="75">
          <cell r="A75" t="str">
            <v>Other adjustments</v>
          </cell>
          <cell r="B75">
            <v>0</v>
          </cell>
          <cell r="C75">
            <v>0</v>
          </cell>
          <cell r="D75">
            <v>0</v>
          </cell>
          <cell r="E75">
            <v>0</v>
          </cell>
          <cell r="G75">
            <v>0</v>
          </cell>
          <cell r="H75">
            <v>0</v>
          </cell>
        </row>
        <row r="76">
          <cell r="A76" t="str">
            <v>FFO ex. lease term. and other gains</v>
          </cell>
          <cell r="B76">
            <v>200370.21172200755</v>
          </cell>
          <cell r="C76">
            <v>186850</v>
          </cell>
          <cell r="D76">
            <v>-13520.211722007545</v>
          </cell>
          <cell r="E76">
            <v>-3.4081703357720053E-2</v>
          </cell>
          <cell r="G76">
            <v>124000</v>
          </cell>
          <cell r="H76">
            <v>144100</v>
          </cell>
        </row>
        <row r="78">
          <cell r="A78" t="str">
            <v>FFO per share - excl.  lease term. &amp; other gains</v>
          </cell>
          <cell r="B78">
            <v>0.50328065420868706</v>
          </cell>
          <cell r="C78">
            <v>0.4710108394252584</v>
          </cell>
          <cell r="D78">
            <v>-3.2269814783428663E-2</v>
          </cell>
          <cell r="G78">
            <v>0.34287294345361535</v>
          </cell>
          <cell r="H78">
            <v>0.3614246300476549</v>
          </cell>
        </row>
        <row r="80">
          <cell r="A80" t="str">
            <v>Straight-Line Rent</v>
          </cell>
          <cell r="B80">
            <v>10950.38994859898</v>
          </cell>
          <cell r="C80">
            <v>9000</v>
          </cell>
          <cell r="D80">
            <v>1950.3899485989805</v>
          </cell>
          <cell r="E80">
            <v>4.9165362959389478E-3</v>
          </cell>
          <cell r="G80">
            <v>8000</v>
          </cell>
          <cell r="H80">
            <v>11000</v>
          </cell>
        </row>
        <row r="81">
          <cell r="A81" t="str">
            <v>Leasing Commissions</v>
          </cell>
          <cell r="B81">
            <v>10000</v>
          </cell>
          <cell r="C81">
            <v>15000</v>
          </cell>
          <cell r="D81">
            <v>-5000</v>
          </cell>
          <cell r="E81">
            <v>-1.2603982858583312E-2</v>
          </cell>
          <cell r="G81">
            <v>7000</v>
          </cell>
          <cell r="H81">
            <v>10000</v>
          </cell>
        </row>
        <row r="82">
          <cell r="A82" t="str">
            <v xml:space="preserve">Tenant Improvements </v>
          </cell>
          <cell r="B82">
            <v>8630.8540517435995</v>
          </cell>
          <cell r="C82">
            <v>32000</v>
          </cell>
          <cell r="D82">
            <v>-23369.145948256402</v>
          </cell>
          <cell r="E82">
            <v>-5.8908862990311076E-2</v>
          </cell>
          <cell r="G82">
            <v>21000</v>
          </cell>
          <cell r="H82">
            <v>11000</v>
          </cell>
        </row>
        <row r="83">
          <cell r="A83" t="str">
            <v>Capital expenditures</v>
          </cell>
          <cell r="B83">
            <v>19520.419984725489</v>
          </cell>
          <cell r="C83">
            <v>24000</v>
          </cell>
          <cell r="D83">
            <v>-4479.5800152745105</v>
          </cell>
          <cell r="E83">
            <v>-1.129210994523446E-2</v>
          </cell>
          <cell r="G83">
            <v>11000</v>
          </cell>
          <cell r="H83">
            <v>19000</v>
          </cell>
        </row>
        <row r="84">
          <cell r="A84" t="str">
            <v>Adjusted cashflow from operations</v>
          </cell>
          <cell r="B84">
            <v>151268.54773693948</v>
          </cell>
          <cell r="C84">
            <v>106850</v>
          </cell>
          <cell r="D84">
            <v>-44418.547736939479</v>
          </cell>
          <cell r="E84">
            <v>-0.11197012285590996</v>
          </cell>
          <cell r="G84">
            <v>77000</v>
          </cell>
          <cell r="H84">
            <v>93100</v>
          </cell>
        </row>
        <row r="87">
          <cell r="A87" t="str">
            <v>FFO per share - incl.  lease term. &amp; other gains</v>
          </cell>
          <cell r="B87">
            <v>0.50328065420868706</v>
          </cell>
          <cell r="C87">
            <v>0.54159314343332499</v>
          </cell>
          <cell r="E87">
            <v>3.8312489224637925E-2</v>
          </cell>
          <cell r="G87">
            <v>0.34287294345361535</v>
          </cell>
          <cell r="H87">
            <v>0.37396538750940556</v>
          </cell>
        </row>
        <row r="88">
          <cell r="A88" t="str">
            <v>Net income per share - fully diluted</v>
          </cell>
          <cell r="B88">
            <v>0.23506753176675751</v>
          </cell>
          <cell r="C88">
            <v>0.26430552054449208</v>
          </cell>
          <cell r="E88">
            <v>2.9237988777734564E-2</v>
          </cell>
          <cell r="G88">
            <v>5.8067192036499377E-2</v>
          </cell>
          <cell r="H88">
            <v>1.2791572610985704E-2</v>
          </cell>
        </row>
        <row r="89">
          <cell r="A89" t="str">
            <v>Adjusted FFO per share -  fully diluted</v>
          </cell>
          <cell r="B89">
            <v>0.3799493597973933</v>
          </cell>
          <cell r="C89">
            <v>0.26934711368792541</v>
          </cell>
          <cell r="E89">
            <v>-0.11060224610946789</v>
          </cell>
          <cell r="G89">
            <v>0.21291303746716439</v>
          </cell>
          <cell r="H89">
            <v>0.23350890393779783</v>
          </cell>
        </row>
        <row r="91">
          <cell r="A91" t="str">
            <v>Dividend per share</v>
          </cell>
          <cell r="B91">
            <v>0.12666666666666665</v>
          </cell>
          <cell r="C91">
            <v>0.12666666666666665</v>
          </cell>
          <cell r="G91">
            <v>0.12666666666666665</v>
          </cell>
          <cell r="H91">
            <v>0.12666666666666665</v>
          </cell>
        </row>
        <row r="92">
          <cell r="A92" t="str">
            <v>Net Income Payout</v>
          </cell>
          <cell r="B92">
            <v>0.53885224264978404</v>
          </cell>
          <cell r="C92">
            <v>0.47924336353520891</v>
          </cell>
          <cell r="G92">
            <v>2.1813809523809522</v>
          </cell>
          <cell r="H92">
            <v>9.9023529411764688</v>
          </cell>
        </row>
        <row r="93">
          <cell r="A93" t="str">
            <v>FFO payout</v>
          </cell>
          <cell r="B93">
            <v>0.25168197030308237</v>
          </cell>
          <cell r="C93">
            <v>0.26892516278654888</v>
          </cell>
          <cell r="G93">
            <v>0.36942741935483869</v>
          </cell>
          <cell r="H93">
            <v>0.35046495489243573</v>
          </cell>
        </row>
        <row r="94">
          <cell r="A94" t="str">
            <v>AFFO payout</v>
          </cell>
          <cell r="B94">
            <v>0.33337776048421613</v>
          </cell>
          <cell r="C94">
            <v>0.47027296833567295</v>
          </cell>
          <cell r="G94">
            <v>0.59492207792207785</v>
          </cell>
          <cell r="H94">
            <v>0.54244897959183669</v>
          </cell>
        </row>
        <row r="96">
          <cell r="A96" t="str">
            <v>Common Shares and Covertible Securities</v>
          </cell>
          <cell r="B96">
            <v>0</v>
          </cell>
          <cell r="C96">
            <v>0</v>
          </cell>
          <cell r="G96">
            <v>0</v>
          </cell>
          <cell r="H96">
            <v>0</v>
          </cell>
        </row>
        <row r="97">
          <cell r="A97" t="str">
            <v xml:space="preserve">Ending Basic Common Shares </v>
          </cell>
          <cell r="B97">
            <v>394191.25</v>
          </cell>
          <cell r="C97">
            <v>392805.60800000001</v>
          </cell>
          <cell r="G97">
            <v>396868.5</v>
          </cell>
          <cell r="H97">
            <v>394191.25</v>
          </cell>
        </row>
        <row r="98">
          <cell r="A98" t="str">
            <v>Unexcercised options</v>
          </cell>
          <cell r="B98">
            <v>8306.8559999999998</v>
          </cell>
          <cell r="C98">
            <v>8256.9940000000006</v>
          </cell>
          <cell r="G98">
            <v>7179</v>
          </cell>
          <cell r="H98">
            <v>8306.8559999999998</v>
          </cell>
        </row>
        <row r="99">
          <cell r="A99" t="str">
            <v>Ending common shares - fully diluted</v>
          </cell>
          <cell r="B99">
            <v>402498.10600000003</v>
          </cell>
          <cell r="C99">
            <v>401062.60200000001</v>
          </cell>
          <cell r="G99">
            <v>404047.5</v>
          </cell>
          <cell r="H99">
            <v>402498.10600000003</v>
          </cell>
        </row>
        <row r="100">
          <cell r="A100" t="str">
            <v>Weighted Average Basic Shares Outstanding</v>
          </cell>
          <cell r="B100">
            <v>394191.25</v>
          </cell>
          <cell r="C100">
            <v>393800</v>
          </cell>
          <cell r="G100">
            <v>353100</v>
          </cell>
          <cell r="H100">
            <v>395600</v>
          </cell>
        </row>
        <row r="101">
          <cell r="A101" t="str">
            <v xml:space="preserve">Weighted Average Diluted Shares Outstanding </v>
          </cell>
          <cell r="B101">
            <v>398128.18165453133</v>
          </cell>
          <cell r="C101">
            <v>396700</v>
          </cell>
          <cell r="G101">
            <v>361650</v>
          </cell>
          <cell r="H101">
            <v>398700</v>
          </cell>
        </row>
        <row r="103">
          <cell r="A103" t="str">
            <v>A = Actual, E = Morgan Stanley Research Estimates</v>
          </cell>
        </row>
      </sheetData>
      <sheetData sheetId="4" refreshError="1"/>
      <sheetData sheetId="5" refreshError="1">
        <row r="1">
          <cell r="A1" t="str">
            <v>Brookfield Properties</v>
          </cell>
          <cell r="CH1" t="str">
            <v>ElementName</v>
          </cell>
          <cell r="CI1" t="str">
            <v>ScaleOverride</v>
          </cell>
          <cell r="CJ1" t="str">
            <v>UnitOverride</v>
          </cell>
          <cell r="CK1" t="str">
            <v>ReverseSign</v>
          </cell>
          <cell r="CL1" t="str">
            <v>IsDrivingAssumption</v>
          </cell>
          <cell r="CM1" t="str">
            <v>SegmentID</v>
          </cell>
        </row>
        <row r="2">
          <cell r="A2" t="str">
            <v>Quarterly Income Statement</v>
          </cell>
        </row>
        <row r="3">
          <cell r="A3" t="str">
            <v>(Dollars in Thousands, Except Per Share)</v>
          </cell>
        </row>
        <row r="5">
          <cell r="N5" t="str">
            <v>1999-Q1</v>
          </cell>
          <cell r="O5" t="str">
            <v>1999-Q2</v>
          </cell>
          <cell r="P5" t="str">
            <v>1999-Q3</v>
          </cell>
          <cell r="Q5" t="str">
            <v>1999-Q4</v>
          </cell>
          <cell r="R5" t="str">
            <v>1999-FY</v>
          </cell>
          <cell r="S5" t="str">
            <v>2000-Q1</v>
          </cell>
          <cell r="T5" t="str">
            <v>2000-Q2</v>
          </cell>
          <cell r="U5" t="str">
            <v>2000-Q3</v>
          </cell>
          <cell r="V5" t="str">
            <v>2000-Q4</v>
          </cell>
          <cell r="W5" t="str">
            <v>2000-FY</v>
          </cell>
          <cell r="X5" t="str">
            <v>2001-Q1</v>
          </cell>
          <cell r="Y5" t="str">
            <v>2001-Q2</v>
          </cell>
          <cell r="Z5" t="str">
            <v>2001-Q3</v>
          </cell>
          <cell r="AA5" t="str">
            <v>2001-Q4</v>
          </cell>
          <cell r="AB5" t="str">
            <v>2001-FY</v>
          </cell>
          <cell r="AC5" t="str">
            <v>2002-Q1</v>
          </cell>
          <cell r="AD5" t="str">
            <v>2002-Q2</v>
          </cell>
          <cell r="AE5" t="str">
            <v>2002-Q3</v>
          </cell>
          <cell r="AF5" t="str">
            <v>2002-Q4</v>
          </cell>
          <cell r="AG5" t="str">
            <v>2002-FY</v>
          </cell>
          <cell r="AH5" t="str">
            <v>2003-Q1</v>
          </cell>
          <cell r="AI5" t="str">
            <v>2003-Q2</v>
          </cell>
          <cell r="AJ5" t="str">
            <v>2003-Q3</v>
          </cell>
          <cell r="AK5" t="str">
            <v>2003-Q4</v>
          </cell>
          <cell r="AL5" t="str">
            <v>2003-FY</v>
          </cell>
          <cell r="AM5" t="str">
            <v>2004-Q1</v>
          </cell>
          <cell r="AN5" t="str">
            <v>2004-Q2</v>
          </cell>
          <cell r="AO5" t="str">
            <v>2004-Q3</v>
          </cell>
          <cell r="AP5" t="str">
            <v>2004-Q4</v>
          </cell>
          <cell r="AQ5" t="str">
            <v>2004-FY</v>
          </cell>
          <cell r="AR5" t="str">
            <v>2005-Q1</v>
          </cell>
          <cell r="AS5" t="str">
            <v>2005-Q2</v>
          </cell>
          <cell r="AT5" t="str">
            <v>2005-Q3</v>
          </cell>
          <cell r="AU5" t="str">
            <v>2005-Q4</v>
          </cell>
          <cell r="AV5" t="str">
            <v>2005-FY</v>
          </cell>
          <cell r="AW5" t="str">
            <v>2006-Q1</v>
          </cell>
          <cell r="AX5" t="str">
            <v>2006-Q2</v>
          </cell>
          <cell r="AY5" t="str">
            <v>2006-Q3</v>
          </cell>
          <cell r="AZ5" t="str">
            <v>2006-Q4</v>
          </cell>
          <cell r="BA5" t="str">
            <v>2006-FY</v>
          </cell>
          <cell r="BB5" t="str">
            <v>2007-Q1</v>
          </cell>
          <cell r="BC5" t="str">
            <v>2007-Q2</v>
          </cell>
          <cell r="BD5" t="str">
            <v>2007-Q3</v>
          </cell>
          <cell r="BE5" t="str">
            <v>2007-Q4</v>
          </cell>
          <cell r="BF5" t="str">
            <v>2007-FY</v>
          </cell>
          <cell r="BG5" t="str">
            <v>2008-Q1</v>
          </cell>
          <cell r="BH5" t="str">
            <v>2008-Q2</v>
          </cell>
          <cell r="BI5" t="str">
            <v>2008-Q3</v>
          </cell>
          <cell r="BJ5" t="str">
            <v>2008-Q4</v>
          </cell>
          <cell r="BK5" t="str">
            <v>2008-FY</v>
          </cell>
          <cell r="BL5" t="str">
            <v>2009-Q1</v>
          </cell>
          <cell r="BM5" t="str">
            <v>2009-Q2</v>
          </cell>
          <cell r="BN5" t="str">
            <v>2009-Q3</v>
          </cell>
          <cell r="BO5" t="str">
            <v>2009-Q4</v>
          </cell>
          <cell r="BP5" t="str">
            <v>2009-FY</v>
          </cell>
          <cell r="BQ5" t="str">
            <v>2010-Q1</v>
          </cell>
          <cell r="BR5" t="str">
            <v>2010-Q2</v>
          </cell>
          <cell r="BS5" t="str">
            <v>2010-Q3</v>
          </cell>
          <cell r="BT5" t="str">
            <v>2010-Q4</v>
          </cell>
          <cell r="BU5" t="str">
            <v>2010-FY</v>
          </cell>
          <cell r="BV5" t="str">
            <v>2011-Q1</v>
          </cell>
          <cell r="BW5" t="str">
            <v>2011-Q2</v>
          </cell>
          <cell r="BX5" t="str">
            <v>2011-Q3</v>
          </cell>
          <cell r="BY5" t="str">
            <v>2011-Q4</v>
          </cell>
          <cell r="BZ5" t="str">
            <v>2011-FY</v>
          </cell>
          <cell r="CA5" t="str">
            <v>2012-Q1</v>
          </cell>
          <cell r="CB5" t="str">
            <v>2012-Q2</v>
          </cell>
          <cell r="CC5" t="str">
            <v>2012-Q3</v>
          </cell>
          <cell r="CD5" t="str">
            <v>2012-Q4</v>
          </cell>
          <cell r="CE5" t="str">
            <v>2012-FY</v>
          </cell>
        </row>
        <row r="6">
          <cell r="N6" t="str">
            <v>1999A</v>
          </cell>
          <cell r="S6" t="str">
            <v>2000A</v>
          </cell>
          <cell r="X6" t="str">
            <v>2001A</v>
          </cell>
          <cell r="AC6" t="str">
            <v>2002A</v>
          </cell>
          <cell r="AH6" t="str">
            <v>2003A</v>
          </cell>
          <cell r="AM6" t="str">
            <v>2004E</v>
          </cell>
          <cell r="AR6" t="str">
            <v>2005A</v>
          </cell>
          <cell r="AW6" t="str">
            <v>2006A</v>
          </cell>
          <cell r="BB6" t="str">
            <v>2007A</v>
          </cell>
          <cell r="BG6" t="str">
            <v>2008E</v>
          </cell>
          <cell r="BL6" t="str">
            <v>2009E</v>
          </cell>
          <cell r="BQ6" t="str">
            <v>2010E</v>
          </cell>
          <cell r="BV6" t="str">
            <v>2011E</v>
          </cell>
          <cell r="CA6" t="str">
            <v>2012E</v>
          </cell>
        </row>
        <row r="7">
          <cell r="A7" t="str">
            <v>Year Ends December 31</v>
          </cell>
          <cell r="N7" t="str">
            <v>1QA</v>
          </cell>
          <cell r="O7" t="str">
            <v>2QA</v>
          </cell>
          <cell r="P7" t="str">
            <v>3QA</v>
          </cell>
          <cell r="Q7" t="str">
            <v>4QA</v>
          </cell>
          <cell r="R7" t="str">
            <v>1999A</v>
          </cell>
          <cell r="S7" t="str">
            <v>1QA</v>
          </cell>
          <cell r="T7" t="str">
            <v>2QA</v>
          </cell>
          <cell r="U7" t="str">
            <v>3QA</v>
          </cell>
          <cell r="V7" t="str">
            <v>4QA</v>
          </cell>
          <cell r="W7" t="str">
            <v xml:space="preserve">2000A </v>
          </cell>
          <cell r="X7" t="str">
            <v>1QA</v>
          </cell>
          <cell r="Y7" t="str">
            <v>2QA</v>
          </cell>
          <cell r="Z7" t="str">
            <v>3QA</v>
          </cell>
          <cell r="AA7" t="str">
            <v>4QA</v>
          </cell>
          <cell r="AB7" t="str">
            <v>2001A</v>
          </cell>
          <cell r="AC7" t="str">
            <v>1QA</v>
          </cell>
          <cell r="AD7" t="str">
            <v>2QA</v>
          </cell>
          <cell r="AE7" t="str">
            <v>3QA</v>
          </cell>
          <cell r="AF7" t="str">
            <v xml:space="preserve">4QA </v>
          </cell>
          <cell r="AG7" t="str">
            <v>2002A</v>
          </cell>
          <cell r="AH7" t="str">
            <v>1QA</v>
          </cell>
          <cell r="AI7" t="str">
            <v>2QA</v>
          </cell>
          <cell r="AJ7" t="str">
            <v>3QA</v>
          </cell>
          <cell r="AK7" t="str">
            <v xml:space="preserve">4QA </v>
          </cell>
          <cell r="AL7" t="str">
            <v>2003A</v>
          </cell>
          <cell r="AM7" t="str">
            <v>1QA</v>
          </cell>
          <cell r="AN7" t="str">
            <v>2QA</v>
          </cell>
          <cell r="AO7" t="str">
            <v>3QA</v>
          </cell>
          <cell r="AP7" t="str">
            <v xml:space="preserve">4QA </v>
          </cell>
          <cell r="AQ7" t="str">
            <v>2004E</v>
          </cell>
          <cell r="AR7" t="str">
            <v>1QA</v>
          </cell>
          <cell r="AS7" t="str">
            <v>2QA</v>
          </cell>
          <cell r="AT7" t="str">
            <v>3QA</v>
          </cell>
          <cell r="AU7" t="str">
            <v>4QA</v>
          </cell>
          <cell r="AV7" t="str">
            <v>2005A</v>
          </cell>
          <cell r="AW7" t="str">
            <v>1QA</v>
          </cell>
          <cell r="AX7" t="str">
            <v>2QA</v>
          </cell>
          <cell r="AY7" t="str">
            <v>3QA</v>
          </cell>
          <cell r="AZ7" t="str">
            <v>4QA</v>
          </cell>
          <cell r="BA7" t="str">
            <v>2006A</v>
          </cell>
          <cell r="BB7" t="str">
            <v>1QA</v>
          </cell>
          <cell r="BC7" t="str">
            <v>2QA</v>
          </cell>
          <cell r="BD7" t="str">
            <v>3QA</v>
          </cell>
          <cell r="BE7" t="str">
            <v xml:space="preserve">4QA </v>
          </cell>
          <cell r="BF7" t="str">
            <v>2007A</v>
          </cell>
          <cell r="BG7" t="str">
            <v>1QE</v>
          </cell>
          <cell r="BH7" t="str">
            <v>2QE</v>
          </cell>
          <cell r="BI7" t="str">
            <v>3QE</v>
          </cell>
          <cell r="BJ7" t="str">
            <v xml:space="preserve">4QE </v>
          </cell>
          <cell r="BK7" t="str">
            <v>2008E</v>
          </cell>
          <cell r="BL7" t="str">
            <v>1QE</v>
          </cell>
          <cell r="BM7" t="str">
            <v>2QE</v>
          </cell>
          <cell r="BN7" t="str">
            <v>3QE</v>
          </cell>
          <cell r="BO7" t="str">
            <v xml:space="preserve">4QE </v>
          </cell>
          <cell r="BP7" t="str">
            <v>2009E</v>
          </cell>
          <cell r="BQ7" t="str">
            <v>1QE</v>
          </cell>
          <cell r="BR7" t="str">
            <v>3QE</v>
          </cell>
          <cell r="BS7" t="str">
            <v>3QE</v>
          </cell>
          <cell r="BT7" t="str">
            <v xml:space="preserve">4QE </v>
          </cell>
          <cell r="BU7" t="str">
            <v>2010E</v>
          </cell>
          <cell r="BV7" t="str">
            <v>1QE</v>
          </cell>
          <cell r="BW7" t="str">
            <v>2QE</v>
          </cell>
          <cell r="BX7" t="str">
            <v>3QE</v>
          </cell>
          <cell r="BY7" t="str">
            <v xml:space="preserve">4QE </v>
          </cell>
          <cell r="BZ7" t="str">
            <v>2011E</v>
          </cell>
          <cell r="CA7" t="str">
            <v>1QE</v>
          </cell>
          <cell r="CB7" t="str">
            <v>2QE</v>
          </cell>
          <cell r="CC7" t="str">
            <v>3QE</v>
          </cell>
          <cell r="CD7" t="str">
            <v xml:space="preserve">4QE </v>
          </cell>
          <cell r="CE7" t="str">
            <v>2012E</v>
          </cell>
        </row>
        <row r="9">
          <cell r="A9" t="str">
            <v>Commercial Property Operations</v>
          </cell>
        </row>
        <row r="10">
          <cell r="A10" t="str">
            <v xml:space="preserve">  Revenue</v>
          </cell>
          <cell r="N10">
            <v>224000</v>
          </cell>
          <cell r="O10">
            <v>227000</v>
          </cell>
          <cell r="P10">
            <v>237000</v>
          </cell>
          <cell r="Q10">
            <v>222000</v>
          </cell>
          <cell r="R10">
            <v>930000</v>
          </cell>
          <cell r="S10">
            <v>235000</v>
          </cell>
          <cell r="T10">
            <v>241000</v>
          </cell>
          <cell r="U10">
            <v>256000</v>
          </cell>
          <cell r="V10">
            <v>257000</v>
          </cell>
          <cell r="W10">
            <v>989000</v>
          </cell>
          <cell r="X10">
            <v>264000</v>
          </cell>
          <cell r="Y10">
            <v>253000</v>
          </cell>
          <cell r="Z10">
            <v>252000</v>
          </cell>
          <cell r="AA10">
            <v>238000</v>
          </cell>
          <cell r="AB10">
            <v>1007000</v>
          </cell>
          <cell r="AC10">
            <v>238000</v>
          </cell>
          <cell r="AD10">
            <v>238000</v>
          </cell>
          <cell r="AE10">
            <v>234000</v>
          </cell>
          <cell r="AF10">
            <v>228000</v>
          </cell>
          <cell r="AG10">
            <v>938000</v>
          </cell>
          <cell r="AH10">
            <v>241000</v>
          </cell>
          <cell r="AI10">
            <v>242000</v>
          </cell>
          <cell r="AJ10">
            <v>254000</v>
          </cell>
          <cell r="AK10">
            <v>239000</v>
          </cell>
          <cell r="AL10">
            <v>976000</v>
          </cell>
          <cell r="AM10">
            <v>271000</v>
          </cell>
          <cell r="AN10">
            <v>251000</v>
          </cell>
          <cell r="AO10">
            <v>273000</v>
          </cell>
          <cell r="AP10">
            <v>279000</v>
          </cell>
          <cell r="AQ10">
            <v>1074000</v>
          </cell>
          <cell r="AR10">
            <v>269000</v>
          </cell>
          <cell r="AS10">
            <v>271000</v>
          </cell>
          <cell r="AT10">
            <v>273000</v>
          </cell>
          <cell r="AU10">
            <v>270000</v>
          </cell>
          <cell r="AV10">
            <v>1083000</v>
          </cell>
          <cell r="AW10">
            <v>286000</v>
          </cell>
          <cell r="AX10">
            <v>296000</v>
          </cell>
          <cell r="AY10">
            <v>304000</v>
          </cell>
          <cell r="AZ10">
            <v>496000</v>
          </cell>
          <cell r="BA10">
            <v>1382000</v>
          </cell>
          <cell r="BB10">
            <v>513000</v>
          </cell>
          <cell r="BC10">
            <v>524000</v>
          </cell>
          <cell r="BD10">
            <v>542000</v>
          </cell>
          <cell r="BE10">
            <v>554000</v>
          </cell>
          <cell r="BF10">
            <v>2133000</v>
          </cell>
          <cell r="BG10">
            <v>555979.28694968543</v>
          </cell>
          <cell r="BH10">
            <v>557960.55318632058</v>
          </cell>
          <cell r="BI10">
            <v>559943.80068919237</v>
          </cell>
          <cell r="BJ10">
            <v>561929.0314395671</v>
          </cell>
          <cell r="BK10">
            <v>2235812.6722647655</v>
          </cell>
          <cell r="BL10">
            <v>563463.5309898745</v>
          </cell>
          <cell r="BM10">
            <v>564999.56503973226</v>
          </cell>
          <cell r="BN10">
            <v>566537.13512363983</v>
          </cell>
          <cell r="BO10">
            <v>568076.24277763139</v>
          </cell>
          <cell r="BP10">
            <v>2263076.4739308776</v>
          </cell>
          <cell r="BQ10">
            <v>569351.91095259576</v>
          </cell>
          <cell r="BR10">
            <v>570627.99826272286</v>
          </cell>
          <cell r="BS10">
            <v>571916.25586499122</v>
          </cell>
          <cell r="BT10">
            <v>573231.49882855697</v>
          </cell>
          <cell r="BU10">
            <v>2285127.6639088667</v>
          </cell>
          <cell r="BV10">
            <v>574351.60022834688</v>
          </cell>
          <cell r="BW10">
            <v>575472.15636605036</v>
          </cell>
          <cell r="BX10">
            <v>576602.29640240152</v>
          </cell>
          <cell r="BY10">
            <v>577753.53508052579</v>
          </cell>
          <cell r="BZ10">
            <v>2304179.5880773244</v>
          </cell>
          <cell r="CA10">
            <v>578266.11992606928</v>
          </cell>
          <cell r="CB10">
            <v>578779.29705290927</v>
          </cell>
          <cell r="CC10">
            <v>579291.97355338081</v>
          </cell>
          <cell r="CD10">
            <v>579802.77011171205</v>
          </cell>
          <cell r="CE10">
            <v>2316140.1606440716</v>
          </cell>
          <cell r="CH10" t="str">
            <v>mstag:grossRents</v>
          </cell>
          <cell r="CI10">
            <v>3</v>
          </cell>
          <cell r="CJ10" t="str">
            <v>ISO4217:USD</v>
          </cell>
          <cell r="CK10" t="b">
            <v>0</v>
          </cell>
          <cell r="CL10" t="b">
            <v>0</v>
          </cell>
        </row>
        <row r="11">
          <cell r="A11" t="str">
            <v>Recurring Fee Income</v>
          </cell>
          <cell r="AW11">
            <v>6000</v>
          </cell>
          <cell r="AX11">
            <v>7000</v>
          </cell>
          <cell r="AY11">
            <v>7000</v>
          </cell>
          <cell r="AZ11">
            <v>12000</v>
          </cell>
          <cell r="BA11">
            <v>32000</v>
          </cell>
          <cell r="BB11">
            <v>8000</v>
          </cell>
          <cell r="BC11">
            <v>10000</v>
          </cell>
          <cell r="BD11">
            <v>10000</v>
          </cell>
          <cell r="BE11">
            <v>12000</v>
          </cell>
          <cell r="BF11">
            <v>40000</v>
          </cell>
          <cell r="BG11">
            <v>12340.970873786409</v>
          </cell>
          <cell r="BH11">
            <v>12432.82770989323</v>
          </cell>
          <cell r="BI11">
            <v>12361.156971716893</v>
          </cell>
          <cell r="BJ11">
            <v>12359.688774729995</v>
          </cell>
          <cell r="BK11">
            <v>49494.644330126524</v>
          </cell>
          <cell r="BL11">
            <v>12287.800472923342</v>
          </cell>
          <cell r="BM11">
            <v>12283.995202548398</v>
          </cell>
          <cell r="BN11">
            <v>12280.562446637776</v>
          </cell>
          <cell r="BO11">
            <v>12241.259536342826</v>
          </cell>
          <cell r="BP11">
            <v>49093.617658452342</v>
          </cell>
          <cell r="BQ11">
            <v>12254.476564068145</v>
          </cell>
          <cell r="BR11">
            <v>12360.820830482799</v>
          </cell>
          <cell r="BS11">
            <v>12466.88004176665</v>
          </cell>
          <cell r="BT11">
            <v>12572.206298892715</v>
          </cell>
          <cell r="BU11">
            <v>49654.383735210307</v>
          </cell>
          <cell r="BV11">
            <v>12676.306835927189</v>
          </cell>
          <cell r="BW11">
            <v>13002.7919033546</v>
          </cell>
          <cell r="BX11">
            <v>12950.322453780362</v>
          </cell>
          <cell r="BY11">
            <v>12898.051837749574</v>
          </cell>
          <cell r="BZ11">
            <v>51527.473030811729</v>
          </cell>
          <cell r="CA11">
            <v>12845.473927130506</v>
          </cell>
          <cell r="CB11">
            <v>12794.619280581905</v>
          </cell>
          <cell r="CC11">
            <v>12744.377544594203</v>
          </cell>
          <cell r="CD11">
            <v>12694.285491346918</v>
          </cell>
          <cell r="CE11">
            <v>51078.75624365353</v>
          </cell>
          <cell r="CH11" t="str">
            <v>mstag:thirdPartyPropertyManagementIncome</v>
          </cell>
          <cell r="CI11">
            <v>3</v>
          </cell>
          <cell r="CJ11" t="str">
            <v>ISO4217:USD</v>
          </cell>
          <cell r="CK11" t="b">
            <v>0</v>
          </cell>
          <cell r="CL11" t="b">
            <v>0</v>
          </cell>
        </row>
        <row r="12">
          <cell r="A12" t="str">
            <v>Special Fee Income</v>
          </cell>
          <cell r="AR12">
            <v>0</v>
          </cell>
          <cell r="AS12">
            <v>0</v>
          </cell>
          <cell r="AT12">
            <v>0</v>
          </cell>
          <cell r="AU12">
            <v>35000</v>
          </cell>
          <cell r="AV12">
            <v>35000</v>
          </cell>
          <cell r="AX12">
            <v>2000</v>
          </cell>
          <cell r="AY12">
            <v>3000</v>
          </cell>
          <cell r="AZ12">
            <v>0</v>
          </cell>
          <cell r="BA12">
            <v>5000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H12" t="str">
            <v>mstag:thirdPartyPropertyManagementIncome</v>
          </cell>
          <cell r="CI12">
            <v>3</v>
          </cell>
          <cell r="CJ12" t="str">
            <v>ISO4217:USD</v>
          </cell>
          <cell r="CK12" t="b">
            <v>0</v>
          </cell>
          <cell r="CL12" t="b">
            <v>0</v>
          </cell>
        </row>
        <row r="13">
          <cell r="A13" t="str">
            <v xml:space="preserve">  Operating Expenses</v>
          </cell>
          <cell r="N13">
            <v>93000</v>
          </cell>
          <cell r="O13">
            <v>91000</v>
          </cell>
          <cell r="P13">
            <v>96000</v>
          </cell>
          <cell r="Q13">
            <v>81000</v>
          </cell>
          <cell r="R13">
            <v>361000</v>
          </cell>
          <cell r="S13">
            <v>94000</v>
          </cell>
          <cell r="T13">
            <v>94000</v>
          </cell>
          <cell r="U13">
            <v>105000</v>
          </cell>
          <cell r="V13">
            <v>104000</v>
          </cell>
          <cell r="W13">
            <v>397000</v>
          </cell>
          <cell r="X13">
            <v>105000</v>
          </cell>
          <cell r="Y13">
            <v>98000</v>
          </cell>
          <cell r="Z13">
            <v>98000</v>
          </cell>
          <cell r="AA13">
            <v>89000</v>
          </cell>
          <cell r="AB13">
            <v>390000</v>
          </cell>
          <cell r="AC13">
            <v>88000</v>
          </cell>
          <cell r="AD13">
            <v>86000</v>
          </cell>
          <cell r="AE13">
            <v>88000</v>
          </cell>
          <cell r="AF13">
            <v>76000</v>
          </cell>
          <cell r="AG13">
            <v>338000</v>
          </cell>
          <cell r="AH13">
            <v>91000</v>
          </cell>
          <cell r="AI13">
            <v>90000</v>
          </cell>
          <cell r="AJ13">
            <v>103000</v>
          </cell>
          <cell r="AK13">
            <v>95000</v>
          </cell>
          <cell r="AL13">
            <v>379000</v>
          </cell>
          <cell r="AM13">
            <v>92000</v>
          </cell>
          <cell r="AN13">
            <v>85000</v>
          </cell>
          <cell r="AO13">
            <v>105000</v>
          </cell>
          <cell r="AP13">
            <v>109000</v>
          </cell>
          <cell r="AQ13">
            <v>391000</v>
          </cell>
          <cell r="AR13">
            <v>100000</v>
          </cell>
          <cell r="AS13">
            <v>106000</v>
          </cell>
          <cell r="AT13">
            <v>110000</v>
          </cell>
          <cell r="AU13">
            <v>113000</v>
          </cell>
          <cell r="AV13">
            <v>429000</v>
          </cell>
          <cell r="AW13">
            <v>120000</v>
          </cell>
          <cell r="AX13">
            <v>126000</v>
          </cell>
          <cell r="AY13">
            <v>132000</v>
          </cell>
          <cell r="AZ13">
            <v>195000</v>
          </cell>
          <cell r="BA13">
            <v>573000</v>
          </cell>
          <cell r="BB13">
            <v>204000</v>
          </cell>
          <cell r="BC13">
            <v>208000</v>
          </cell>
          <cell r="BD13">
            <v>220000</v>
          </cell>
          <cell r="BE13">
            <v>236000</v>
          </cell>
          <cell r="BF13">
            <v>868000</v>
          </cell>
          <cell r="BG13">
            <v>226650.97130562906</v>
          </cell>
          <cell r="BH13">
            <v>227060.13046078436</v>
          </cell>
          <cell r="BI13">
            <v>232882.89954125049</v>
          </cell>
          <cell r="BJ13">
            <v>244997.00045832674</v>
          </cell>
          <cell r="BK13">
            <v>931591.00176599075</v>
          </cell>
          <cell r="BL13">
            <v>229702.00435850379</v>
          </cell>
          <cell r="BM13">
            <v>229924.63215471854</v>
          </cell>
          <cell r="BN13">
            <v>235625.09409514928</v>
          </cell>
          <cell r="BO13">
            <v>247677.14021752539</v>
          </cell>
          <cell r="BP13">
            <v>942928.87082589709</v>
          </cell>
          <cell r="BQ13">
            <v>233810.52188786041</v>
          </cell>
          <cell r="BR13">
            <v>233926.98771529013</v>
          </cell>
          <cell r="BS13">
            <v>239578.04101314172</v>
          </cell>
          <cell r="BT13">
            <v>251644.48913014928</v>
          </cell>
          <cell r="BU13">
            <v>958960.03974644153</v>
          </cell>
          <cell r="BV13">
            <v>237586.75317983827</v>
          </cell>
          <cell r="BW13">
            <v>237639.25015860962</v>
          </cell>
          <cell r="BX13">
            <v>243270.84930429887</v>
          </cell>
          <cell r="BY13">
            <v>255362.89099992393</v>
          </cell>
          <cell r="BZ13">
            <v>973859.74364267068</v>
          </cell>
          <cell r="CA13">
            <v>240940.83496264624</v>
          </cell>
          <cell r="CB13">
            <v>240741.26043599981</v>
          </cell>
          <cell r="CC13">
            <v>246143.5109324659</v>
          </cell>
          <cell r="CD13">
            <v>258008.04639812259</v>
          </cell>
          <cell r="CE13">
            <v>985833.65272923454</v>
          </cell>
          <cell r="CH13" t="str">
            <v>mstag:propertyOperatingExpenses</v>
          </cell>
          <cell r="CI13">
            <v>3</v>
          </cell>
          <cell r="CJ13" t="str">
            <v>ISO4217:USD</v>
          </cell>
          <cell r="CK13" t="b">
            <v>0</v>
          </cell>
          <cell r="CL13" t="b">
            <v>0</v>
          </cell>
        </row>
        <row r="14">
          <cell r="A14" t="str">
            <v xml:space="preserve">  Operating income</v>
          </cell>
          <cell r="N14">
            <v>131000</v>
          </cell>
          <cell r="O14">
            <v>136000</v>
          </cell>
          <cell r="P14">
            <v>141000</v>
          </cell>
          <cell r="Q14">
            <v>141000</v>
          </cell>
          <cell r="R14">
            <v>569000</v>
          </cell>
          <cell r="S14">
            <v>141000</v>
          </cell>
          <cell r="T14">
            <v>147000</v>
          </cell>
          <cell r="U14">
            <v>151000</v>
          </cell>
          <cell r="V14">
            <v>153000</v>
          </cell>
          <cell r="W14">
            <v>592000</v>
          </cell>
          <cell r="X14">
            <v>159000</v>
          </cell>
          <cell r="Y14">
            <v>155000</v>
          </cell>
          <cell r="Z14">
            <v>154000</v>
          </cell>
          <cell r="AA14">
            <v>149000</v>
          </cell>
          <cell r="AB14">
            <v>617000</v>
          </cell>
          <cell r="AC14">
            <v>150000</v>
          </cell>
          <cell r="AD14">
            <v>152000</v>
          </cell>
          <cell r="AE14">
            <v>146000</v>
          </cell>
          <cell r="AF14">
            <v>152000</v>
          </cell>
          <cell r="AG14">
            <v>600000</v>
          </cell>
          <cell r="AH14">
            <v>150000</v>
          </cell>
          <cell r="AI14">
            <v>152000</v>
          </cell>
          <cell r="AJ14">
            <v>151000</v>
          </cell>
          <cell r="AK14">
            <v>144000</v>
          </cell>
          <cell r="AL14">
            <v>597000</v>
          </cell>
          <cell r="AM14">
            <v>179000</v>
          </cell>
          <cell r="AN14">
            <v>166000</v>
          </cell>
          <cell r="AO14">
            <v>168000</v>
          </cell>
          <cell r="AP14">
            <v>170000</v>
          </cell>
          <cell r="AQ14">
            <v>683000</v>
          </cell>
          <cell r="AR14">
            <v>169000</v>
          </cell>
          <cell r="AS14">
            <v>165000</v>
          </cell>
          <cell r="AT14">
            <v>163000</v>
          </cell>
          <cell r="AU14">
            <v>192000</v>
          </cell>
          <cell r="AV14">
            <v>689000</v>
          </cell>
          <cell r="AW14">
            <v>172000</v>
          </cell>
          <cell r="AX14">
            <v>179000</v>
          </cell>
          <cell r="AY14">
            <v>182000</v>
          </cell>
          <cell r="AZ14">
            <v>313000</v>
          </cell>
          <cell r="BA14">
            <v>846000</v>
          </cell>
          <cell r="BB14">
            <v>317000</v>
          </cell>
          <cell r="BC14">
            <v>326000</v>
          </cell>
          <cell r="BD14">
            <v>332000</v>
          </cell>
          <cell r="BE14">
            <v>330000</v>
          </cell>
          <cell r="BF14">
            <v>1305000</v>
          </cell>
          <cell r="BG14">
            <v>341669.28651784279</v>
          </cell>
          <cell r="BH14">
            <v>343333.25043542945</v>
          </cell>
          <cell r="BI14">
            <v>339422.05811965879</v>
          </cell>
          <cell r="BJ14">
            <v>329291.71975597035</v>
          </cell>
          <cell r="BK14">
            <v>1353716.3148289013</v>
          </cell>
          <cell r="BL14">
            <v>346049.32710429403</v>
          </cell>
          <cell r="BM14">
            <v>347358.92808756215</v>
          </cell>
          <cell r="BN14">
            <v>343192.6034751283</v>
          </cell>
          <cell r="BO14">
            <v>332640.36209644878</v>
          </cell>
          <cell r="BP14">
            <v>1369241.220763433</v>
          </cell>
          <cell r="BQ14">
            <v>347795.86562880356</v>
          </cell>
          <cell r="BR14">
            <v>349061.83137791551</v>
          </cell>
          <cell r="BS14">
            <v>344805.09489361616</v>
          </cell>
          <cell r="BT14">
            <v>334159.21599730046</v>
          </cell>
          <cell r="BU14">
            <v>1375822.0078976357</v>
          </cell>
          <cell r="BV14">
            <v>349441.15388443577</v>
          </cell>
          <cell r="BW14">
            <v>350835.69811079535</v>
          </cell>
          <cell r="BX14">
            <v>346281.76955188299</v>
          </cell>
          <cell r="BY14">
            <v>335288.69591835141</v>
          </cell>
          <cell r="BZ14">
            <v>1381847.3174654655</v>
          </cell>
          <cell r="CA14">
            <v>350170.75889055355</v>
          </cell>
          <cell r="CB14">
            <v>350832.65589749132</v>
          </cell>
          <cell r="CC14">
            <v>345892.84016550914</v>
          </cell>
          <cell r="CD14">
            <v>334489.00920493639</v>
          </cell>
          <cell r="CE14">
            <v>1381385.2641584906</v>
          </cell>
        </row>
        <row r="15">
          <cell r="A15" t="str">
            <v xml:space="preserve">  Operating income/revenues</v>
          </cell>
          <cell r="N15">
            <v>0.5848214285714286</v>
          </cell>
          <cell r="O15">
            <v>0.59911894273127753</v>
          </cell>
          <cell r="P15">
            <v>0.59493670886075944</v>
          </cell>
          <cell r="Q15">
            <v>0.63513513513513509</v>
          </cell>
          <cell r="R15">
            <v>0.6118279569892473</v>
          </cell>
          <cell r="S15">
            <v>0.6</v>
          </cell>
          <cell r="T15">
            <v>0.60995850622406644</v>
          </cell>
          <cell r="U15">
            <v>0.58984375</v>
          </cell>
          <cell r="V15">
            <v>0.59533073929961089</v>
          </cell>
          <cell r="W15">
            <v>0.59858442871587458</v>
          </cell>
          <cell r="X15">
            <v>0.60227272727272729</v>
          </cell>
          <cell r="Y15">
            <v>0.61264822134387353</v>
          </cell>
          <cell r="Z15">
            <v>0.61111111111111116</v>
          </cell>
          <cell r="AA15">
            <v>0.62605042016806722</v>
          </cell>
          <cell r="AB15">
            <v>0.61271102284011913</v>
          </cell>
          <cell r="AC15">
            <v>0.63025210084033612</v>
          </cell>
          <cell r="AD15">
            <v>0.6386554621848739</v>
          </cell>
          <cell r="AE15">
            <v>0.62393162393162394</v>
          </cell>
          <cell r="AF15">
            <v>0.66666666666666663</v>
          </cell>
          <cell r="AG15">
            <v>0.63965884861407252</v>
          </cell>
          <cell r="AH15">
            <v>0.62240663900414939</v>
          </cell>
          <cell r="AI15">
            <v>0.62809917355371903</v>
          </cell>
          <cell r="AJ15">
            <v>0.59448818897637801</v>
          </cell>
          <cell r="AK15">
            <v>0.60251046025104604</v>
          </cell>
          <cell r="AL15">
            <v>0.61168032786885251</v>
          </cell>
          <cell r="AM15">
            <v>0.66051660516605171</v>
          </cell>
          <cell r="AN15">
            <v>0.66135458167330674</v>
          </cell>
          <cell r="AO15">
            <v>0.61538461538461542</v>
          </cell>
          <cell r="AP15">
            <v>0.60931899641577059</v>
          </cell>
          <cell r="AQ15">
            <v>0.63594040968342647</v>
          </cell>
          <cell r="AR15">
            <v>0.62825278810408924</v>
          </cell>
          <cell r="AS15">
            <v>0.60885608856088558</v>
          </cell>
          <cell r="AT15">
            <v>0.59706959706959706</v>
          </cell>
          <cell r="AU15">
            <v>0.71111111111111114</v>
          </cell>
          <cell r="AV15">
            <v>0.63619575253924288</v>
          </cell>
          <cell r="AW15">
            <v>0.60139860139860135</v>
          </cell>
          <cell r="AX15">
            <v>0.60472972972972971</v>
          </cell>
          <cell r="AY15">
            <v>0.59868421052631582</v>
          </cell>
          <cell r="AZ15">
            <v>0.63104838709677424</v>
          </cell>
          <cell r="BA15">
            <v>0.61215629522431259</v>
          </cell>
          <cell r="BB15">
            <v>0.61793372319688111</v>
          </cell>
          <cell r="BC15">
            <v>0.62213740458015265</v>
          </cell>
          <cell r="BD15">
            <v>0.61254612546125464</v>
          </cell>
          <cell r="BE15">
            <v>0.59566787003610111</v>
          </cell>
        </row>
        <row r="16">
          <cell r="A16" t="str">
            <v xml:space="preserve">  Operating income/revenues (excluding fees)</v>
          </cell>
          <cell r="AM16">
            <v>0.66051660516605171</v>
          </cell>
          <cell r="AN16">
            <v>0.66135458167330674</v>
          </cell>
          <cell r="AO16">
            <v>0.61538461538461542</v>
          </cell>
          <cell r="AP16">
            <v>0.60931899641577059</v>
          </cell>
          <cell r="AQ16">
            <v>0.63594040968342647</v>
          </cell>
          <cell r="AR16">
            <v>0.62825278810408924</v>
          </cell>
          <cell r="AS16">
            <v>0.60885608856088558</v>
          </cell>
          <cell r="AT16">
            <v>0.59706959706959706</v>
          </cell>
          <cell r="AU16">
            <v>0.58148148148148149</v>
          </cell>
          <cell r="AV16">
            <v>0.60387811634349031</v>
          </cell>
          <cell r="AW16">
            <v>0.58041958041958042</v>
          </cell>
          <cell r="AX16">
            <v>0.57432432432432434</v>
          </cell>
          <cell r="AY16">
            <v>0.56578947368421051</v>
          </cell>
          <cell r="AZ16">
            <v>0.60685483870967738</v>
          </cell>
          <cell r="BA16">
            <v>0.58538350217076696</v>
          </cell>
          <cell r="BB16">
            <v>0.60233918128654973</v>
          </cell>
          <cell r="BC16">
            <v>0.60305343511450382</v>
          </cell>
          <cell r="BD16">
            <v>0.59409594095940954</v>
          </cell>
          <cell r="BE16">
            <v>0.57400722021660655</v>
          </cell>
          <cell r="BF16">
            <v>0.59306141584622596</v>
          </cell>
          <cell r="BG16">
            <v>0.59233918128654972</v>
          </cell>
          <cell r="BH16">
            <v>0.59305343511450381</v>
          </cell>
          <cell r="BI16">
            <v>0.58409594095940953</v>
          </cell>
          <cell r="BJ16">
            <v>0.56400722021660654</v>
          </cell>
          <cell r="BK16">
            <v>0.583332265121149</v>
          </cell>
          <cell r="BL16">
            <v>0.59233918128654972</v>
          </cell>
          <cell r="BM16">
            <v>0.59305343511450381</v>
          </cell>
          <cell r="BN16">
            <v>0.58409594095940953</v>
          </cell>
          <cell r="BO16">
            <v>0.56400722021660654</v>
          </cell>
          <cell r="BP16">
            <v>0.58334202061317642</v>
          </cell>
          <cell r="BQ16">
            <v>0.58933918128654972</v>
          </cell>
          <cell r="BR16">
            <v>0.59005343511450381</v>
          </cell>
          <cell r="BS16">
            <v>0.58109594095940953</v>
          </cell>
          <cell r="BT16">
            <v>0.56100722021660654</v>
          </cell>
          <cell r="BU16">
            <v>0.58034727998256563</v>
          </cell>
          <cell r="BV16">
            <v>0.58633918128654972</v>
          </cell>
          <cell r="BW16">
            <v>0.58705343511450381</v>
          </cell>
          <cell r="BX16">
            <v>0.57809594095940953</v>
          </cell>
          <cell r="BY16">
            <v>0.55800722021660654</v>
          </cell>
          <cell r="BZ16">
            <v>0.57735076350741921</v>
          </cell>
          <cell r="CA16">
            <v>0.58333918128654971</v>
          </cell>
          <cell r="CB16">
            <v>0.58405343511450381</v>
          </cell>
          <cell r="CC16">
            <v>0.57509594095940952</v>
          </cell>
          <cell r="CD16">
            <v>0.55500722021660653</v>
          </cell>
          <cell r="CE16">
            <v>0.57436355990861354</v>
          </cell>
        </row>
        <row r="17">
          <cell r="AW17">
            <v>0.12690355329949238</v>
          </cell>
        </row>
        <row r="18">
          <cell r="A18" t="str">
            <v xml:space="preserve">  Termination and other gains</v>
          </cell>
          <cell r="N18">
            <v>0</v>
          </cell>
          <cell r="O18">
            <v>0</v>
          </cell>
          <cell r="P18">
            <v>0</v>
          </cell>
          <cell r="Q18">
            <v>20000</v>
          </cell>
          <cell r="R18">
            <v>20000</v>
          </cell>
          <cell r="T18">
            <v>20000</v>
          </cell>
          <cell r="U18">
            <v>0</v>
          </cell>
          <cell r="V18">
            <v>0</v>
          </cell>
          <cell r="W18">
            <v>20000</v>
          </cell>
          <cell r="X18">
            <v>25000</v>
          </cell>
          <cell r="Y18">
            <v>30000</v>
          </cell>
          <cell r="Z18">
            <v>0</v>
          </cell>
          <cell r="AA18">
            <v>0</v>
          </cell>
          <cell r="AB18">
            <v>55000</v>
          </cell>
          <cell r="AC18">
            <v>40000</v>
          </cell>
          <cell r="AD18">
            <v>0</v>
          </cell>
          <cell r="AE18">
            <v>20000</v>
          </cell>
          <cell r="AF18">
            <v>0</v>
          </cell>
          <cell r="AG18">
            <v>60000</v>
          </cell>
          <cell r="AH18">
            <v>0</v>
          </cell>
          <cell r="AI18">
            <v>0</v>
          </cell>
          <cell r="AK18">
            <v>100000</v>
          </cell>
          <cell r="AL18">
            <v>100000</v>
          </cell>
          <cell r="AM18">
            <v>0</v>
          </cell>
          <cell r="AN18">
            <v>60000</v>
          </cell>
          <cell r="AO18">
            <v>0</v>
          </cell>
          <cell r="AP18">
            <v>0</v>
          </cell>
          <cell r="AQ18">
            <v>60000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H18" t="str">
            <v>mstag:propertyIncomeExcludingRentsRecurring</v>
          </cell>
          <cell r="CI18">
            <v>3</v>
          </cell>
          <cell r="CJ18" t="str">
            <v>ISO4217:USD</v>
          </cell>
          <cell r="CK18" t="b">
            <v>0</v>
          </cell>
          <cell r="CL18" t="b">
            <v>0</v>
          </cell>
        </row>
        <row r="19">
          <cell r="A19" t="str">
            <v>Acquisition/Development/Disposition NOI</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2625</v>
          </cell>
          <cell r="BH19">
            <v>5250</v>
          </cell>
          <cell r="BI19">
            <v>6385.7437499999996</v>
          </cell>
          <cell r="BJ19">
            <v>7521.5203124999998</v>
          </cell>
          <cell r="BK19">
            <v>21782.264062499999</v>
          </cell>
          <cell r="BL19">
            <v>8602.8241132812491</v>
          </cell>
          <cell r="BM19">
            <v>10921.674923564453</v>
          </cell>
          <cell r="BN19">
            <v>12433.854110873363</v>
          </cell>
          <cell r="BO19">
            <v>14213.844996150547</v>
          </cell>
          <cell r="BP19">
            <v>46172.198143869609</v>
          </cell>
          <cell r="BQ19">
            <v>18212.007449550016</v>
          </cell>
          <cell r="BR19">
            <v>23745.222127264798</v>
          </cell>
          <cell r="BS19">
            <v>29104.769841673871</v>
          </cell>
          <cell r="BT19">
            <v>34477.716425368955</v>
          </cell>
          <cell r="BU19">
            <v>105539.71584385764</v>
          </cell>
          <cell r="BV19">
            <v>41898.186284614196</v>
          </cell>
          <cell r="BW19">
            <v>47241.213000325733</v>
          </cell>
          <cell r="BX19">
            <v>48108.378532826544</v>
          </cell>
          <cell r="BY19">
            <v>48977.711979158601</v>
          </cell>
          <cell r="BZ19">
            <v>186225.48979692507</v>
          </cell>
          <cell r="CA19">
            <v>49849.218759106501</v>
          </cell>
          <cell r="CB19">
            <v>50910.404306004275</v>
          </cell>
          <cell r="CC19">
            <v>51786.742816769278</v>
          </cell>
          <cell r="CD19">
            <v>52665.272173811201</v>
          </cell>
          <cell r="CE19">
            <v>205211.63805569126</v>
          </cell>
          <cell r="CH19" t="str">
            <v>mstag:cumulativeNoiFromAcquisitionsDevelopmentsAndDispositions</v>
          </cell>
          <cell r="CI19">
            <v>3</v>
          </cell>
          <cell r="CJ19" t="str">
            <v>ISO4217:USD</v>
          </cell>
          <cell r="CK19" t="b">
            <v>0</v>
          </cell>
          <cell r="CL19" t="b">
            <v>0</v>
          </cell>
        </row>
        <row r="20">
          <cell r="A20" t="str">
            <v xml:space="preserve"> US Fund Minority Interest in NOI</v>
          </cell>
          <cell r="BB20">
            <v>-74250</v>
          </cell>
          <cell r="BC20">
            <v>-76450</v>
          </cell>
          <cell r="BD20">
            <v>-76450</v>
          </cell>
          <cell r="BE20">
            <v>-73150</v>
          </cell>
          <cell r="BF20">
            <v>-300300</v>
          </cell>
          <cell r="BG20">
            <v>-75755.868834473978</v>
          </cell>
          <cell r="BH20">
            <v>-76117.502900543943</v>
          </cell>
          <cell r="BI20">
            <v>-75234.292198024996</v>
          </cell>
          <cell r="BJ20">
            <v>-72904.333541753876</v>
          </cell>
          <cell r="BK20">
            <v>-300011.99747479678</v>
          </cell>
          <cell r="BL20">
            <v>-76775.646770706822</v>
          </cell>
          <cell r="BM20">
            <v>-77077.771511128172</v>
          </cell>
          <cell r="BN20">
            <v>-76120.175475578872</v>
          </cell>
          <cell r="BO20">
            <v>-73701.869032301111</v>
          </cell>
          <cell r="BP20">
            <v>-303675.46278971498</v>
          </cell>
          <cell r="BQ20">
            <v>-77185.071100897461</v>
          </cell>
          <cell r="BR20">
            <v>-77451.820508002202</v>
          </cell>
          <cell r="BS20">
            <v>-76448.240303184881</v>
          </cell>
          <cell r="BT20">
            <v>-73975.125029680901</v>
          </cell>
          <cell r="BU20">
            <v>-305060.25694176543</v>
          </cell>
          <cell r="BV20">
            <v>-77466.50491068681</v>
          </cell>
          <cell r="BW20">
            <v>-77712.192104007205</v>
          </cell>
          <cell r="BX20">
            <v>-76676.714953541537</v>
          </cell>
          <cell r="BY20">
            <v>-74159.98620910701</v>
          </cell>
          <cell r="BZ20">
            <v>-306015.39817734261</v>
          </cell>
          <cell r="CA20">
            <v>-77595.423254950932</v>
          </cell>
          <cell r="CB20">
            <v>-77759.378548826804</v>
          </cell>
          <cell r="CC20">
            <v>-76634.622769559515</v>
          </cell>
          <cell r="CD20">
            <v>-74022.905785059978</v>
          </cell>
          <cell r="CE20">
            <v>-306012.33035839722</v>
          </cell>
          <cell r="CH20" t="str">
            <v>mstag:minorityInterestsInNetIncome</v>
          </cell>
          <cell r="CI20">
            <v>3</v>
          </cell>
          <cell r="CJ20" t="str">
            <v>ISO4217:USD</v>
          </cell>
          <cell r="CK20" t="b">
            <v>1</v>
          </cell>
          <cell r="CL20" t="b">
            <v>0</v>
          </cell>
        </row>
        <row r="21">
          <cell r="A21" t="str">
            <v xml:space="preserve">  Pro-rata Share of NOI from Commercial Properties</v>
          </cell>
          <cell r="N21">
            <v>131000</v>
          </cell>
          <cell r="O21">
            <v>136000</v>
          </cell>
          <cell r="P21">
            <v>141000</v>
          </cell>
          <cell r="Q21">
            <v>161000</v>
          </cell>
          <cell r="R21">
            <v>589000</v>
          </cell>
          <cell r="S21">
            <v>141000</v>
          </cell>
          <cell r="T21">
            <v>167000</v>
          </cell>
          <cell r="U21">
            <v>151000</v>
          </cell>
          <cell r="V21">
            <v>153000</v>
          </cell>
          <cell r="W21">
            <v>612000</v>
          </cell>
          <cell r="X21">
            <v>184000</v>
          </cell>
          <cell r="Y21">
            <v>185000</v>
          </cell>
          <cell r="Z21">
            <v>154000</v>
          </cell>
          <cell r="AA21">
            <v>149000</v>
          </cell>
          <cell r="AB21">
            <v>672000</v>
          </cell>
          <cell r="AC21">
            <v>190000</v>
          </cell>
          <cell r="AD21">
            <v>152000</v>
          </cell>
          <cell r="AE21">
            <v>166000</v>
          </cell>
          <cell r="AF21">
            <v>152000</v>
          </cell>
          <cell r="AG21">
            <v>660000</v>
          </cell>
          <cell r="AH21">
            <v>150000</v>
          </cell>
          <cell r="AI21">
            <v>152000</v>
          </cell>
          <cell r="AJ21">
            <v>151000</v>
          </cell>
          <cell r="AK21">
            <v>244000</v>
          </cell>
          <cell r="AL21">
            <v>697000</v>
          </cell>
          <cell r="AM21">
            <v>179000</v>
          </cell>
          <cell r="AN21">
            <v>226000</v>
          </cell>
          <cell r="AO21">
            <v>168000</v>
          </cell>
          <cell r="AP21">
            <v>170000</v>
          </cell>
          <cell r="AQ21">
            <v>743000</v>
          </cell>
          <cell r="AR21">
            <v>169000</v>
          </cell>
          <cell r="AS21">
            <v>165000</v>
          </cell>
          <cell r="AT21">
            <v>163000</v>
          </cell>
          <cell r="AU21">
            <v>192000</v>
          </cell>
          <cell r="AV21">
            <v>689000</v>
          </cell>
          <cell r="AW21">
            <v>172000</v>
          </cell>
          <cell r="AX21">
            <v>179000</v>
          </cell>
          <cell r="AY21">
            <v>182000</v>
          </cell>
          <cell r="AZ21">
            <v>313000</v>
          </cell>
          <cell r="BA21">
            <v>846000</v>
          </cell>
          <cell r="BB21">
            <v>242750</v>
          </cell>
          <cell r="BC21">
            <v>249550</v>
          </cell>
          <cell r="BD21">
            <v>255550</v>
          </cell>
          <cell r="BE21">
            <v>256850</v>
          </cell>
          <cell r="BF21">
            <v>1004700</v>
          </cell>
          <cell r="BG21">
            <v>268538.41768336878</v>
          </cell>
          <cell r="BH21">
            <v>272465.74753488554</v>
          </cell>
          <cell r="BI21">
            <v>270573.50967163383</v>
          </cell>
          <cell r="BJ21">
            <v>263908.90652671648</v>
          </cell>
          <cell r="BK21">
            <v>1075486.5814166046</v>
          </cell>
          <cell r="BL21">
            <v>277876.50444686849</v>
          </cell>
          <cell r="BM21">
            <v>281202.83149999846</v>
          </cell>
          <cell r="BN21">
            <v>279506.28211042279</v>
          </cell>
          <cell r="BO21">
            <v>273152.33806029818</v>
          </cell>
          <cell r="BP21">
            <v>1111737.9561175876</v>
          </cell>
          <cell r="BQ21">
            <v>288822.80197745614</v>
          </cell>
          <cell r="BR21">
            <v>295355.2329971781</v>
          </cell>
          <cell r="BS21">
            <v>297461.62443210516</v>
          </cell>
          <cell r="BT21">
            <v>294661.80739298853</v>
          </cell>
          <cell r="BU21">
            <v>1176301.4667997281</v>
          </cell>
          <cell r="BV21">
            <v>313872.83525836316</v>
          </cell>
          <cell r="BW21">
            <v>320364.71900711383</v>
          </cell>
          <cell r="BX21">
            <v>317713.43313116801</v>
          </cell>
          <cell r="BY21">
            <v>310106.421688403</v>
          </cell>
          <cell r="BZ21">
            <v>1262057.4090850479</v>
          </cell>
          <cell r="CA21">
            <v>322424.55439470918</v>
          </cell>
          <cell r="CB21">
            <v>323983.68165466882</v>
          </cell>
          <cell r="CC21">
            <v>321044.96021271893</v>
          </cell>
          <cell r="CD21">
            <v>313131.37559368764</v>
          </cell>
          <cell r="CE21">
            <v>1280584.5718557846</v>
          </cell>
        </row>
        <row r="22">
          <cell r="BC22">
            <v>11100.000000000007</v>
          </cell>
          <cell r="BD22">
            <v>22100.000000000007</v>
          </cell>
          <cell r="BE22">
            <v>26850.000000000007</v>
          </cell>
        </row>
        <row r="24">
          <cell r="A24" t="str">
            <v>Development and Residential Operations</v>
          </cell>
        </row>
        <row r="25">
          <cell r="A25" t="str">
            <v xml:space="preserve">  Revenue</v>
          </cell>
          <cell r="N25">
            <v>132000</v>
          </cell>
          <cell r="O25">
            <v>179000</v>
          </cell>
          <cell r="P25">
            <v>216000</v>
          </cell>
          <cell r="Q25">
            <v>317000</v>
          </cell>
          <cell r="R25">
            <v>844000</v>
          </cell>
          <cell r="S25">
            <v>146000</v>
          </cell>
          <cell r="T25">
            <v>225000</v>
          </cell>
          <cell r="U25">
            <v>218000</v>
          </cell>
          <cell r="V25">
            <v>91000</v>
          </cell>
          <cell r="W25">
            <v>1047000</v>
          </cell>
          <cell r="X25">
            <v>65000</v>
          </cell>
          <cell r="Y25">
            <v>91000</v>
          </cell>
          <cell r="Z25">
            <v>65000</v>
          </cell>
          <cell r="AA25">
            <v>103000</v>
          </cell>
          <cell r="AB25">
            <v>324000</v>
          </cell>
          <cell r="AC25">
            <v>57000</v>
          </cell>
          <cell r="AD25">
            <v>72000</v>
          </cell>
          <cell r="AE25">
            <v>46000</v>
          </cell>
          <cell r="AF25">
            <v>146000</v>
          </cell>
          <cell r="AG25">
            <v>321000</v>
          </cell>
          <cell r="AH25">
            <v>39000</v>
          </cell>
          <cell r="AI25">
            <v>45000</v>
          </cell>
          <cell r="AJ25">
            <v>50000</v>
          </cell>
          <cell r="AK25">
            <v>91000</v>
          </cell>
          <cell r="AL25">
            <v>225000</v>
          </cell>
          <cell r="AM25">
            <v>41000</v>
          </cell>
          <cell r="AN25">
            <v>59000</v>
          </cell>
          <cell r="AO25">
            <v>61000</v>
          </cell>
          <cell r="AP25">
            <v>100000</v>
          </cell>
          <cell r="AQ25">
            <v>261000</v>
          </cell>
          <cell r="AR25">
            <v>55000</v>
          </cell>
          <cell r="AS25">
            <v>81000</v>
          </cell>
          <cell r="AT25">
            <v>95000</v>
          </cell>
          <cell r="AU25">
            <v>158000</v>
          </cell>
          <cell r="AV25">
            <v>389000</v>
          </cell>
          <cell r="AW25">
            <v>89000</v>
          </cell>
          <cell r="AX25">
            <v>108000</v>
          </cell>
          <cell r="AY25">
            <v>105000</v>
          </cell>
          <cell r="AZ25">
            <v>158000</v>
          </cell>
          <cell r="BA25">
            <v>460000</v>
          </cell>
          <cell r="BB25">
            <v>111000</v>
          </cell>
          <cell r="BC25">
            <v>178000</v>
          </cell>
          <cell r="BD25">
            <v>140000</v>
          </cell>
          <cell r="BE25">
            <v>271000</v>
          </cell>
          <cell r="BF25">
            <v>700000</v>
          </cell>
          <cell r="BG25">
            <v>89043.200000000012</v>
          </cell>
          <cell r="BH25">
            <v>142768</v>
          </cell>
          <cell r="BI25">
            <v>111841.60000000001</v>
          </cell>
          <cell r="BJ25">
            <v>179686.39999999999</v>
          </cell>
          <cell r="BK25">
            <v>523339.20000000007</v>
          </cell>
          <cell r="BL25">
            <v>77216.889599999995</v>
          </cell>
          <cell r="BM25">
            <v>123828.62400000001</v>
          </cell>
          <cell r="BN25">
            <v>96775.099199999997</v>
          </cell>
          <cell r="BO25">
            <v>154794.98879999999</v>
          </cell>
          <cell r="BP25">
            <v>452615.60159999999</v>
          </cell>
          <cell r="BQ25">
            <v>71155.363766399998</v>
          </cell>
          <cell r="BR25">
            <v>114108.07701599998</v>
          </cell>
          <cell r="BS25">
            <v>89178.253912799992</v>
          </cell>
          <cell r="BT25">
            <v>142643.58217919999</v>
          </cell>
          <cell r="BU25">
            <v>417085.27687439998</v>
          </cell>
          <cell r="BV25">
            <v>108890.11951683997</v>
          </cell>
          <cell r="BW25">
            <v>105150.59297024399</v>
          </cell>
          <cell r="BX25">
            <v>82177.760980645195</v>
          </cell>
          <cell r="BY25">
            <v>131446.06097813277</v>
          </cell>
          <cell r="BZ25">
            <v>427664.53444586194</v>
          </cell>
          <cell r="CA25">
            <v>114992.55144487447</v>
          </cell>
          <cell r="CB25">
            <v>113720.36629731889</v>
          </cell>
          <cell r="CC25">
            <v>88875.248500567774</v>
          </cell>
          <cell r="CD25">
            <v>142158.9149478506</v>
          </cell>
          <cell r="CE25">
            <v>459747.0811906117</v>
          </cell>
          <cell r="CH25" t="str">
            <v>mstag:incomeFromSalesOfTradingProperties</v>
          </cell>
          <cell r="CI25">
            <v>3</v>
          </cell>
          <cell r="CJ25" t="str">
            <v>ISO4217:USD</v>
          </cell>
          <cell r="CK25" t="b">
            <v>0</v>
          </cell>
          <cell r="CL25" t="b">
            <v>0</v>
          </cell>
        </row>
        <row r="26">
          <cell r="A26" t="str">
            <v xml:space="preserve">  Operating Expenses</v>
          </cell>
          <cell r="N26">
            <v>120000</v>
          </cell>
          <cell r="O26">
            <v>165000</v>
          </cell>
          <cell r="P26">
            <v>198000</v>
          </cell>
          <cell r="Q26">
            <v>298000</v>
          </cell>
          <cell r="R26">
            <v>781000</v>
          </cell>
          <cell r="S26">
            <v>134000</v>
          </cell>
          <cell r="T26">
            <v>206000</v>
          </cell>
          <cell r="U26">
            <v>195000</v>
          </cell>
          <cell r="V26">
            <v>90000</v>
          </cell>
          <cell r="W26">
            <v>970000</v>
          </cell>
          <cell r="X26">
            <v>59000</v>
          </cell>
          <cell r="Y26">
            <v>85000</v>
          </cell>
          <cell r="Z26">
            <v>58000</v>
          </cell>
          <cell r="AA26">
            <v>102000</v>
          </cell>
          <cell r="AB26">
            <v>304000</v>
          </cell>
          <cell r="AC26">
            <v>51000</v>
          </cell>
          <cell r="AD26">
            <v>65000</v>
          </cell>
          <cell r="AE26">
            <v>39000</v>
          </cell>
          <cell r="AF26">
            <v>144000</v>
          </cell>
          <cell r="AG26">
            <v>299000</v>
          </cell>
          <cell r="AH26">
            <v>32000</v>
          </cell>
          <cell r="AI26">
            <v>38000</v>
          </cell>
          <cell r="AJ26">
            <v>43000</v>
          </cell>
          <cell r="AK26">
            <v>81000</v>
          </cell>
          <cell r="AL26">
            <v>194000</v>
          </cell>
          <cell r="AM26">
            <v>33000</v>
          </cell>
          <cell r="AN26">
            <v>49000</v>
          </cell>
          <cell r="AO26">
            <v>50000</v>
          </cell>
          <cell r="AP26">
            <v>87000</v>
          </cell>
          <cell r="AQ26">
            <v>219000</v>
          </cell>
          <cell r="AR26">
            <v>42000</v>
          </cell>
          <cell r="AS26">
            <v>57000</v>
          </cell>
          <cell r="AT26">
            <v>71000</v>
          </cell>
          <cell r="AU26">
            <v>113000</v>
          </cell>
          <cell r="AV26">
            <v>283000</v>
          </cell>
          <cell r="AW26">
            <v>64000</v>
          </cell>
          <cell r="AX26">
            <v>77000</v>
          </cell>
          <cell r="AY26">
            <v>68000</v>
          </cell>
          <cell r="AZ26">
            <v>107000</v>
          </cell>
          <cell r="BA26">
            <v>316000</v>
          </cell>
          <cell r="BB26">
            <v>69000</v>
          </cell>
          <cell r="BC26">
            <v>106000</v>
          </cell>
          <cell r="BD26">
            <v>97000</v>
          </cell>
          <cell r="BE26">
            <v>191000</v>
          </cell>
          <cell r="BF26">
            <v>463000</v>
          </cell>
          <cell r="BG26">
            <v>62330.240000000005</v>
          </cell>
          <cell r="BH26">
            <v>99937.599999999991</v>
          </cell>
          <cell r="BI26">
            <v>78289.119999999995</v>
          </cell>
          <cell r="BJ26">
            <v>125780.47999999998</v>
          </cell>
          <cell r="BK26">
            <v>366337.43999999994</v>
          </cell>
          <cell r="BL26">
            <v>54051.822719999996</v>
          </cell>
          <cell r="BM26">
            <v>86680.036800000002</v>
          </cell>
          <cell r="BN26">
            <v>67742.569439999992</v>
          </cell>
          <cell r="BO26">
            <v>108356.49215999999</v>
          </cell>
          <cell r="BP26">
            <v>316830.92111999996</v>
          </cell>
          <cell r="BQ26">
            <v>49808.754636479993</v>
          </cell>
          <cell r="BR26">
            <v>79875.653911199988</v>
          </cell>
          <cell r="BS26">
            <v>62424.777738959987</v>
          </cell>
          <cell r="BT26">
            <v>99850.507525439985</v>
          </cell>
          <cell r="BU26">
            <v>291959.69381207996</v>
          </cell>
          <cell r="BV26">
            <v>72956.380076282774</v>
          </cell>
          <cell r="BW26">
            <v>70450.897290063469</v>
          </cell>
          <cell r="BX26">
            <v>55059.099857032277</v>
          </cell>
          <cell r="BY26">
            <v>88068.860855348947</v>
          </cell>
          <cell r="BZ26">
            <v>286535.23807872745</v>
          </cell>
          <cell r="CA26">
            <v>77045.00946806588</v>
          </cell>
          <cell r="CB26">
            <v>76192.645419203647</v>
          </cell>
          <cell r="CC26">
            <v>59546.416495380399</v>
          </cell>
          <cell r="CD26">
            <v>95246.473015059892</v>
          </cell>
          <cell r="CE26">
            <v>308030.54439770983</v>
          </cell>
          <cell r="CH26" t="str">
            <v>mstag:costOfSellingProperties</v>
          </cell>
          <cell r="CI26">
            <v>3</v>
          </cell>
          <cell r="CJ26" t="str">
            <v>ISO4217:USD</v>
          </cell>
          <cell r="CK26" t="b">
            <v>0</v>
          </cell>
          <cell r="CL26" t="b">
            <v>0</v>
          </cell>
        </row>
        <row r="27">
          <cell r="A27" t="str">
            <v xml:space="preserve">  Operating income</v>
          </cell>
          <cell r="N27">
            <v>12000</v>
          </cell>
          <cell r="O27">
            <v>14000</v>
          </cell>
          <cell r="P27">
            <v>18000</v>
          </cell>
          <cell r="Q27">
            <v>19000</v>
          </cell>
          <cell r="R27">
            <v>63000</v>
          </cell>
          <cell r="S27">
            <v>12000</v>
          </cell>
          <cell r="T27">
            <v>19000</v>
          </cell>
          <cell r="U27">
            <v>23000</v>
          </cell>
          <cell r="V27">
            <v>1000</v>
          </cell>
          <cell r="W27">
            <v>55000</v>
          </cell>
          <cell r="X27">
            <v>6000</v>
          </cell>
          <cell r="Y27">
            <v>6000</v>
          </cell>
          <cell r="Z27">
            <v>7000</v>
          </cell>
          <cell r="AA27">
            <v>1000</v>
          </cell>
          <cell r="AB27">
            <v>20000</v>
          </cell>
          <cell r="AC27">
            <v>6000</v>
          </cell>
          <cell r="AD27">
            <v>7000</v>
          </cell>
          <cell r="AE27">
            <v>7000</v>
          </cell>
          <cell r="AF27">
            <v>2000</v>
          </cell>
          <cell r="AG27">
            <v>22000</v>
          </cell>
          <cell r="AH27">
            <v>7000</v>
          </cell>
          <cell r="AI27">
            <v>7000</v>
          </cell>
          <cell r="AJ27">
            <v>7000</v>
          </cell>
          <cell r="AK27">
            <v>10000</v>
          </cell>
          <cell r="AL27">
            <v>31000</v>
          </cell>
          <cell r="AM27">
            <v>8000</v>
          </cell>
          <cell r="AN27">
            <v>10000</v>
          </cell>
          <cell r="AO27">
            <v>11000</v>
          </cell>
          <cell r="AP27">
            <v>13000</v>
          </cell>
          <cell r="AQ27">
            <v>42000</v>
          </cell>
          <cell r="AR27">
            <v>13000</v>
          </cell>
          <cell r="AS27">
            <v>24000</v>
          </cell>
          <cell r="AT27">
            <v>24000</v>
          </cell>
          <cell r="AU27">
            <v>45000</v>
          </cell>
          <cell r="AV27">
            <v>106000</v>
          </cell>
          <cell r="AW27">
            <v>25000</v>
          </cell>
          <cell r="AX27">
            <v>31000</v>
          </cell>
          <cell r="AY27">
            <v>37000</v>
          </cell>
          <cell r="AZ27">
            <v>51000</v>
          </cell>
          <cell r="BA27">
            <v>144000</v>
          </cell>
          <cell r="BB27">
            <v>42000</v>
          </cell>
          <cell r="BC27">
            <v>72000</v>
          </cell>
          <cell r="BD27">
            <v>43000</v>
          </cell>
          <cell r="BE27">
            <v>80000</v>
          </cell>
          <cell r="BF27">
            <v>237000</v>
          </cell>
          <cell r="BG27">
            <v>26712.960000000006</v>
          </cell>
          <cell r="BH27">
            <v>42830.400000000009</v>
          </cell>
          <cell r="BI27">
            <v>33552.48000000001</v>
          </cell>
          <cell r="BJ27">
            <v>53905.920000000013</v>
          </cell>
          <cell r="BK27">
            <v>157001.76000000004</v>
          </cell>
          <cell r="BL27">
            <v>23165.066879999998</v>
          </cell>
          <cell r="BM27">
            <v>37148.587200000009</v>
          </cell>
          <cell r="BN27">
            <v>29032.529760000005</v>
          </cell>
          <cell r="BO27">
            <v>46438.496639999998</v>
          </cell>
          <cell r="BP27">
            <v>135784.68048000001</v>
          </cell>
          <cell r="BQ27">
            <v>21346.609129920005</v>
          </cell>
          <cell r="BR27">
            <v>34232.423104799993</v>
          </cell>
          <cell r="BS27">
            <v>26753.476173840005</v>
          </cell>
          <cell r="BT27">
            <v>42793.074653760006</v>
          </cell>
          <cell r="BU27">
            <v>125125.58306232002</v>
          </cell>
          <cell r="BV27">
            <v>35933.739440557198</v>
          </cell>
          <cell r="BW27">
            <v>34699.695680180521</v>
          </cell>
          <cell r="BX27">
            <v>27118.661123612917</v>
          </cell>
          <cell r="BY27">
            <v>43377.200122783819</v>
          </cell>
          <cell r="BZ27">
            <v>141129.29636713443</v>
          </cell>
          <cell r="CA27">
            <v>37947.541976808585</v>
          </cell>
          <cell r="CB27">
            <v>37527.720878115244</v>
          </cell>
          <cell r="CC27">
            <v>29328.832005187374</v>
          </cell>
          <cell r="CD27">
            <v>46912.441932790709</v>
          </cell>
          <cell r="CE27">
            <v>151716.53679290193</v>
          </cell>
        </row>
        <row r="28">
          <cell r="A28" t="str">
            <v xml:space="preserve">  Operating income/revenues</v>
          </cell>
          <cell r="N28">
            <v>9.0909090909090912E-2</v>
          </cell>
          <cell r="O28">
            <v>7.8212290502793297E-2</v>
          </cell>
          <cell r="P28">
            <v>8.3333333333333329E-2</v>
          </cell>
          <cell r="Q28">
            <v>5.993690851735016E-2</v>
          </cell>
          <cell r="R28">
            <v>7.4644549763033169E-2</v>
          </cell>
          <cell r="S28">
            <v>8.2191780821917804E-2</v>
          </cell>
          <cell r="T28">
            <v>8.4444444444444447E-2</v>
          </cell>
          <cell r="U28">
            <v>0.10550458715596331</v>
          </cell>
          <cell r="V28">
            <v>1.098901098901099E-2</v>
          </cell>
          <cell r="W28">
            <v>5.253104106972302E-2</v>
          </cell>
          <cell r="X28">
            <v>9.2307692307692313E-2</v>
          </cell>
          <cell r="Y28">
            <v>6.5934065934065936E-2</v>
          </cell>
          <cell r="Z28">
            <v>0.1076923076923077</v>
          </cell>
          <cell r="AA28">
            <v>9.7087378640776691E-3</v>
          </cell>
          <cell r="AB28">
            <v>6.1728395061728392E-2</v>
          </cell>
          <cell r="AC28">
            <v>0.10526315789473684</v>
          </cell>
          <cell r="AD28">
            <v>9.7222222222222224E-2</v>
          </cell>
          <cell r="AE28">
            <v>0.15217391304347827</v>
          </cell>
          <cell r="AF28">
            <v>1.3698630136986301E-2</v>
          </cell>
          <cell r="AG28">
            <v>6.8535825545171333E-2</v>
          </cell>
          <cell r="AH28">
            <v>0.17948717948717949</v>
          </cell>
          <cell r="AI28">
            <v>0.15555555555555556</v>
          </cell>
          <cell r="AJ28">
            <v>0.14000000000000001</v>
          </cell>
          <cell r="AK28">
            <v>0.10989010989010989</v>
          </cell>
          <cell r="AL28">
            <v>0.13777777777777778</v>
          </cell>
          <cell r="AM28">
            <v>0.1951219512195122</v>
          </cell>
          <cell r="AN28">
            <v>0.16949152542372881</v>
          </cell>
          <cell r="AO28">
            <v>0.18032786885245902</v>
          </cell>
          <cell r="AP28">
            <v>0.13</v>
          </cell>
          <cell r="AQ28">
            <v>0.16091954022988506</v>
          </cell>
          <cell r="AR28">
            <v>0.23636363636363636</v>
          </cell>
          <cell r="AS28">
            <v>0.29629629629629628</v>
          </cell>
          <cell r="AT28">
            <v>0.25263157894736843</v>
          </cell>
          <cell r="AU28">
            <v>0.2848101265822785</v>
          </cell>
          <cell r="AV28">
            <v>0.27249357326478146</v>
          </cell>
          <cell r="AW28">
            <v>0.2808988764044944</v>
          </cell>
          <cell r="AX28">
            <v>0.28703703703703703</v>
          </cell>
          <cell r="AY28">
            <v>0.35238095238095241</v>
          </cell>
          <cell r="AZ28">
            <v>0.32278481012658228</v>
          </cell>
          <cell r="BA28">
            <v>0.31304347826086959</v>
          </cell>
          <cell r="BB28">
            <v>0.3783783783783784</v>
          </cell>
          <cell r="BC28">
            <v>0.4044943820224719</v>
          </cell>
          <cell r="BD28">
            <v>0.30714285714285716</v>
          </cell>
          <cell r="BE28">
            <v>0.29520295202952029</v>
          </cell>
          <cell r="BF28">
            <v>0.33857142857142858</v>
          </cell>
          <cell r="BG28">
            <v>0.3</v>
          </cell>
          <cell r="BH28">
            <v>0.3</v>
          </cell>
          <cell r="BI28">
            <v>0.3</v>
          </cell>
          <cell r="BJ28">
            <v>0.3</v>
          </cell>
          <cell r="BK28">
            <v>0.30000000000000004</v>
          </cell>
          <cell r="BL28">
            <v>0.3</v>
          </cell>
          <cell r="BM28">
            <v>0.3</v>
          </cell>
          <cell r="BN28">
            <v>0.3</v>
          </cell>
          <cell r="BO28">
            <v>0.3</v>
          </cell>
          <cell r="BP28">
            <v>0.30000000000000004</v>
          </cell>
          <cell r="BQ28">
            <v>0.3</v>
          </cell>
          <cell r="BR28">
            <v>0.3</v>
          </cell>
          <cell r="BS28">
            <v>0.3</v>
          </cell>
          <cell r="BT28">
            <v>0.3</v>
          </cell>
          <cell r="BU28">
            <v>0.30000000000000004</v>
          </cell>
          <cell r="BV28">
            <v>0.33</v>
          </cell>
          <cell r="BW28">
            <v>0.33</v>
          </cell>
          <cell r="BX28">
            <v>0.33</v>
          </cell>
          <cell r="BY28">
            <v>0.33</v>
          </cell>
          <cell r="BZ28">
            <v>0.32999999999999996</v>
          </cell>
          <cell r="CA28">
            <v>0.33</v>
          </cell>
          <cell r="CB28">
            <v>0.33</v>
          </cell>
          <cell r="CC28">
            <v>0.33</v>
          </cell>
          <cell r="CD28">
            <v>0.33</v>
          </cell>
          <cell r="CE28">
            <v>0.33000000000000013</v>
          </cell>
        </row>
        <row r="30">
          <cell r="A30" t="str">
            <v>Net operating income</v>
          </cell>
          <cell r="N30">
            <v>143000</v>
          </cell>
          <cell r="O30">
            <v>150000</v>
          </cell>
          <cell r="P30">
            <v>159000</v>
          </cell>
          <cell r="Q30">
            <v>180000</v>
          </cell>
          <cell r="R30">
            <v>652000</v>
          </cell>
          <cell r="S30">
            <v>153000</v>
          </cell>
          <cell r="T30">
            <v>186000</v>
          </cell>
          <cell r="U30">
            <v>174000</v>
          </cell>
          <cell r="V30">
            <v>154000</v>
          </cell>
          <cell r="W30">
            <v>667000</v>
          </cell>
          <cell r="X30">
            <v>190000</v>
          </cell>
          <cell r="Y30">
            <v>191000</v>
          </cell>
          <cell r="Z30">
            <v>161000</v>
          </cell>
          <cell r="AA30">
            <v>150000</v>
          </cell>
          <cell r="AB30">
            <v>692000</v>
          </cell>
          <cell r="AC30">
            <v>196000</v>
          </cell>
          <cell r="AD30">
            <v>159000</v>
          </cell>
          <cell r="AE30">
            <v>173000</v>
          </cell>
          <cell r="AF30">
            <v>154000</v>
          </cell>
          <cell r="AG30">
            <v>682000</v>
          </cell>
          <cell r="AH30">
            <v>157000</v>
          </cell>
          <cell r="AI30">
            <v>159000</v>
          </cell>
          <cell r="AJ30">
            <v>158000</v>
          </cell>
          <cell r="AK30">
            <v>254000</v>
          </cell>
          <cell r="AL30">
            <v>728000</v>
          </cell>
          <cell r="AM30">
            <v>187000</v>
          </cell>
          <cell r="AN30">
            <v>236000</v>
          </cell>
          <cell r="AO30">
            <v>179000</v>
          </cell>
          <cell r="AP30">
            <v>183000</v>
          </cell>
          <cell r="AQ30">
            <v>785000</v>
          </cell>
          <cell r="AR30">
            <v>182000</v>
          </cell>
          <cell r="AS30">
            <v>189000</v>
          </cell>
          <cell r="AT30">
            <v>187000</v>
          </cell>
          <cell r="AU30">
            <v>237000</v>
          </cell>
          <cell r="AV30">
            <v>795000</v>
          </cell>
          <cell r="AW30">
            <v>197000</v>
          </cell>
          <cell r="AX30">
            <v>210000</v>
          </cell>
          <cell r="AY30">
            <v>219000</v>
          </cell>
          <cell r="AZ30">
            <v>364000</v>
          </cell>
          <cell r="BA30">
            <v>990000</v>
          </cell>
          <cell r="BB30">
            <v>284750</v>
          </cell>
          <cell r="BC30">
            <v>321550</v>
          </cell>
          <cell r="BD30">
            <v>298550</v>
          </cell>
          <cell r="BE30">
            <v>336850</v>
          </cell>
          <cell r="BF30">
            <v>1241700</v>
          </cell>
          <cell r="BG30">
            <v>295251.3776833688</v>
          </cell>
          <cell r="BH30">
            <v>315296.14753488556</v>
          </cell>
          <cell r="BI30">
            <v>304125.98967163381</v>
          </cell>
          <cell r="BJ30">
            <v>317814.82652671647</v>
          </cell>
          <cell r="BK30">
            <v>1232488.3414166046</v>
          </cell>
          <cell r="BL30">
            <v>301041.57132686849</v>
          </cell>
          <cell r="BM30">
            <v>318351.41869999847</v>
          </cell>
          <cell r="BN30">
            <v>308538.8118704228</v>
          </cell>
          <cell r="BO30">
            <v>319590.83470029815</v>
          </cell>
          <cell r="BP30">
            <v>1247522.6365975877</v>
          </cell>
          <cell r="BQ30">
            <v>310169.41110737616</v>
          </cell>
          <cell r="BR30">
            <v>329587.65610197809</v>
          </cell>
          <cell r="BS30">
            <v>324215.10060594516</v>
          </cell>
          <cell r="BT30">
            <v>337454.88204674853</v>
          </cell>
          <cell r="BU30">
            <v>1301427.0498620481</v>
          </cell>
          <cell r="BV30">
            <v>349806.57469892036</v>
          </cell>
          <cell r="BW30">
            <v>355064.41468729434</v>
          </cell>
          <cell r="BX30">
            <v>344832.09425478091</v>
          </cell>
          <cell r="BY30">
            <v>353483.62181118684</v>
          </cell>
          <cell r="BZ30">
            <v>1403186.7054521823</v>
          </cell>
          <cell r="CA30">
            <v>360372.09637151775</v>
          </cell>
          <cell r="CB30">
            <v>361511.40253278404</v>
          </cell>
          <cell r="CC30">
            <v>350373.79221790633</v>
          </cell>
          <cell r="CD30">
            <v>360043.81752647832</v>
          </cell>
          <cell r="CE30">
            <v>1432301.1086486867</v>
          </cell>
        </row>
        <row r="31">
          <cell r="A31" t="str">
            <v xml:space="preserve">  Administrative and development</v>
          </cell>
          <cell r="N31">
            <v>12000</v>
          </cell>
          <cell r="O31">
            <v>15000</v>
          </cell>
          <cell r="P31">
            <v>14000</v>
          </cell>
          <cell r="Q31">
            <v>13000</v>
          </cell>
          <cell r="R31">
            <v>54000</v>
          </cell>
          <cell r="S31">
            <v>11000</v>
          </cell>
          <cell r="T31">
            <v>12000</v>
          </cell>
          <cell r="U31">
            <v>10000</v>
          </cell>
          <cell r="V31">
            <v>11000</v>
          </cell>
          <cell r="W31">
            <v>44000</v>
          </cell>
          <cell r="X31">
            <v>12000</v>
          </cell>
          <cell r="Y31">
            <v>11000</v>
          </cell>
          <cell r="Z31">
            <v>11000</v>
          </cell>
          <cell r="AA31">
            <v>10000</v>
          </cell>
          <cell r="AB31">
            <v>44000</v>
          </cell>
          <cell r="AC31">
            <v>11000</v>
          </cell>
          <cell r="AD31">
            <v>12000</v>
          </cell>
          <cell r="AE31">
            <v>10000</v>
          </cell>
          <cell r="AF31">
            <v>9000</v>
          </cell>
          <cell r="AG31">
            <v>42000</v>
          </cell>
          <cell r="AH31">
            <v>11000</v>
          </cell>
          <cell r="AI31">
            <v>11000</v>
          </cell>
          <cell r="AJ31">
            <v>11000</v>
          </cell>
          <cell r="AK31">
            <v>11000</v>
          </cell>
          <cell r="AL31">
            <v>44000</v>
          </cell>
          <cell r="AM31">
            <v>10000</v>
          </cell>
          <cell r="AN31">
            <v>11000</v>
          </cell>
          <cell r="AO31">
            <v>10000</v>
          </cell>
          <cell r="AP31">
            <v>10000</v>
          </cell>
          <cell r="AQ31">
            <v>41000</v>
          </cell>
          <cell r="AR31">
            <v>11000</v>
          </cell>
          <cell r="AS31">
            <v>11000</v>
          </cell>
          <cell r="AT31">
            <v>11000</v>
          </cell>
          <cell r="AU31">
            <v>15000</v>
          </cell>
          <cell r="AV31">
            <v>48000</v>
          </cell>
          <cell r="AW31">
            <v>15000</v>
          </cell>
          <cell r="AX31">
            <v>14000</v>
          </cell>
          <cell r="AY31">
            <v>15000</v>
          </cell>
          <cell r="AZ31">
            <v>23000</v>
          </cell>
          <cell r="BA31">
            <v>67000</v>
          </cell>
          <cell r="BB31">
            <v>29000</v>
          </cell>
          <cell r="BC31">
            <v>24000</v>
          </cell>
          <cell r="BD31">
            <v>23000</v>
          </cell>
          <cell r="BE31">
            <v>27000</v>
          </cell>
          <cell r="BF31">
            <v>103000</v>
          </cell>
          <cell r="BG31">
            <v>22575.787043238994</v>
          </cell>
          <cell r="BH31">
            <v>24525.499361521222</v>
          </cell>
          <cell r="BI31">
            <v>23512.489024121733</v>
          </cell>
          <cell r="BJ31">
            <v>25956.540100384853</v>
          </cell>
          <cell r="BK31">
            <v>96570.315529266809</v>
          </cell>
          <cell r="BL31">
            <v>22423.814720645609</v>
          </cell>
          <cell r="BM31">
            <v>24108.986616390634</v>
          </cell>
          <cell r="BN31">
            <v>23215.928201327399</v>
          </cell>
          <cell r="BO31">
            <v>25300.493105217098</v>
          </cell>
          <cell r="BP31">
            <v>95049.222643580739</v>
          </cell>
          <cell r="BQ31">
            <v>22417.754615164853</v>
          </cell>
          <cell r="BR31">
            <v>23965.762634755301</v>
          </cell>
          <cell r="BS31">
            <v>23138.307842222694</v>
          </cell>
          <cell r="BT31">
            <v>25055.627835271498</v>
          </cell>
          <cell r="BU31">
            <v>94577.452927414357</v>
          </cell>
          <cell r="BV31">
            <v>23913.460191081544</v>
          </cell>
          <cell r="BW31">
            <v>23821.796226770304</v>
          </cell>
          <cell r="BX31">
            <v>23057.302008406637</v>
          </cell>
          <cell r="BY31">
            <v>24821.98586205305</v>
          </cell>
          <cell r="BZ31">
            <v>95614.544288311532</v>
          </cell>
          <cell r="CA31">
            <v>24264.053497983034</v>
          </cell>
          <cell r="CB31">
            <v>24237.488217257989</v>
          </cell>
          <cell r="CC31">
            <v>23385.852771888203</v>
          </cell>
          <cell r="CD31">
            <v>25268.658977084695</v>
          </cell>
          <cell r="CE31">
            <v>97156.053464213925</v>
          </cell>
          <cell r="CH31" t="str">
            <v>mstag:generalAndAdministrativeExpensesByNature</v>
          </cell>
          <cell r="CI31">
            <v>3</v>
          </cell>
          <cell r="CJ31" t="str">
            <v>ISO4217:USD</v>
          </cell>
          <cell r="CK31" t="b">
            <v>0</v>
          </cell>
          <cell r="CL31" t="b">
            <v>0</v>
          </cell>
        </row>
        <row r="33">
          <cell r="A33" t="str">
            <v>EBITDA</v>
          </cell>
          <cell r="N33">
            <v>131000</v>
          </cell>
          <cell r="O33">
            <v>135000</v>
          </cell>
          <cell r="P33">
            <v>145000</v>
          </cell>
          <cell r="Q33">
            <v>167000</v>
          </cell>
          <cell r="R33">
            <v>598000</v>
          </cell>
          <cell r="S33">
            <v>142000</v>
          </cell>
          <cell r="T33">
            <v>174000</v>
          </cell>
          <cell r="U33">
            <v>164000</v>
          </cell>
          <cell r="V33">
            <v>143000</v>
          </cell>
          <cell r="W33">
            <v>623000</v>
          </cell>
          <cell r="X33">
            <v>178000</v>
          </cell>
          <cell r="Y33">
            <v>180000</v>
          </cell>
          <cell r="Z33">
            <v>150000</v>
          </cell>
          <cell r="AA33">
            <v>140000</v>
          </cell>
          <cell r="AB33">
            <v>648000</v>
          </cell>
          <cell r="AC33">
            <v>185000</v>
          </cell>
          <cell r="AD33">
            <v>147000</v>
          </cell>
          <cell r="AE33">
            <v>163000</v>
          </cell>
          <cell r="AF33">
            <v>145000</v>
          </cell>
          <cell r="AG33">
            <v>640000</v>
          </cell>
          <cell r="AH33">
            <v>146000</v>
          </cell>
          <cell r="AI33">
            <v>148000</v>
          </cell>
          <cell r="AJ33">
            <v>147000</v>
          </cell>
          <cell r="AK33">
            <v>243000</v>
          </cell>
          <cell r="AL33">
            <v>684000</v>
          </cell>
          <cell r="AM33">
            <v>177000</v>
          </cell>
          <cell r="AN33">
            <v>225000</v>
          </cell>
          <cell r="AO33">
            <v>169000</v>
          </cell>
          <cell r="AP33">
            <v>173000</v>
          </cell>
          <cell r="AQ33">
            <v>744000</v>
          </cell>
          <cell r="AR33">
            <v>171000</v>
          </cell>
          <cell r="AS33">
            <v>178000</v>
          </cell>
          <cell r="AT33">
            <v>176000</v>
          </cell>
          <cell r="AU33">
            <v>222000</v>
          </cell>
          <cell r="AV33">
            <v>747000</v>
          </cell>
          <cell r="AW33">
            <v>182000</v>
          </cell>
          <cell r="AX33">
            <v>196000</v>
          </cell>
          <cell r="AY33">
            <v>204000</v>
          </cell>
          <cell r="AZ33">
            <v>341000</v>
          </cell>
          <cell r="BA33">
            <v>923000</v>
          </cell>
          <cell r="BB33">
            <v>255750</v>
          </cell>
          <cell r="BC33">
            <v>297550</v>
          </cell>
          <cell r="BD33">
            <v>275550</v>
          </cell>
          <cell r="BE33">
            <v>309850</v>
          </cell>
          <cell r="BF33">
            <v>1138700</v>
          </cell>
          <cell r="BG33">
            <v>272675.59064012981</v>
          </cell>
          <cell r="BH33">
            <v>290770.64817336434</v>
          </cell>
          <cell r="BI33">
            <v>280613.50064751209</v>
          </cell>
          <cell r="BJ33">
            <v>291858.28642633162</v>
          </cell>
          <cell r="BK33">
            <v>1135918.0258873377</v>
          </cell>
          <cell r="BL33">
            <v>278617.75660622289</v>
          </cell>
          <cell r="BM33">
            <v>294242.43208360783</v>
          </cell>
          <cell r="BN33">
            <v>285322.8836690954</v>
          </cell>
          <cell r="BO33">
            <v>294290.34159508103</v>
          </cell>
          <cell r="BP33">
            <v>1152473.413954007</v>
          </cell>
          <cell r="BQ33">
            <v>287751.65649221133</v>
          </cell>
          <cell r="BR33">
            <v>305621.89346722281</v>
          </cell>
          <cell r="BS33">
            <v>301076.79276372248</v>
          </cell>
          <cell r="BT33">
            <v>312399.25421147706</v>
          </cell>
          <cell r="BU33">
            <v>1206849.5969346338</v>
          </cell>
          <cell r="BV33">
            <v>325893.11450783879</v>
          </cell>
          <cell r="BW33">
            <v>331242.61846052401</v>
          </cell>
          <cell r="BX33">
            <v>321774.7922463743</v>
          </cell>
          <cell r="BY33">
            <v>328661.63594913378</v>
          </cell>
          <cell r="BZ33">
            <v>1307572.1611638707</v>
          </cell>
          <cell r="CA33">
            <v>336108.04287353472</v>
          </cell>
          <cell r="CB33">
            <v>337273.91431552602</v>
          </cell>
          <cell r="CC33">
            <v>326987.93944601814</v>
          </cell>
          <cell r="CD33">
            <v>334775.15854939364</v>
          </cell>
          <cell r="CE33">
            <v>1335145.0551844728</v>
          </cell>
        </row>
        <row r="35">
          <cell r="A35" t="str">
            <v xml:space="preserve">  Interest and other income</v>
          </cell>
          <cell r="N35">
            <v>14000</v>
          </cell>
          <cell r="O35">
            <v>14000</v>
          </cell>
          <cell r="P35">
            <v>10000</v>
          </cell>
          <cell r="Q35">
            <v>14000</v>
          </cell>
          <cell r="R35">
            <v>52000</v>
          </cell>
          <cell r="S35">
            <v>14000</v>
          </cell>
          <cell r="T35">
            <v>8000</v>
          </cell>
          <cell r="U35">
            <v>9000</v>
          </cell>
          <cell r="V35">
            <v>12000</v>
          </cell>
          <cell r="W35">
            <v>43000</v>
          </cell>
          <cell r="X35">
            <v>12000</v>
          </cell>
          <cell r="Y35">
            <v>11000</v>
          </cell>
          <cell r="Z35">
            <v>10000</v>
          </cell>
          <cell r="AA35">
            <v>9000</v>
          </cell>
          <cell r="AB35">
            <v>42000</v>
          </cell>
          <cell r="AC35">
            <v>10000</v>
          </cell>
          <cell r="AD35">
            <v>12000</v>
          </cell>
          <cell r="AE35">
            <v>15000</v>
          </cell>
          <cell r="AF35">
            <v>11000</v>
          </cell>
          <cell r="AG35">
            <v>48000</v>
          </cell>
          <cell r="AH35">
            <v>15000</v>
          </cell>
          <cell r="AI35">
            <v>14000</v>
          </cell>
          <cell r="AJ35">
            <v>16000</v>
          </cell>
          <cell r="AK35">
            <v>17000</v>
          </cell>
          <cell r="AL35">
            <v>62000</v>
          </cell>
          <cell r="AM35">
            <v>14000</v>
          </cell>
          <cell r="AN35">
            <v>11000</v>
          </cell>
          <cell r="AO35">
            <v>11000</v>
          </cell>
          <cell r="AP35">
            <v>11000</v>
          </cell>
          <cell r="AQ35">
            <v>47000</v>
          </cell>
          <cell r="AR35">
            <v>11000</v>
          </cell>
          <cell r="AS35">
            <v>10000</v>
          </cell>
          <cell r="AT35">
            <v>10000</v>
          </cell>
          <cell r="AU35">
            <v>6000</v>
          </cell>
          <cell r="AV35">
            <v>37000</v>
          </cell>
          <cell r="AW35">
            <v>13000</v>
          </cell>
          <cell r="AX35">
            <v>8000</v>
          </cell>
          <cell r="AY35">
            <v>9000</v>
          </cell>
          <cell r="AZ35">
            <v>14000</v>
          </cell>
          <cell r="BA35">
            <v>44000</v>
          </cell>
          <cell r="BB35">
            <v>9000</v>
          </cell>
          <cell r="BC35">
            <v>10000</v>
          </cell>
          <cell r="BD35">
            <v>13000</v>
          </cell>
          <cell r="BE35">
            <v>12000</v>
          </cell>
          <cell r="BF35">
            <v>44000</v>
          </cell>
          <cell r="BG35">
            <v>8056.1525305010628</v>
          </cell>
          <cell r="BH35">
            <v>8173.9724260465655</v>
          </cell>
          <cell r="BI35">
            <v>8117.2052901490142</v>
          </cell>
          <cell r="BJ35">
            <v>7917.2671958014944</v>
          </cell>
          <cell r="BK35">
            <v>32264.597442498136</v>
          </cell>
          <cell r="BL35">
            <v>8336.2951334060544</v>
          </cell>
          <cell r="BM35">
            <v>8436.0849449999532</v>
          </cell>
          <cell r="BN35">
            <v>8385.1884633126829</v>
          </cell>
          <cell r="BO35">
            <v>8194.5701418089448</v>
          </cell>
          <cell r="BP35">
            <v>33352.138683527635</v>
          </cell>
          <cell r="BQ35">
            <v>8664.6840593236848</v>
          </cell>
          <cell r="BR35">
            <v>8860.6569899153419</v>
          </cell>
          <cell r="BS35">
            <v>8923.8487329631553</v>
          </cell>
          <cell r="BT35">
            <v>8839.8542217896556</v>
          </cell>
          <cell r="BU35">
            <v>35289.044003991832</v>
          </cell>
          <cell r="BV35">
            <v>9416.185057750894</v>
          </cell>
          <cell r="BW35">
            <v>9610.9415702134138</v>
          </cell>
          <cell r="BX35">
            <v>9531.4029939350403</v>
          </cell>
          <cell r="BY35">
            <v>9303.1926506520904</v>
          </cell>
          <cell r="BZ35">
            <v>37861.722272551444</v>
          </cell>
          <cell r="CA35">
            <v>9672.7366318412751</v>
          </cell>
          <cell r="CB35">
            <v>9719.5104496400636</v>
          </cell>
          <cell r="CC35">
            <v>9631.3488063815676</v>
          </cell>
          <cell r="CD35">
            <v>9393.9412678106291</v>
          </cell>
          <cell r="CE35">
            <v>38417.537155673534</v>
          </cell>
          <cell r="CH35" t="str">
            <v>mstag:otherNonOperatingIncomeExpense</v>
          </cell>
          <cell r="CI35">
            <v>3</v>
          </cell>
          <cell r="CJ35" t="str">
            <v>ISO4217:USD</v>
          </cell>
          <cell r="CK35" t="b">
            <v>0</v>
          </cell>
          <cell r="CL35" t="b">
            <v>0</v>
          </cell>
        </row>
        <row r="36">
          <cell r="A36" t="str">
            <v xml:space="preserve">  US Fund Min Int Share of Interest and Other Income</v>
          </cell>
          <cell r="BA36">
            <v>0</v>
          </cell>
          <cell r="BB36">
            <v>2750.0000000000005</v>
          </cell>
          <cell r="BC36">
            <v>1650</v>
          </cell>
          <cell r="BD36">
            <v>1650</v>
          </cell>
          <cell r="BE36">
            <v>3300</v>
          </cell>
          <cell r="BF36">
            <v>9350</v>
          </cell>
          <cell r="BG36">
            <v>3300</v>
          </cell>
          <cell r="BH36">
            <v>3300</v>
          </cell>
          <cell r="BI36">
            <v>3300</v>
          </cell>
          <cell r="BJ36">
            <v>3300</v>
          </cell>
          <cell r="BK36">
            <v>13200</v>
          </cell>
          <cell r="BL36">
            <v>3300</v>
          </cell>
          <cell r="BM36">
            <v>3300</v>
          </cell>
          <cell r="BN36">
            <v>3300</v>
          </cell>
          <cell r="BO36">
            <v>3300</v>
          </cell>
          <cell r="BP36">
            <v>13200</v>
          </cell>
          <cell r="BQ36">
            <v>3300</v>
          </cell>
          <cell r="BR36">
            <v>3300</v>
          </cell>
          <cell r="BS36">
            <v>3300</v>
          </cell>
          <cell r="BT36">
            <v>3300</v>
          </cell>
          <cell r="BU36">
            <v>13200</v>
          </cell>
          <cell r="BV36">
            <v>3300</v>
          </cell>
          <cell r="BW36">
            <v>3300</v>
          </cell>
          <cell r="BX36">
            <v>3300</v>
          </cell>
          <cell r="BY36">
            <v>3300</v>
          </cell>
          <cell r="BZ36">
            <v>13200</v>
          </cell>
          <cell r="CA36">
            <v>3300</v>
          </cell>
          <cell r="CB36">
            <v>3300</v>
          </cell>
          <cell r="CC36">
            <v>3300</v>
          </cell>
          <cell r="CD36">
            <v>3300</v>
          </cell>
          <cell r="CE36">
            <v>13200</v>
          </cell>
          <cell r="CH36" t="str">
            <v>mstag:minorityInterestsInNetIncome</v>
          </cell>
          <cell r="CI36">
            <v>3</v>
          </cell>
          <cell r="CJ36" t="str">
            <v>ISO4217:USD</v>
          </cell>
          <cell r="CK36" t="b">
            <v>1</v>
          </cell>
          <cell r="CL36" t="b">
            <v>0</v>
          </cell>
        </row>
        <row r="37">
          <cell r="A37" t="str">
            <v xml:space="preserve">  Interest expense</v>
          </cell>
          <cell r="N37">
            <v>77000</v>
          </cell>
          <cell r="O37">
            <v>75000</v>
          </cell>
          <cell r="P37">
            <v>76000</v>
          </cell>
          <cell r="Q37">
            <v>81000</v>
          </cell>
          <cell r="R37">
            <v>309000</v>
          </cell>
          <cell r="S37">
            <v>76000</v>
          </cell>
          <cell r="T37">
            <v>79000</v>
          </cell>
          <cell r="U37">
            <v>85000</v>
          </cell>
          <cell r="V37">
            <v>84000</v>
          </cell>
          <cell r="W37">
            <v>324000</v>
          </cell>
          <cell r="X37">
            <v>86000</v>
          </cell>
          <cell r="Y37">
            <v>86000</v>
          </cell>
          <cell r="Z37">
            <v>80000</v>
          </cell>
          <cell r="AA37">
            <v>76000</v>
          </cell>
          <cell r="AB37">
            <v>328000</v>
          </cell>
          <cell r="AC37">
            <v>73000</v>
          </cell>
          <cell r="AD37">
            <v>72000</v>
          </cell>
          <cell r="AE37">
            <v>71000</v>
          </cell>
          <cell r="AF37">
            <v>68000</v>
          </cell>
          <cell r="AG37">
            <v>284000</v>
          </cell>
          <cell r="AH37">
            <v>70000</v>
          </cell>
          <cell r="AI37">
            <v>67000</v>
          </cell>
          <cell r="AJ37">
            <v>66000</v>
          </cell>
          <cell r="AK37">
            <v>62000</v>
          </cell>
          <cell r="AL37">
            <v>265000</v>
          </cell>
          <cell r="AM37">
            <v>74000</v>
          </cell>
          <cell r="AN37">
            <v>77000</v>
          </cell>
          <cell r="AO37">
            <v>77000</v>
          </cell>
          <cell r="AP37">
            <v>81000</v>
          </cell>
          <cell r="AQ37">
            <v>309000</v>
          </cell>
          <cell r="AR37">
            <v>80000</v>
          </cell>
          <cell r="AS37">
            <v>82000</v>
          </cell>
          <cell r="AT37">
            <v>85000</v>
          </cell>
          <cell r="AU37">
            <v>86000</v>
          </cell>
          <cell r="AV37">
            <v>333000</v>
          </cell>
          <cell r="AW37">
            <v>88000</v>
          </cell>
          <cell r="AX37">
            <v>93000</v>
          </cell>
          <cell r="AY37">
            <v>97000</v>
          </cell>
          <cell r="AZ37">
            <v>207000</v>
          </cell>
          <cell r="BA37">
            <v>485000</v>
          </cell>
          <cell r="BB37">
            <v>188000</v>
          </cell>
          <cell r="BC37">
            <v>190000</v>
          </cell>
          <cell r="BD37">
            <v>192000</v>
          </cell>
          <cell r="BE37">
            <v>189000</v>
          </cell>
          <cell r="BF37">
            <v>759000</v>
          </cell>
          <cell r="BG37">
            <v>187255.6229788108</v>
          </cell>
          <cell r="BH37">
            <v>189466.81632714032</v>
          </cell>
          <cell r="BI37">
            <v>189336.42520918546</v>
          </cell>
          <cell r="BJ37">
            <v>188864.25716512511</v>
          </cell>
          <cell r="BK37">
            <v>754923.12168026168</v>
          </cell>
          <cell r="BL37">
            <v>184965.96147798465</v>
          </cell>
          <cell r="BM37">
            <v>185764.10135314456</v>
          </cell>
          <cell r="BN37">
            <v>185847.20794394921</v>
          </cell>
          <cell r="BO37">
            <v>185779.1377033724</v>
          </cell>
          <cell r="BP37">
            <v>742356.40847845073</v>
          </cell>
          <cell r="BQ37">
            <v>187733.64326716418</v>
          </cell>
          <cell r="BR37">
            <v>190841.40732887335</v>
          </cell>
          <cell r="BS37">
            <v>193210.04469449649</v>
          </cell>
          <cell r="BT37">
            <v>195265.0628189026</v>
          </cell>
          <cell r="BU37">
            <v>767050.15810943651</v>
          </cell>
          <cell r="BV37">
            <v>199734.67471715063</v>
          </cell>
          <cell r="BW37">
            <v>203313.29656980804</v>
          </cell>
          <cell r="BX37">
            <v>203004.02584252734</v>
          </cell>
          <cell r="BY37">
            <v>202196.50094297255</v>
          </cell>
          <cell r="BZ37">
            <v>808248.49807245843</v>
          </cell>
          <cell r="CA37">
            <v>201652.43221208395</v>
          </cell>
          <cell r="CB37">
            <v>201570.25486615542</v>
          </cell>
          <cell r="CC37">
            <v>201214.16925928034</v>
          </cell>
          <cell r="CD37">
            <v>200350.07262526243</v>
          </cell>
          <cell r="CE37">
            <v>804786.92896278214</v>
          </cell>
          <cell r="CH37" t="str">
            <v>mstag:interestExpense</v>
          </cell>
          <cell r="CI37">
            <v>3</v>
          </cell>
          <cell r="CJ37" t="str">
            <v>ISO4217:USD</v>
          </cell>
          <cell r="CK37" t="b">
            <v>0</v>
          </cell>
          <cell r="CL37" t="b">
            <v>0</v>
          </cell>
        </row>
        <row r="38">
          <cell r="A38" t="str">
            <v xml:space="preserve">  US Fund Min Int Share of Interest Expense</v>
          </cell>
          <cell r="BA38">
            <v>0</v>
          </cell>
          <cell r="BB38">
            <v>-52800.000000000007</v>
          </cell>
          <cell r="BC38">
            <v>-53900.000000000007</v>
          </cell>
          <cell r="BD38">
            <v>-53900.000000000007</v>
          </cell>
          <cell r="BE38">
            <v>-51700.000000000007</v>
          </cell>
          <cell r="BF38">
            <v>-212300.00000000003</v>
          </cell>
          <cell r="BG38">
            <v>-51700.000000000007</v>
          </cell>
          <cell r="BH38">
            <v>-51700.000000000007</v>
          </cell>
          <cell r="BI38">
            <v>-51700.000000000007</v>
          </cell>
          <cell r="BJ38">
            <v>-51700.000000000007</v>
          </cell>
          <cell r="BK38">
            <v>-206800.00000000003</v>
          </cell>
          <cell r="BL38">
            <v>-51700.000000000007</v>
          </cell>
          <cell r="BM38">
            <v>-51700.000000000007</v>
          </cell>
          <cell r="BN38">
            <v>-51700.000000000007</v>
          </cell>
          <cell r="BO38">
            <v>-51700.000000000007</v>
          </cell>
          <cell r="BP38">
            <v>-206800.00000000003</v>
          </cell>
          <cell r="BQ38">
            <v>-51700.000000000007</v>
          </cell>
          <cell r="BR38">
            <v>-51700.000000000007</v>
          </cell>
          <cell r="BS38">
            <v>-51700.000000000007</v>
          </cell>
          <cell r="BT38">
            <v>-51700.000000000007</v>
          </cell>
          <cell r="BU38">
            <v>-206800.00000000003</v>
          </cell>
          <cell r="BV38">
            <v>-51700.000000000007</v>
          </cell>
          <cell r="BW38">
            <v>-51700.000000000007</v>
          </cell>
          <cell r="BX38">
            <v>-51700.000000000007</v>
          </cell>
          <cell r="BY38">
            <v>-51700.000000000007</v>
          </cell>
          <cell r="BZ38">
            <v>-206800.00000000003</v>
          </cell>
          <cell r="CA38">
            <v>-51700.000000000007</v>
          </cell>
          <cell r="CB38">
            <v>-51700.000000000007</v>
          </cell>
          <cell r="CC38">
            <v>-51700.000000000007</v>
          </cell>
          <cell r="CD38">
            <v>-51700.000000000007</v>
          </cell>
          <cell r="CE38">
            <v>-206800.00000000003</v>
          </cell>
          <cell r="CH38" t="str">
            <v>mstag:minorityInterestsInNetIncome</v>
          </cell>
          <cell r="CI38">
            <v>3</v>
          </cell>
          <cell r="CJ38" t="str">
            <v>ISO4217:USD</v>
          </cell>
          <cell r="CK38" t="b">
            <v>0</v>
          </cell>
          <cell r="CL38" t="b">
            <v>0</v>
          </cell>
        </row>
        <row r="39">
          <cell r="A39" t="str">
            <v xml:space="preserve">  Minority shareholders' interests</v>
          </cell>
          <cell r="N39">
            <v>14000</v>
          </cell>
          <cell r="O39">
            <v>15000</v>
          </cell>
          <cell r="P39">
            <v>16000</v>
          </cell>
          <cell r="Q39">
            <v>17000</v>
          </cell>
          <cell r="R39">
            <v>62000</v>
          </cell>
          <cell r="S39">
            <v>12000</v>
          </cell>
          <cell r="T39">
            <v>13000</v>
          </cell>
          <cell r="U39">
            <v>11000</v>
          </cell>
          <cell r="V39">
            <v>11000</v>
          </cell>
          <cell r="W39">
            <v>47000</v>
          </cell>
          <cell r="X39">
            <v>8000</v>
          </cell>
          <cell r="Y39">
            <v>7000</v>
          </cell>
          <cell r="Z39">
            <v>7000</v>
          </cell>
          <cell r="AA39">
            <v>6000</v>
          </cell>
          <cell r="AB39">
            <v>28000</v>
          </cell>
          <cell r="AC39">
            <v>10000</v>
          </cell>
          <cell r="AD39">
            <v>5000</v>
          </cell>
          <cell r="AE39">
            <v>8000</v>
          </cell>
          <cell r="AF39">
            <v>7000</v>
          </cell>
          <cell r="AG39">
            <v>30000</v>
          </cell>
          <cell r="AH39">
            <v>5000</v>
          </cell>
          <cell r="AI39">
            <v>5000</v>
          </cell>
          <cell r="AJ39">
            <v>6000</v>
          </cell>
          <cell r="AK39">
            <v>5000</v>
          </cell>
          <cell r="AL39">
            <v>21000</v>
          </cell>
          <cell r="AM39">
            <v>5000</v>
          </cell>
          <cell r="AN39">
            <v>6000</v>
          </cell>
          <cell r="AO39">
            <v>5000</v>
          </cell>
          <cell r="AP39">
            <v>4000</v>
          </cell>
          <cell r="AQ39">
            <v>20000</v>
          </cell>
          <cell r="AR39">
            <v>3000</v>
          </cell>
          <cell r="AS39">
            <v>5000</v>
          </cell>
          <cell r="AT39">
            <v>4000</v>
          </cell>
          <cell r="AU39">
            <v>4000</v>
          </cell>
          <cell r="AV39">
            <v>16000</v>
          </cell>
          <cell r="AW39">
            <v>4000</v>
          </cell>
          <cell r="AX39">
            <v>6000</v>
          </cell>
          <cell r="AY39">
            <v>7000</v>
          </cell>
          <cell r="AZ39">
            <v>4000</v>
          </cell>
          <cell r="BA39">
            <v>21000</v>
          </cell>
          <cell r="BB39">
            <v>9000</v>
          </cell>
          <cell r="BC39">
            <v>6000</v>
          </cell>
          <cell r="BD39">
            <v>6000</v>
          </cell>
          <cell r="BE39">
            <v>9000</v>
          </cell>
          <cell r="BF39">
            <v>30000</v>
          </cell>
          <cell r="BG39">
            <v>7888.5628592854955</v>
          </cell>
          <cell r="BH39">
            <v>8424.1215016000297</v>
          </cell>
          <cell r="BI39">
            <v>8125.6758410114417</v>
          </cell>
          <cell r="BJ39">
            <v>8491.4158787010474</v>
          </cell>
          <cell r="BK39">
            <v>32929.776080598014</v>
          </cell>
          <cell r="BL39">
            <v>8043.2659698435991</v>
          </cell>
          <cell r="BM39">
            <v>8505.7526148136749</v>
          </cell>
          <cell r="BN39">
            <v>8243.5781707994811</v>
          </cell>
          <cell r="BO39">
            <v>8538.8674849419131</v>
          </cell>
          <cell r="BP39">
            <v>33331.464240398665</v>
          </cell>
          <cell r="BQ39">
            <v>8287.1447230707599</v>
          </cell>
          <cell r="BR39">
            <v>8805.9637966982409</v>
          </cell>
          <cell r="BS39">
            <v>8662.4191938652402</v>
          </cell>
          <cell r="BT39">
            <v>9016.1613134057789</v>
          </cell>
          <cell r="BU39">
            <v>34771.689027040018</v>
          </cell>
          <cell r="BV39">
            <v>9346.1753667516205</v>
          </cell>
          <cell r="BW39">
            <v>9486.6549864499011</v>
          </cell>
          <cell r="BX39">
            <v>9213.2665824344022</v>
          </cell>
          <cell r="BY39">
            <v>9444.4191666934294</v>
          </cell>
          <cell r="BZ39">
            <v>37490.516102329348</v>
          </cell>
          <cell r="CA39">
            <v>9628.4662827479879</v>
          </cell>
          <cell r="CB39">
            <v>9658.9064058039367</v>
          </cell>
          <cell r="CC39">
            <v>9361.3303546419975</v>
          </cell>
          <cell r="CD39">
            <v>9619.6952879272812</v>
          </cell>
          <cell r="CE39">
            <v>38268.3983311212</v>
          </cell>
          <cell r="CH39" t="str">
            <v>mstag:minorityInterestsInNetIncome</v>
          </cell>
          <cell r="CI39">
            <v>3</v>
          </cell>
          <cell r="CJ39" t="str">
            <v>ISO4217:USD</v>
          </cell>
          <cell r="CK39" t="b">
            <v>0</v>
          </cell>
          <cell r="CL39" t="b">
            <v>0</v>
          </cell>
        </row>
        <row r="41">
          <cell r="A41" t="str">
            <v>Cashflow from operations</v>
          </cell>
          <cell r="N41">
            <v>54000</v>
          </cell>
          <cell r="O41">
            <v>59000</v>
          </cell>
          <cell r="P41">
            <v>63000</v>
          </cell>
          <cell r="Q41">
            <v>83000</v>
          </cell>
          <cell r="R41">
            <v>279000</v>
          </cell>
          <cell r="S41">
            <v>68000</v>
          </cell>
          <cell r="T41">
            <v>90000</v>
          </cell>
          <cell r="U41">
            <v>77000</v>
          </cell>
          <cell r="V41">
            <v>60000</v>
          </cell>
          <cell r="W41">
            <v>295000</v>
          </cell>
          <cell r="X41">
            <v>96000</v>
          </cell>
          <cell r="Y41">
            <v>98000</v>
          </cell>
          <cell r="Z41">
            <v>73000</v>
          </cell>
          <cell r="AA41">
            <v>67000</v>
          </cell>
          <cell r="AB41">
            <v>334000</v>
          </cell>
          <cell r="AC41">
            <v>112000</v>
          </cell>
          <cell r="AD41">
            <v>82000</v>
          </cell>
          <cell r="AE41">
            <v>99000</v>
          </cell>
          <cell r="AF41">
            <v>81000</v>
          </cell>
          <cell r="AG41">
            <v>374000</v>
          </cell>
          <cell r="AH41">
            <v>86000</v>
          </cell>
          <cell r="AI41">
            <v>90000</v>
          </cell>
          <cell r="AJ41">
            <v>91000</v>
          </cell>
          <cell r="AK41">
            <v>193000</v>
          </cell>
          <cell r="AL41">
            <v>460000</v>
          </cell>
          <cell r="AM41">
            <v>112000</v>
          </cell>
          <cell r="AN41">
            <v>153000</v>
          </cell>
          <cell r="AO41">
            <v>98000</v>
          </cell>
          <cell r="AP41">
            <v>99000</v>
          </cell>
          <cell r="AQ41">
            <v>462000</v>
          </cell>
          <cell r="AR41">
            <v>99000</v>
          </cell>
          <cell r="AS41">
            <v>101000</v>
          </cell>
          <cell r="AT41">
            <v>97000</v>
          </cell>
          <cell r="AU41">
            <v>138000</v>
          </cell>
          <cell r="AV41">
            <v>435000</v>
          </cell>
          <cell r="AW41">
            <v>103000</v>
          </cell>
          <cell r="AX41">
            <v>105000</v>
          </cell>
          <cell r="AY41">
            <v>109000</v>
          </cell>
          <cell r="AZ41">
            <v>144000</v>
          </cell>
          <cell r="BA41">
            <v>461000</v>
          </cell>
          <cell r="BB41">
            <v>123300</v>
          </cell>
          <cell r="BC41">
            <v>167100</v>
          </cell>
          <cell r="BD41">
            <v>146100</v>
          </cell>
          <cell r="BE41">
            <v>178850</v>
          </cell>
          <cell r="BF41">
            <v>615350</v>
          </cell>
          <cell r="BG41">
            <v>140587.5573325346</v>
          </cell>
          <cell r="BH41">
            <v>156053.68277067057</v>
          </cell>
          <cell r="BI41">
            <v>146268.60488746423</v>
          </cell>
          <cell r="BJ41">
            <v>157419.88057830694</v>
          </cell>
          <cell r="BK41">
            <v>600329.72556897625</v>
          </cell>
          <cell r="BL41">
            <v>148944.8242918007</v>
          </cell>
          <cell r="BM41">
            <v>163408.66306064953</v>
          </cell>
          <cell r="BN41">
            <v>154617.28601765941</v>
          </cell>
          <cell r="BO41">
            <v>163166.90654857567</v>
          </cell>
          <cell r="BP41">
            <v>630137.67991868535</v>
          </cell>
          <cell r="BQ41">
            <v>155395.55256130008</v>
          </cell>
          <cell r="BR41">
            <v>169835.17933156659</v>
          </cell>
          <cell r="BS41">
            <v>163128.17760832389</v>
          </cell>
          <cell r="BT41">
            <v>171957.88430095831</v>
          </cell>
          <cell r="BU41">
            <v>660316.79380214913</v>
          </cell>
          <cell r="BV41">
            <v>181228.44948168745</v>
          </cell>
          <cell r="BW41">
            <v>183053.60847447949</v>
          </cell>
          <cell r="BX41">
            <v>174088.90281534762</v>
          </cell>
          <cell r="BY41">
            <v>181323.90849011988</v>
          </cell>
          <cell r="BZ41">
            <v>719694.8692616343</v>
          </cell>
          <cell r="CA41">
            <v>189499.88101054408</v>
          </cell>
          <cell r="CB41">
            <v>190764.2634932067</v>
          </cell>
          <cell r="CC41">
            <v>181043.78863847739</v>
          </cell>
          <cell r="CD41">
            <v>189199.33190401457</v>
          </cell>
          <cell r="CE41">
            <v>750507.26504624309</v>
          </cell>
        </row>
        <row r="43">
          <cell r="A43" t="str">
            <v xml:space="preserve">  Depreciation and amortization</v>
          </cell>
          <cell r="N43">
            <v>13000</v>
          </cell>
          <cell r="O43">
            <v>16000</v>
          </cell>
          <cell r="P43">
            <v>13000</v>
          </cell>
          <cell r="Q43">
            <v>14000</v>
          </cell>
          <cell r="R43">
            <v>56000</v>
          </cell>
          <cell r="S43">
            <v>14000</v>
          </cell>
          <cell r="T43">
            <v>16000</v>
          </cell>
          <cell r="U43">
            <v>17000</v>
          </cell>
          <cell r="V43">
            <v>19000</v>
          </cell>
          <cell r="W43">
            <v>66000</v>
          </cell>
          <cell r="X43">
            <v>18000</v>
          </cell>
          <cell r="Y43">
            <v>19000</v>
          </cell>
          <cell r="Z43">
            <v>19000</v>
          </cell>
          <cell r="AA43">
            <v>20000</v>
          </cell>
          <cell r="AB43">
            <v>76000</v>
          </cell>
          <cell r="AC43">
            <v>19000</v>
          </cell>
          <cell r="AD43">
            <v>19000</v>
          </cell>
          <cell r="AE43">
            <v>20000</v>
          </cell>
          <cell r="AF43">
            <v>22000</v>
          </cell>
          <cell r="AG43">
            <v>80000</v>
          </cell>
          <cell r="AH43">
            <v>18000</v>
          </cell>
          <cell r="AI43">
            <v>20000</v>
          </cell>
          <cell r="AJ43">
            <v>20000</v>
          </cell>
          <cell r="AK43">
            <v>21000</v>
          </cell>
          <cell r="AL43">
            <v>79000</v>
          </cell>
          <cell r="AM43">
            <v>34000</v>
          </cell>
          <cell r="AN43">
            <v>35000</v>
          </cell>
          <cell r="AO43">
            <v>37000</v>
          </cell>
          <cell r="AP43">
            <v>39000</v>
          </cell>
          <cell r="AQ43">
            <v>145000</v>
          </cell>
          <cell r="AR43">
            <v>36000</v>
          </cell>
          <cell r="AS43">
            <v>41000</v>
          </cell>
          <cell r="AT43">
            <v>42000</v>
          </cell>
          <cell r="AU43">
            <v>47000</v>
          </cell>
          <cell r="AV43">
            <v>166000</v>
          </cell>
          <cell r="AW43">
            <v>45000</v>
          </cell>
          <cell r="AX43">
            <v>51000</v>
          </cell>
          <cell r="AY43">
            <v>51000</v>
          </cell>
          <cell r="AZ43">
            <v>136000</v>
          </cell>
          <cell r="BA43">
            <v>283000</v>
          </cell>
          <cell r="BB43">
            <v>126000</v>
          </cell>
          <cell r="BC43">
            <v>133000</v>
          </cell>
          <cell r="BD43">
            <v>136000</v>
          </cell>
          <cell r="BE43">
            <v>138000</v>
          </cell>
          <cell r="BF43">
            <v>533000</v>
          </cell>
          <cell r="BG43">
            <v>141921.16504854368</v>
          </cell>
          <cell r="BH43">
            <v>142977.51866377215</v>
          </cell>
          <cell r="BI43">
            <v>142153.30517474425</v>
          </cell>
          <cell r="BJ43">
            <v>142136.42090939495</v>
          </cell>
          <cell r="BK43">
            <v>569188.40979645506</v>
          </cell>
          <cell r="BL43">
            <v>141309.7054386184</v>
          </cell>
          <cell r="BM43">
            <v>141265.94482930657</v>
          </cell>
          <cell r="BN43">
            <v>141226.46813633441</v>
          </cell>
          <cell r="BO43">
            <v>140774.48466794248</v>
          </cell>
          <cell r="BP43">
            <v>564576.60307220195</v>
          </cell>
          <cell r="BQ43">
            <v>140926.48048678366</v>
          </cell>
          <cell r="BR43">
            <v>142149.43955055217</v>
          </cell>
          <cell r="BS43">
            <v>143369.12048031646</v>
          </cell>
          <cell r="BT43">
            <v>144580.37243726623</v>
          </cell>
          <cell r="BU43">
            <v>571025.41295491857</v>
          </cell>
          <cell r="BV43">
            <v>145777.52861316266</v>
          </cell>
          <cell r="BW43">
            <v>149532.1068885779</v>
          </cell>
          <cell r="BX43">
            <v>148928.70821847414</v>
          </cell>
          <cell r="BY43">
            <v>148327.59613412007</v>
          </cell>
          <cell r="BZ43">
            <v>592565.93985433481</v>
          </cell>
          <cell r="CA43">
            <v>147722.95016200081</v>
          </cell>
          <cell r="CB43">
            <v>147138.1217266919</v>
          </cell>
          <cell r="CC43">
            <v>146560.34176283333</v>
          </cell>
          <cell r="CD43">
            <v>145984.28315048953</v>
          </cell>
          <cell r="CE43">
            <v>587405.69680201553</v>
          </cell>
          <cell r="CH43" t="str">
            <v>mstag:depreciationInIncomeStatement</v>
          </cell>
          <cell r="CI43">
            <v>3</v>
          </cell>
          <cell r="CJ43" t="str">
            <v>ISO4217:USD</v>
          </cell>
          <cell r="CK43" t="b">
            <v>0</v>
          </cell>
          <cell r="CL43" t="b">
            <v>0</v>
          </cell>
        </row>
        <row r="44">
          <cell r="A44" t="str">
            <v xml:space="preserve">  Unrealized foreign exchange on preferred share restatement</v>
          </cell>
          <cell r="AM44">
            <v>-4000</v>
          </cell>
          <cell r="AN44">
            <v>-2000</v>
          </cell>
          <cell r="AO44">
            <v>28000</v>
          </cell>
          <cell r="AP44">
            <v>41000</v>
          </cell>
          <cell r="AQ44">
            <v>63000</v>
          </cell>
          <cell r="AR44">
            <v>0</v>
          </cell>
          <cell r="AS44">
            <v>0</v>
          </cell>
          <cell r="AT44">
            <v>0</v>
          </cell>
          <cell r="AU44">
            <v>0</v>
          </cell>
          <cell r="AV44">
            <v>0</v>
          </cell>
          <cell r="BA44">
            <v>0</v>
          </cell>
          <cell r="BF44">
            <v>0</v>
          </cell>
          <cell r="CH44" t="str">
            <v>mstag:unrealizedForeignCurrencyExchangeGainsLossesInNetFinancingObligations</v>
          </cell>
          <cell r="CI44">
            <v>3</v>
          </cell>
          <cell r="CJ44" t="str">
            <v>ISO4217:USD</v>
          </cell>
          <cell r="CK44" t="b">
            <v>1</v>
          </cell>
          <cell r="CL44" t="b">
            <v>0</v>
          </cell>
        </row>
        <row r="45">
          <cell r="A45" t="str">
            <v xml:space="preserve">  Gains from Discontinued Operations</v>
          </cell>
          <cell r="AW45">
            <v>30000</v>
          </cell>
          <cell r="AX45">
            <v>14000</v>
          </cell>
          <cell r="BA45">
            <v>44000</v>
          </cell>
          <cell r="BB45">
            <v>47000</v>
          </cell>
          <cell r="BC45">
            <v>62000</v>
          </cell>
          <cell r="BD45">
            <v>7000</v>
          </cell>
          <cell r="BE45">
            <v>28000</v>
          </cell>
          <cell r="BF45">
            <v>144000</v>
          </cell>
          <cell r="CH45" t="str">
            <v>mstag:gainsLossesFromSaleOfOperatingAssetsOneTimeIncomeStatement</v>
          </cell>
          <cell r="CI45">
            <v>3</v>
          </cell>
          <cell r="CJ45" t="str">
            <v>ISO4217:USD</v>
          </cell>
          <cell r="CK45" t="b">
            <v>0</v>
          </cell>
          <cell r="CL45" t="b">
            <v>0</v>
          </cell>
        </row>
        <row r="46">
          <cell r="A46" t="str">
            <v xml:space="preserve">  US Fund Interest in Gains</v>
          </cell>
          <cell r="BA46">
            <v>0</v>
          </cell>
          <cell r="BB46">
            <v>0</v>
          </cell>
          <cell r="BC46">
            <v>-34000</v>
          </cell>
          <cell r="BD46">
            <v>-2000</v>
          </cell>
          <cell r="BE46">
            <v>0</v>
          </cell>
          <cell r="BF46">
            <v>-36000</v>
          </cell>
          <cell r="CH46" t="str">
            <v>mstag:gainsLossesFromSaleOfOperatingAssetsOneTimeIncomeStatement</v>
          </cell>
          <cell r="CI46">
            <v>3</v>
          </cell>
          <cell r="CJ46" t="str">
            <v>ISO4217:USD</v>
          </cell>
          <cell r="CK46" t="b">
            <v>0</v>
          </cell>
          <cell r="CL46" t="b">
            <v>0</v>
          </cell>
        </row>
        <row r="47">
          <cell r="A47" t="str">
            <v xml:space="preserve">  Discontinued Operations</v>
          </cell>
          <cell r="V47">
            <v>14000</v>
          </cell>
          <cell r="W47">
            <v>14000</v>
          </cell>
          <cell r="X47">
            <v>5000</v>
          </cell>
          <cell r="Y47">
            <v>9000</v>
          </cell>
          <cell r="Z47">
            <v>10000</v>
          </cell>
          <cell r="AA47">
            <v>15000</v>
          </cell>
          <cell r="AB47">
            <v>39000</v>
          </cell>
          <cell r="AC47">
            <v>8000</v>
          </cell>
          <cell r="AD47">
            <v>9000</v>
          </cell>
          <cell r="AE47">
            <v>11000</v>
          </cell>
          <cell r="AF47">
            <v>16000</v>
          </cell>
          <cell r="AG47">
            <v>44000</v>
          </cell>
          <cell r="AU47">
            <v>-2000</v>
          </cell>
          <cell r="AW47">
            <v>-12000</v>
          </cell>
          <cell r="AX47">
            <v>1000</v>
          </cell>
          <cell r="AZ47">
            <v>1000</v>
          </cell>
          <cell r="BA47">
            <v>-10000</v>
          </cell>
          <cell r="BB47">
            <v>1000</v>
          </cell>
          <cell r="BC47">
            <v>2000</v>
          </cell>
          <cell r="BD47">
            <v>2000</v>
          </cell>
          <cell r="BE47">
            <v>2000</v>
          </cell>
          <cell r="BF47">
            <v>7000</v>
          </cell>
          <cell r="CH47" t="str">
            <v>mstag:incomeLossFromDiscontinuedOperationsPretax</v>
          </cell>
          <cell r="CI47">
            <v>3</v>
          </cell>
          <cell r="CJ47" t="str">
            <v>ISO4217:USD</v>
          </cell>
          <cell r="CK47" t="b">
            <v>0</v>
          </cell>
          <cell r="CL47" t="b">
            <v>0</v>
          </cell>
        </row>
        <row r="48">
          <cell r="A48" t="str">
            <v>Income before Tax</v>
          </cell>
          <cell r="N48">
            <v>41000</v>
          </cell>
          <cell r="O48">
            <v>43000</v>
          </cell>
          <cell r="P48">
            <v>50000</v>
          </cell>
          <cell r="Q48">
            <v>69000</v>
          </cell>
          <cell r="R48">
            <v>223000</v>
          </cell>
          <cell r="S48">
            <v>54000</v>
          </cell>
          <cell r="T48">
            <v>74000</v>
          </cell>
          <cell r="U48">
            <v>60000</v>
          </cell>
          <cell r="V48">
            <v>55000</v>
          </cell>
          <cell r="W48">
            <v>243000</v>
          </cell>
          <cell r="X48">
            <v>83000</v>
          </cell>
          <cell r="Y48">
            <v>88000</v>
          </cell>
          <cell r="Z48">
            <v>64000</v>
          </cell>
          <cell r="AA48">
            <v>62000</v>
          </cell>
          <cell r="AB48">
            <v>297000</v>
          </cell>
          <cell r="AC48">
            <v>101000</v>
          </cell>
          <cell r="AD48">
            <v>72000</v>
          </cell>
          <cell r="AE48">
            <v>90000</v>
          </cell>
          <cell r="AF48">
            <v>75000</v>
          </cell>
          <cell r="AG48">
            <v>338000</v>
          </cell>
          <cell r="AH48">
            <v>68000</v>
          </cell>
          <cell r="AI48">
            <v>70000</v>
          </cell>
          <cell r="AJ48">
            <v>71000</v>
          </cell>
          <cell r="AK48">
            <v>172000</v>
          </cell>
          <cell r="AL48">
            <v>381000</v>
          </cell>
          <cell r="AM48">
            <v>82000</v>
          </cell>
          <cell r="AN48">
            <v>120000</v>
          </cell>
          <cell r="AO48">
            <v>33000</v>
          </cell>
          <cell r="AP48">
            <v>19000</v>
          </cell>
          <cell r="AQ48">
            <v>254000</v>
          </cell>
          <cell r="AR48">
            <v>63000</v>
          </cell>
          <cell r="AS48">
            <v>60000</v>
          </cell>
          <cell r="AT48">
            <v>55000</v>
          </cell>
          <cell r="AU48">
            <v>89000</v>
          </cell>
          <cell r="AV48">
            <v>269000</v>
          </cell>
          <cell r="AW48">
            <v>76000</v>
          </cell>
          <cell r="AX48">
            <v>69000</v>
          </cell>
          <cell r="AY48">
            <v>58000</v>
          </cell>
          <cell r="AZ48">
            <v>9000</v>
          </cell>
          <cell r="BA48">
            <v>212000</v>
          </cell>
          <cell r="BB48">
            <v>45300</v>
          </cell>
          <cell r="BC48">
            <v>64100</v>
          </cell>
          <cell r="BD48">
            <v>17100</v>
          </cell>
          <cell r="BE48">
            <v>70850</v>
          </cell>
          <cell r="BF48">
            <v>197350</v>
          </cell>
          <cell r="BG48">
            <v>-1333.607716009079</v>
          </cell>
          <cell r="BH48">
            <v>13076.164106898417</v>
          </cell>
          <cell r="BI48">
            <v>4115.2997127199778</v>
          </cell>
          <cell r="BJ48">
            <v>15283.459668911994</v>
          </cell>
          <cell r="BK48">
            <v>31141.315772521193</v>
          </cell>
          <cell r="BL48">
            <v>7635.1188531822991</v>
          </cell>
          <cell r="BM48">
            <v>22142.718231342966</v>
          </cell>
          <cell r="BN48">
            <v>13390.817881324998</v>
          </cell>
          <cell r="BO48">
            <v>22392.421880633192</v>
          </cell>
          <cell r="BP48">
            <v>65561.076846483396</v>
          </cell>
          <cell r="BQ48">
            <v>14469.072074516414</v>
          </cell>
          <cell r="BR48">
            <v>27685.739781014418</v>
          </cell>
          <cell r="BS48">
            <v>19759.057128007436</v>
          </cell>
          <cell r="BT48">
            <v>27377.511863692082</v>
          </cell>
          <cell r="BU48">
            <v>89291.380847230554</v>
          </cell>
          <cell r="BV48">
            <v>35450.920868524787</v>
          </cell>
          <cell r="BW48">
            <v>33521.501585901598</v>
          </cell>
          <cell r="BX48">
            <v>25160.19459687348</v>
          </cell>
          <cell r="BY48">
            <v>32996.312355999806</v>
          </cell>
          <cell r="BZ48">
            <v>127128.9294072995</v>
          </cell>
          <cell r="CA48">
            <v>41776.93084854327</v>
          </cell>
          <cell r="CB48">
            <v>43626.141766514804</v>
          </cell>
          <cell r="CC48">
            <v>34483.446875644062</v>
          </cell>
          <cell r="CD48">
            <v>43215.048753525043</v>
          </cell>
          <cell r="CE48">
            <v>163101.56824422756</v>
          </cell>
        </row>
        <row r="49">
          <cell r="A49" t="str">
            <v xml:space="preserve">  Transactions Costs</v>
          </cell>
          <cell r="AZ49">
            <v>-15000</v>
          </cell>
          <cell r="BA49">
            <v>-15000</v>
          </cell>
          <cell r="BB49">
            <v>-4000</v>
          </cell>
          <cell r="BC49">
            <v>-4000</v>
          </cell>
          <cell r="BD49">
            <v>-35000</v>
          </cell>
          <cell r="BE49">
            <v>-2000</v>
          </cell>
          <cell r="BF49">
            <v>-45000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H49" t="str">
            <v>mstag:otherProvisionsOneTime</v>
          </cell>
          <cell r="CI49">
            <v>3</v>
          </cell>
          <cell r="CJ49" t="str">
            <v>ISO4217:USD</v>
          </cell>
          <cell r="CK49" t="b">
            <v>1</v>
          </cell>
          <cell r="CL49" t="b">
            <v>0</v>
          </cell>
        </row>
        <row r="50">
          <cell r="A50" t="str">
            <v xml:space="preserve">  Fund Interest in Transaction Costs and Other Adjustments</v>
          </cell>
          <cell r="AZ50">
            <v>9000</v>
          </cell>
          <cell r="BA50">
            <v>9000</v>
          </cell>
          <cell r="BB50">
            <v>2000</v>
          </cell>
          <cell r="BC50">
            <v>1000</v>
          </cell>
          <cell r="BD50">
            <v>0</v>
          </cell>
          <cell r="BE50">
            <v>0</v>
          </cell>
          <cell r="BF50">
            <v>3000</v>
          </cell>
          <cell r="BG50">
            <v>1100</v>
          </cell>
          <cell r="BH50">
            <v>1100</v>
          </cell>
          <cell r="BI50">
            <v>1100</v>
          </cell>
          <cell r="BJ50">
            <v>1100</v>
          </cell>
          <cell r="BK50">
            <v>4400</v>
          </cell>
          <cell r="BL50">
            <v>1100</v>
          </cell>
          <cell r="BM50">
            <v>1100</v>
          </cell>
          <cell r="BN50">
            <v>1100</v>
          </cell>
          <cell r="BO50">
            <v>1100</v>
          </cell>
          <cell r="BP50">
            <v>4400</v>
          </cell>
          <cell r="BQ50">
            <v>1100</v>
          </cell>
          <cell r="BR50">
            <v>1100</v>
          </cell>
          <cell r="BS50">
            <v>1100</v>
          </cell>
          <cell r="BT50">
            <v>1100</v>
          </cell>
          <cell r="BU50">
            <v>4400</v>
          </cell>
          <cell r="BV50">
            <v>1100</v>
          </cell>
          <cell r="BW50">
            <v>1100</v>
          </cell>
          <cell r="BX50">
            <v>1100</v>
          </cell>
          <cell r="BY50">
            <v>1100</v>
          </cell>
          <cell r="BZ50">
            <v>4400</v>
          </cell>
          <cell r="CA50">
            <v>1100</v>
          </cell>
          <cell r="CB50">
            <v>1100</v>
          </cell>
          <cell r="CC50">
            <v>1100</v>
          </cell>
          <cell r="CD50">
            <v>1100</v>
          </cell>
          <cell r="CE50">
            <v>4400</v>
          </cell>
          <cell r="CH50" t="str">
            <v>mstag:minorityInterestsInNetIncome</v>
          </cell>
          <cell r="CI50">
            <v>3</v>
          </cell>
          <cell r="CJ50" t="str">
            <v>ISO4217:USD</v>
          </cell>
          <cell r="CK50" t="b">
            <v>1</v>
          </cell>
          <cell r="CL50" t="b">
            <v>0</v>
          </cell>
        </row>
        <row r="51">
          <cell r="A51" t="str">
            <v xml:space="preserve">  U.S. Fund Non-controlling Interests Expense</v>
          </cell>
          <cell r="AZ51">
            <v>-21000</v>
          </cell>
          <cell r="BA51">
            <v>-21000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H51" t="str">
            <v>mstag:minorityInterestsInNetIncome</v>
          </cell>
          <cell r="CI51">
            <v>3</v>
          </cell>
          <cell r="CJ51" t="str">
            <v>ISO4217:USD</v>
          </cell>
          <cell r="CK51" t="b">
            <v>1</v>
          </cell>
          <cell r="CL51" t="b">
            <v>0</v>
          </cell>
        </row>
        <row r="52">
          <cell r="A52" t="str">
            <v xml:space="preserve">  Net Fees Paid to Brookfield</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row>
        <row r="53">
          <cell r="A53" t="str">
            <v xml:space="preserve">  U.S. Fund Non-controlling Interest in Depreciation</v>
          </cell>
          <cell r="AZ53">
            <v>45000</v>
          </cell>
          <cell r="BA53">
            <v>45000</v>
          </cell>
          <cell r="BB53">
            <v>36000</v>
          </cell>
          <cell r="BC53">
            <v>65000</v>
          </cell>
          <cell r="BD53">
            <v>45000</v>
          </cell>
          <cell r="BE53">
            <v>45000</v>
          </cell>
          <cell r="BF53">
            <v>191000</v>
          </cell>
          <cell r="BG53">
            <v>45000</v>
          </cell>
          <cell r="BH53">
            <v>45000</v>
          </cell>
          <cell r="BI53">
            <v>45000</v>
          </cell>
          <cell r="BJ53">
            <v>45000</v>
          </cell>
          <cell r="BK53">
            <v>180000</v>
          </cell>
          <cell r="BL53">
            <v>45000</v>
          </cell>
          <cell r="BM53">
            <v>45000</v>
          </cell>
          <cell r="BN53">
            <v>45000</v>
          </cell>
          <cell r="BO53">
            <v>45000</v>
          </cell>
          <cell r="BP53">
            <v>180000</v>
          </cell>
          <cell r="BQ53">
            <v>45000</v>
          </cell>
          <cell r="BR53">
            <v>45000</v>
          </cell>
          <cell r="BS53">
            <v>45000</v>
          </cell>
          <cell r="BT53">
            <v>45000</v>
          </cell>
          <cell r="BU53">
            <v>180000</v>
          </cell>
          <cell r="BV53">
            <v>45000</v>
          </cell>
          <cell r="BW53">
            <v>45000</v>
          </cell>
          <cell r="BX53">
            <v>45000</v>
          </cell>
          <cell r="BY53">
            <v>45000</v>
          </cell>
          <cell r="BZ53">
            <v>180000</v>
          </cell>
          <cell r="CA53">
            <v>45000</v>
          </cell>
          <cell r="CB53">
            <v>45000</v>
          </cell>
          <cell r="CC53">
            <v>45000</v>
          </cell>
          <cell r="CD53">
            <v>45000</v>
          </cell>
          <cell r="CE53">
            <v>180000</v>
          </cell>
          <cell r="CH53" t="str">
            <v>mstag:minorityInterestsInNetIncome</v>
          </cell>
          <cell r="CI53">
            <v>3</v>
          </cell>
          <cell r="CJ53" t="str">
            <v>ISO4217:USD</v>
          </cell>
          <cell r="CK53" t="b">
            <v>1</v>
          </cell>
          <cell r="CL53" t="b">
            <v>0</v>
          </cell>
        </row>
        <row r="54">
          <cell r="A54" t="str">
            <v xml:space="preserve">  Non-cash taxes and other provisions</v>
          </cell>
          <cell r="N54">
            <v>11000</v>
          </cell>
          <cell r="O54">
            <v>11000</v>
          </cell>
          <cell r="P54">
            <v>14000</v>
          </cell>
          <cell r="Q54">
            <v>14000</v>
          </cell>
          <cell r="R54">
            <v>50000</v>
          </cell>
          <cell r="S54">
            <v>18000</v>
          </cell>
          <cell r="T54">
            <v>24000</v>
          </cell>
          <cell r="U54">
            <v>21000</v>
          </cell>
          <cell r="V54">
            <v>9000</v>
          </cell>
          <cell r="W54">
            <v>72000</v>
          </cell>
          <cell r="X54">
            <v>23000</v>
          </cell>
          <cell r="Y54">
            <v>14000</v>
          </cell>
          <cell r="Z54">
            <v>11000</v>
          </cell>
          <cell r="AA54">
            <v>8000</v>
          </cell>
          <cell r="AB54">
            <v>56000</v>
          </cell>
          <cell r="AC54">
            <v>21000</v>
          </cell>
          <cell r="AD54">
            <v>12000</v>
          </cell>
          <cell r="AE54">
            <v>16000</v>
          </cell>
          <cell r="AF54">
            <v>9000</v>
          </cell>
          <cell r="AG54">
            <v>58000</v>
          </cell>
          <cell r="AH54">
            <v>18000</v>
          </cell>
          <cell r="AI54">
            <v>17000</v>
          </cell>
          <cell r="AJ54">
            <v>21000</v>
          </cell>
          <cell r="AK54">
            <v>46000</v>
          </cell>
          <cell r="AL54">
            <v>102000</v>
          </cell>
          <cell r="AM54">
            <v>30000</v>
          </cell>
          <cell r="AN54">
            <v>47000</v>
          </cell>
          <cell r="AO54">
            <v>22000</v>
          </cell>
          <cell r="AP54">
            <v>17000</v>
          </cell>
          <cell r="AQ54">
            <v>116000</v>
          </cell>
          <cell r="AR54">
            <v>20000</v>
          </cell>
          <cell r="AS54">
            <v>19000</v>
          </cell>
          <cell r="AT54">
            <v>22000</v>
          </cell>
          <cell r="AU54">
            <v>42000</v>
          </cell>
          <cell r="AV54">
            <v>103000</v>
          </cell>
          <cell r="AW54">
            <v>27000</v>
          </cell>
          <cell r="AX54">
            <v>39000</v>
          </cell>
          <cell r="AY54">
            <v>23000</v>
          </cell>
          <cell r="AZ54">
            <v>6000</v>
          </cell>
          <cell r="BA54">
            <v>95000</v>
          </cell>
          <cell r="BB54">
            <v>26000</v>
          </cell>
          <cell r="BC54">
            <v>47000</v>
          </cell>
          <cell r="BD54">
            <v>22000</v>
          </cell>
          <cell r="BE54">
            <v>9000</v>
          </cell>
          <cell r="BF54">
            <v>104000</v>
          </cell>
          <cell r="BG54">
            <v>-169.40676703008768</v>
          </cell>
          <cell r="BH54">
            <v>1661.0511921254165</v>
          </cell>
          <cell r="BI54">
            <v>522.76213711333526</v>
          </cell>
          <cell r="BJ54">
            <v>1941.4415952040642</v>
          </cell>
          <cell r="BK54">
            <v>3955.8481574127281</v>
          </cell>
          <cell r="BL54">
            <v>969.88101169570496</v>
          </cell>
          <cell r="BM54">
            <v>2812.7659009468834</v>
          </cell>
          <cell r="BN54">
            <v>1701.021325785815</v>
          </cell>
          <cell r="BO54">
            <v>2844.4854894241175</v>
          </cell>
          <cell r="BP54">
            <v>8328.1537278525211</v>
          </cell>
          <cell r="BQ54">
            <v>1837.9908069251621</v>
          </cell>
          <cell r="BR54">
            <v>3516.8900215826361</v>
          </cell>
          <cell r="BS54">
            <v>2509.9719710948052</v>
          </cell>
          <cell r="BT54">
            <v>3477.7361577025936</v>
          </cell>
          <cell r="BU54">
            <v>11342.588957305197</v>
          </cell>
          <cell r="BV54">
            <v>4503.292700306607</v>
          </cell>
          <cell r="BW54">
            <v>4258.2006248851712</v>
          </cell>
          <cell r="BX54">
            <v>3196.0727081420091</v>
          </cell>
          <cell r="BY54">
            <v>4191.4863966689945</v>
          </cell>
          <cell r="BZ54">
            <v>16149.052430002783</v>
          </cell>
          <cell r="CA54">
            <v>5306.8790068721164</v>
          </cell>
          <cell r="CB54">
            <v>5541.7822992044212</v>
          </cell>
          <cell r="CC54">
            <v>4380.3955099618433</v>
          </cell>
          <cell r="CD54">
            <v>5489.5615918380436</v>
          </cell>
          <cell r="CE54">
            <v>20718.618407876424</v>
          </cell>
          <cell r="CH54" t="str">
            <v>mstag:taxExpenseIncome</v>
          </cell>
          <cell r="CI54">
            <v>3</v>
          </cell>
          <cell r="CJ54" t="str">
            <v>ISO4217:USD</v>
          </cell>
          <cell r="CK54" t="b">
            <v>0</v>
          </cell>
          <cell r="CL54" t="b">
            <v>0</v>
          </cell>
        </row>
        <row r="55">
          <cell r="A55" t="str">
            <v>Net income</v>
          </cell>
          <cell r="N55">
            <v>30000</v>
          </cell>
          <cell r="O55">
            <v>32000</v>
          </cell>
          <cell r="P55">
            <v>36000</v>
          </cell>
          <cell r="Q55">
            <v>55000</v>
          </cell>
          <cell r="R55">
            <v>173000</v>
          </cell>
          <cell r="S55">
            <v>36000</v>
          </cell>
          <cell r="T55">
            <v>50000</v>
          </cell>
          <cell r="U55">
            <v>39000</v>
          </cell>
          <cell r="V55">
            <v>46000</v>
          </cell>
          <cell r="W55">
            <v>171000</v>
          </cell>
          <cell r="X55">
            <v>60000</v>
          </cell>
          <cell r="Y55">
            <v>74000</v>
          </cell>
          <cell r="Z55">
            <v>53000</v>
          </cell>
          <cell r="AA55">
            <v>54000</v>
          </cell>
          <cell r="AB55">
            <v>241000</v>
          </cell>
          <cell r="AC55">
            <v>80000</v>
          </cell>
          <cell r="AD55">
            <v>60000</v>
          </cell>
          <cell r="AE55">
            <v>74000</v>
          </cell>
          <cell r="AF55">
            <v>66000</v>
          </cell>
          <cell r="AG55">
            <v>280000</v>
          </cell>
          <cell r="AH55">
            <v>50000</v>
          </cell>
          <cell r="AI55">
            <v>53000</v>
          </cell>
          <cell r="AJ55">
            <v>50000</v>
          </cell>
          <cell r="AK55">
            <v>126000</v>
          </cell>
          <cell r="AL55">
            <v>279000</v>
          </cell>
          <cell r="AM55">
            <v>52000</v>
          </cell>
          <cell r="AN55">
            <v>73000</v>
          </cell>
          <cell r="AO55">
            <v>11000</v>
          </cell>
          <cell r="AP55">
            <v>2000</v>
          </cell>
          <cell r="AQ55">
            <v>138000</v>
          </cell>
          <cell r="AR55">
            <v>43000</v>
          </cell>
          <cell r="AS55">
            <v>41000</v>
          </cell>
          <cell r="AT55">
            <v>33000</v>
          </cell>
          <cell r="AU55">
            <v>47000</v>
          </cell>
          <cell r="AV55">
            <v>166000</v>
          </cell>
          <cell r="AW55">
            <v>49000</v>
          </cell>
          <cell r="AX55">
            <v>30000</v>
          </cell>
          <cell r="AY55">
            <v>35000</v>
          </cell>
          <cell r="AZ55">
            <v>21000</v>
          </cell>
          <cell r="BA55">
            <v>135000</v>
          </cell>
          <cell r="BB55">
            <v>53300</v>
          </cell>
          <cell r="BC55">
            <v>79100</v>
          </cell>
          <cell r="BD55">
            <v>5100</v>
          </cell>
          <cell r="BE55">
            <v>104850</v>
          </cell>
          <cell r="BF55">
            <v>242350</v>
          </cell>
          <cell r="BG55">
            <v>44935.799051021007</v>
          </cell>
          <cell r="BH55">
            <v>57515.112914773003</v>
          </cell>
          <cell r="BI55">
            <v>49692.537575606642</v>
          </cell>
          <cell r="BJ55">
            <v>59442.018073707928</v>
          </cell>
          <cell r="BK55">
            <v>211585.46761510847</v>
          </cell>
          <cell r="BL55">
            <v>52765.237841486596</v>
          </cell>
          <cell r="BM55">
            <v>65429.952330396081</v>
          </cell>
          <cell r="BN55">
            <v>57789.796555539186</v>
          </cell>
          <cell r="BO55">
            <v>65647.936391209078</v>
          </cell>
          <cell r="BP55">
            <v>241632.92311863089</v>
          </cell>
          <cell r="BQ55">
            <v>58731.081267591253</v>
          </cell>
          <cell r="BR55">
            <v>70268.849759431789</v>
          </cell>
          <cell r="BS55">
            <v>63349.085156912632</v>
          </cell>
          <cell r="BT55">
            <v>69999.775705989494</v>
          </cell>
          <cell r="BU55">
            <v>262348.79188992537</v>
          </cell>
          <cell r="BV55">
            <v>77047.628168218187</v>
          </cell>
          <cell r="BW55">
            <v>75363.30096101643</v>
          </cell>
          <cell r="BX55">
            <v>68064.121888731475</v>
          </cell>
          <cell r="BY55">
            <v>74904.825959330818</v>
          </cell>
          <cell r="BZ55">
            <v>295379.87697729672</v>
          </cell>
          <cell r="CA55">
            <v>82570.051841671157</v>
          </cell>
          <cell r="CB55">
            <v>84184.35946731038</v>
          </cell>
          <cell r="CC55">
            <v>76203.051365682215</v>
          </cell>
          <cell r="CD55">
            <v>83825.487161686993</v>
          </cell>
          <cell r="CE55">
            <v>326782.94983635115</v>
          </cell>
        </row>
        <row r="56">
          <cell r="A56" t="str">
            <v>Net Income Margin</v>
          </cell>
          <cell r="N56">
            <v>8.4269662921348312E-2</v>
          </cell>
          <cell r="O56">
            <v>7.8817733990147784E-2</v>
          </cell>
          <cell r="P56">
            <v>7.9470198675496692E-2</v>
          </cell>
          <cell r="Q56">
            <v>9.838998211091235E-2</v>
          </cell>
          <cell r="R56">
            <v>9.6432552954292081E-2</v>
          </cell>
          <cell r="S56">
            <v>9.4488188976377951E-2</v>
          </cell>
          <cell r="T56">
            <v>0.102880658436214</v>
          </cell>
          <cell r="U56">
            <v>8.2278481012658222E-2</v>
          </cell>
          <cell r="V56">
            <v>0.13218390804597702</v>
          </cell>
          <cell r="W56">
            <v>8.317120622568093E-2</v>
          </cell>
          <cell r="X56">
            <v>0.16949152542372881</v>
          </cell>
          <cell r="Y56">
            <v>0.19786096256684493</v>
          </cell>
          <cell r="Z56">
            <v>0.16719242902208201</v>
          </cell>
          <cell r="AA56">
            <v>0.15835777126099707</v>
          </cell>
          <cell r="AB56">
            <v>0.17388167388167389</v>
          </cell>
          <cell r="AC56">
            <v>0.23880597014925373</v>
          </cell>
          <cell r="AD56">
            <v>0.19354838709677419</v>
          </cell>
          <cell r="AE56">
            <v>0.24666666666666667</v>
          </cell>
          <cell r="AF56">
            <v>0.17647058823529413</v>
          </cell>
          <cell r="AG56">
            <v>0.21228203184230476</v>
          </cell>
          <cell r="AH56">
            <v>0.17857142857142858</v>
          </cell>
          <cell r="AI56">
            <v>0.18466898954703834</v>
          </cell>
          <cell r="AJ56">
            <v>0.16447368421052633</v>
          </cell>
          <cell r="AK56">
            <v>0.2930232558139535</v>
          </cell>
          <cell r="AL56">
            <v>0.21445042275172943</v>
          </cell>
          <cell r="AM56">
            <v>0.16666666666666666</v>
          </cell>
          <cell r="AN56">
            <v>0.19729729729729731</v>
          </cell>
          <cell r="AO56">
            <v>3.2934131736526949E-2</v>
          </cell>
          <cell r="AP56">
            <v>5.2770448548812663E-3</v>
          </cell>
          <cell r="AQ56">
            <v>9.8924731182795697E-2</v>
          </cell>
          <cell r="AR56">
            <v>0.13271604938271606</v>
          </cell>
          <cell r="AS56">
            <v>0.11647727272727272</v>
          </cell>
          <cell r="AT56">
            <v>8.9673913043478257E-2</v>
          </cell>
          <cell r="AU56">
            <v>0.10981308411214953</v>
          </cell>
          <cell r="AV56">
            <v>0.11277173913043478</v>
          </cell>
          <cell r="AW56">
            <v>0.13066666666666665</v>
          </cell>
          <cell r="AX56">
            <v>7.4257425742574254E-2</v>
          </cell>
          <cell r="AY56">
            <v>8.557457212713937E-2</v>
          </cell>
          <cell r="AZ56">
            <v>3.2110091743119268E-2</v>
          </cell>
          <cell r="BA56">
            <v>7.3289902280130298E-2</v>
          </cell>
          <cell r="BB56">
            <v>8.5416666666666669E-2</v>
          </cell>
          <cell r="BC56">
            <v>0.11267806267806268</v>
          </cell>
          <cell r="BD56">
            <v>7.4780058651026391E-3</v>
          </cell>
          <cell r="BE56">
            <v>0.12709090909090909</v>
          </cell>
          <cell r="BF56">
            <v>8.5545358277444403E-2</v>
          </cell>
          <cell r="BG56">
            <v>6.9665476723955191E-2</v>
          </cell>
          <cell r="BH56">
            <v>8.2079019976056253E-2</v>
          </cell>
          <cell r="BI56">
            <v>7.3970850698193938E-2</v>
          </cell>
          <cell r="BJ56">
            <v>8.0152078225130277E-2</v>
          </cell>
          <cell r="BK56">
            <v>7.668496603684051E-2</v>
          </cell>
          <cell r="BL56">
            <v>8.235812449661821E-2</v>
          </cell>
          <cell r="BM56">
            <v>9.4987332649102738E-2</v>
          </cell>
          <cell r="BN56">
            <v>8.7123067486408953E-2</v>
          </cell>
          <cell r="BO56">
            <v>9.0815533283757396E-2</v>
          </cell>
          <cell r="BP56">
            <v>8.8976554188823193E-2</v>
          </cell>
          <cell r="BQ56">
            <v>9.1694635776553568E-2</v>
          </cell>
          <cell r="BR56">
            <v>0.10262180173701051</v>
          </cell>
          <cell r="BS56">
            <v>9.5824551890781373E-2</v>
          </cell>
          <cell r="BT56">
            <v>9.778210970473912E-2</v>
          </cell>
          <cell r="BU56">
            <v>9.7086646255894485E-2</v>
          </cell>
          <cell r="BV56">
            <v>0.112767745208757</v>
          </cell>
          <cell r="BW56">
            <v>0.11072697912978452</v>
          </cell>
          <cell r="BX56">
            <v>0.10331843097848314</v>
          </cell>
          <cell r="BY56">
            <v>0.10561882208564509</v>
          </cell>
          <cell r="BZ56">
            <v>0.10812471858916969</v>
          </cell>
          <cell r="CA56">
            <v>0.11910424672854929</v>
          </cell>
          <cell r="CB56">
            <v>0.12156592114433211</v>
          </cell>
          <cell r="CC56">
            <v>0.1140478743201945</v>
          </cell>
          <cell r="CD56">
            <v>0.11610794436379444</v>
          </cell>
          <cell r="CE56">
            <v>0.11772198269133173</v>
          </cell>
        </row>
        <row r="57">
          <cell r="A57" t="str">
            <v>Preferred dividends</v>
          </cell>
          <cell r="N57">
            <v>5000</v>
          </cell>
          <cell r="O57">
            <v>5000</v>
          </cell>
          <cell r="P57">
            <v>5000</v>
          </cell>
          <cell r="Q57">
            <v>4000</v>
          </cell>
          <cell r="R57">
            <v>19000</v>
          </cell>
          <cell r="S57">
            <v>5000</v>
          </cell>
          <cell r="T57">
            <v>5000</v>
          </cell>
          <cell r="U57">
            <v>5000</v>
          </cell>
          <cell r="V57">
            <v>5000</v>
          </cell>
          <cell r="W57">
            <v>20000</v>
          </cell>
          <cell r="X57">
            <v>6000</v>
          </cell>
          <cell r="Y57">
            <v>4000</v>
          </cell>
          <cell r="Z57">
            <v>4000</v>
          </cell>
          <cell r="AA57">
            <v>5000</v>
          </cell>
          <cell r="AB57">
            <v>19000</v>
          </cell>
          <cell r="AC57">
            <v>5000</v>
          </cell>
          <cell r="AD57">
            <v>4000</v>
          </cell>
          <cell r="AE57">
            <v>5000</v>
          </cell>
          <cell r="AF57">
            <v>5000</v>
          </cell>
          <cell r="AG57">
            <v>19000</v>
          </cell>
          <cell r="AH57">
            <v>4000</v>
          </cell>
          <cell r="AI57">
            <v>5000</v>
          </cell>
          <cell r="AJ57">
            <v>5000</v>
          </cell>
          <cell r="AK57">
            <v>6000</v>
          </cell>
          <cell r="AL57">
            <v>20000</v>
          </cell>
          <cell r="AM57">
            <v>1000</v>
          </cell>
          <cell r="AN57">
            <v>1000</v>
          </cell>
          <cell r="AO57">
            <v>1000</v>
          </cell>
          <cell r="AP57">
            <v>1000</v>
          </cell>
          <cell r="AQ57">
            <v>4000</v>
          </cell>
          <cell r="AR57">
            <v>1000</v>
          </cell>
          <cell r="AS57">
            <v>0</v>
          </cell>
          <cell r="AT57">
            <v>1000</v>
          </cell>
          <cell r="AU57">
            <v>0</v>
          </cell>
          <cell r="AV57">
            <v>2000</v>
          </cell>
          <cell r="AW57">
            <v>1000</v>
          </cell>
          <cell r="AX57">
            <v>0</v>
          </cell>
          <cell r="AY57">
            <v>1000</v>
          </cell>
          <cell r="AZ57">
            <v>1000</v>
          </cell>
          <cell r="BA57">
            <v>3000</v>
          </cell>
          <cell r="BB57">
            <v>1000</v>
          </cell>
          <cell r="BC57">
            <v>0</v>
          </cell>
          <cell r="BD57">
            <v>2000</v>
          </cell>
          <cell r="BE57">
            <v>0</v>
          </cell>
          <cell r="BF57">
            <v>3000</v>
          </cell>
          <cell r="BG57">
            <v>1000</v>
          </cell>
          <cell r="BH57">
            <v>0</v>
          </cell>
          <cell r="BI57">
            <v>2000</v>
          </cell>
          <cell r="BJ57">
            <v>0</v>
          </cell>
          <cell r="BK57">
            <v>3000</v>
          </cell>
          <cell r="BL57">
            <v>1000</v>
          </cell>
          <cell r="BM57">
            <v>0</v>
          </cell>
          <cell r="BN57">
            <v>2000</v>
          </cell>
          <cell r="BO57">
            <v>0</v>
          </cell>
          <cell r="BP57">
            <v>3000</v>
          </cell>
          <cell r="BQ57">
            <v>1000</v>
          </cell>
          <cell r="BR57">
            <v>0</v>
          </cell>
          <cell r="BS57">
            <v>2000</v>
          </cell>
          <cell r="BT57">
            <v>0</v>
          </cell>
          <cell r="BU57">
            <v>3000</v>
          </cell>
          <cell r="BV57">
            <v>1000</v>
          </cell>
          <cell r="BW57">
            <v>0</v>
          </cell>
          <cell r="BX57">
            <v>2000</v>
          </cell>
          <cell r="BY57">
            <v>0</v>
          </cell>
          <cell r="BZ57">
            <v>3000</v>
          </cell>
          <cell r="CA57">
            <v>1000</v>
          </cell>
          <cell r="CB57">
            <v>0</v>
          </cell>
          <cell r="CC57">
            <v>2000</v>
          </cell>
          <cell r="CD57">
            <v>0</v>
          </cell>
          <cell r="CE57">
            <v>3000</v>
          </cell>
          <cell r="CH57" t="str">
            <v>mstag:preferredDividendsPaid</v>
          </cell>
          <cell r="CI57">
            <v>3</v>
          </cell>
          <cell r="CJ57" t="str">
            <v>ISO4217:USD</v>
          </cell>
          <cell r="CK57" t="b">
            <v>0</v>
          </cell>
          <cell r="CL57" t="b">
            <v>0</v>
          </cell>
        </row>
        <row r="58">
          <cell r="A58" t="str">
            <v xml:space="preserve">Net Income Avail for Common </v>
          </cell>
          <cell r="N58">
            <v>25000</v>
          </cell>
          <cell r="O58">
            <v>27000</v>
          </cell>
          <cell r="P58">
            <v>31000</v>
          </cell>
          <cell r="Q58">
            <v>51000</v>
          </cell>
          <cell r="R58">
            <v>154000</v>
          </cell>
          <cell r="S58">
            <v>31000</v>
          </cell>
          <cell r="T58">
            <v>45000</v>
          </cell>
          <cell r="U58">
            <v>34000</v>
          </cell>
          <cell r="V58">
            <v>41000</v>
          </cell>
          <cell r="W58">
            <v>151000</v>
          </cell>
          <cell r="X58">
            <v>54000</v>
          </cell>
          <cell r="Y58">
            <v>70000</v>
          </cell>
          <cell r="Z58">
            <v>49000</v>
          </cell>
          <cell r="AA58">
            <v>49000</v>
          </cell>
          <cell r="AB58">
            <v>222000</v>
          </cell>
          <cell r="AC58">
            <v>75000</v>
          </cell>
          <cell r="AD58">
            <v>56000</v>
          </cell>
          <cell r="AE58">
            <v>69000</v>
          </cell>
          <cell r="AF58">
            <v>61000</v>
          </cell>
          <cell r="AG58">
            <v>261000</v>
          </cell>
          <cell r="AH58">
            <v>46000</v>
          </cell>
          <cell r="AI58">
            <v>48000</v>
          </cell>
          <cell r="AJ58">
            <v>45000</v>
          </cell>
          <cell r="AK58">
            <v>120000</v>
          </cell>
          <cell r="AL58">
            <v>259000</v>
          </cell>
          <cell r="AM58">
            <v>51000</v>
          </cell>
          <cell r="AN58">
            <v>72000</v>
          </cell>
          <cell r="AO58">
            <v>10000</v>
          </cell>
          <cell r="AP58">
            <v>1000</v>
          </cell>
          <cell r="AQ58">
            <v>134000</v>
          </cell>
          <cell r="AR58">
            <v>42000</v>
          </cell>
          <cell r="AS58">
            <v>41000</v>
          </cell>
          <cell r="AT58">
            <v>32000</v>
          </cell>
          <cell r="AU58">
            <v>47000</v>
          </cell>
          <cell r="AV58">
            <v>164000</v>
          </cell>
          <cell r="AW58">
            <v>48000</v>
          </cell>
          <cell r="AX58">
            <v>30000</v>
          </cell>
          <cell r="AY58">
            <v>34000</v>
          </cell>
          <cell r="AZ58">
            <v>20000</v>
          </cell>
          <cell r="BA58">
            <v>132000</v>
          </cell>
          <cell r="BB58">
            <v>52300</v>
          </cell>
          <cell r="BC58">
            <v>79100</v>
          </cell>
          <cell r="BD58">
            <v>3100</v>
          </cell>
          <cell r="BE58">
            <v>104850</v>
          </cell>
          <cell r="BF58">
            <v>239350</v>
          </cell>
          <cell r="BG58">
            <v>43935.799051021007</v>
          </cell>
          <cell r="BH58">
            <v>57515.112914773003</v>
          </cell>
          <cell r="BI58">
            <v>47692.537575606642</v>
          </cell>
          <cell r="BJ58">
            <v>59442.018073707928</v>
          </cell>
          <cell r="BK58">
            <v>208585.46761510847</v>
          </cell>
          <cell r="BL58">
            <v>51765.237841486596</v>
          </cell>
          <cell r="BM58">
            <v>65429.952330396081</v>
          </cell>
          <cell r="BN58">
            <v>55789.796555539186</v>
          </cell>
          <cell r="BO58">
            <v>65647.936391209078</v>
          </cell>
          <cell r="BP58">
            <v>238632.92311863089</v>
          </cell>
          <cell r="BQ58">
            <v>57731.081267591253</v>
          </cell>
          <cell r="BR58">
            <v>70268.849759431789</v>
          </cell>
          <cell r="BS58">
            <v>61349.085156912632</v>
          </cell>
          <cell r="BT58">
            <v>69999.775705989494</v>
          </cell>
          <cell r="BU58">
            <v>259348.79188992537</v>
          </cell>
          <cell r="BV58">
            <v>76047.628168218187</v>
          </cell>
          <cell r="BW58">
            <v>75363.30096101643</v>
          </cell>
          <cell r="BX58">
            <v>66064.121888731475</v>
          </cell>
          <cell r="BY58">
            <v>74904.825959330818</v>
          </cell>
          <cell r="BZ58">
            <v>292379.87697729672</v>
          </cell>
          <cell r="CA58">
            <v>81570.051841671157</v>
          </cell>
          <cell r="CB58">
            <v>84184.35946731038</v>
          </cell>
          <cell r="CC58">
            <v>74203.051365682215</v>
          </cell>
          <cell r="CD58">
            <v>83825.487161686993</v>
          </cell>
          <cell r="CE58">
            <v>323782.94983635115</v>
          </cell>
        </row>
        <row r="60">
          <cell r="A60" t="str">
            <v>FFO Calculation</v>
          </cell>
        </row>
        <row r="61">
          <cell r="A61" t="str">
            <v>Depreciation and amortization</v>
          </cell>
          <cell r="N61">
            <v>13000</v>
          </cell>
          <cell r="O61">
            <v>16000</v>
          </cell>
          <cell r="P61">
            <v>13000</v>
          </cell>
          <cell r="Q61">
            <v>14000</v>
          </cell>
          <cell r="R61">
            <v>56000</v>
          </cell>
          <cell r="S61">
            <v>14000</v>
          </cell>
          <cell r="T61">
            <v>16000</v>
          </cell>
          <cell r="U61">
            <v>17000</v>
          </cell>
          <cell r="V61">
            <v>19000</v>
          </cell>
          <cell r="W61">
            <v>66000</v>
          </cell>
          <cell r="X61">
            <v>18000</v>
          </cell>
          <cell r="Y61">
            <v>19000</v>
          </cell>
          <cell r="Z61">
            <v>19000</v>
          </cell>
          <cell r="AA61">
            <v>20000</v>
          </cell>
          <cell r="AB61">
            <v>76000</v>
          </cell>
          <cell r="AC61">
            <v>19000</v>
          </cell>
          <cell r="AD61">
            <v>19000</v>
          </cell>
          <cell r="AE61">
            <v>20000</v>
          </cell>
          <cell r="AF61">
            <v>22000</v>
          </cell>
          <cell r="AG61">
            <v>80000</v>
          </cell>
          <cell r="AH61">
            <v>18000</v>
          </cell>
          <cell r="AI61">
            <v>20000</v>
          </cell>
          <cell r="AJ61">
            <v>20000</v>
          </cell>
          <cell r="AK61">
            <v>21000</v>
          </cell>
          <cell r="AL61">
            <v>79000</v>
          </cell>
          <cell r="AM61">
            <v>34000</v>
          </cell>
          <cell r="AN61">
            <v>35000</v>
          </cell>
          <cell r="AO61">
            <v>37000</v>
          </cell>
          <cell r="AP61">
            <v>39000</v>
          </cell>
          <cell r="AQ61">
            <v>145000</v>
          </cell>
          <cell r="AR61">
            <v>36000</v>
          </cell>
          <cell r="AS61">
            <v>41000</v>
          </cell>
          <cell r="AT61">
            <v>42000</v>
          </cell>
          <cell r="AU61">
            <v>49000</v>
          </cell>
          <cell r="AV61">
            <v>166000</v>
          </cell>
          <cell r="AW61">
            <v>45000</v>
          </cell>
          <cell r="AX61">
            <v>51000</v>
          </cell>
          <cell r="AY61">
            <v>51000</v>
          </cell>
          <cell r="AZ61">
            <v>137000</v>
          </cell>
          <cell r="BA61">
            <v>284000</v>
          </cell>
          <cell r="BB61">
            <v>126000</v>
          </cell>
          <cell r="BC61">
            <v>133000</v>
          </cell>
          <cell r="BD61">
            <v>136000</v>
          </cell>
          <cell r="BE61">
            <v>138000</v>
          </cell>
          <cell r="BF61">
            <v>533000</v>
          </cell>
          <cell r="BG61">
            <v>141921.16504854368</v>
          </cell>
          <cell r="BH61">
            <v>142977.51866377215</v>
          </cell>
          <cell r="BI61">
            <v>142153.30517474425</v>
          </cell>
          <cell r="BJ61">
            <v>142136.42090939495</v>
          </cell>
          <cell r="BK61">
            <v>569188.40979645506</v>
          </cell>
          <cell r="BL61">
            <v>141309.7054386184</v>
          </cell>
          <cell r="BM61">
            <v>141265.94482930657</v>
          </cell>
          <cell r="BN61">
            <v>141226.46813633441</v>
          </cell>
          <cell r="BO61">
            <v>140774.48466794248</v>
          </cell>
          <cell r="BP61">
            <v>564576.60307220195</v>
          </cell>
          <cell r="BQ61">
            <v>140926.48048678366</v>
          </cell>
          <cell r="BR61">
            <v>142149.43955055217</v>
          </cell>
          <cell r="BS61">
            <v>143369.12048031646</v>
          </cell>
          <cell r="BT61">
            <v>144580.37243726623</v>
          </cell>
          <cell r="BU61">
            <v>571025.41295491857</v>
          </cell>
          <cell r="BV61">
            <v>145777.52861316266</v>
          </cell>
          <cell r="BW61">
            <v>149532.1068885779</v>
          </cell>
          <cell r="BX61">
            <v>148928.70821847414</v>
          </cell>
          <cell r="BY61">
            <v>148327.59613412007</v>
          </cell>
          <cell r="BZ61">
            <v>592565.93985433481</v>
          </cell>
          <cell r="CA61">
            <v>147722.95016200081</v>
          </cell>
          <cell r="CB61">
            <v>147138.1217266919</v>
          </cell>
          <cell r="CC61">
            <v>146560.34176283333</v>
          </cell>
          <cell r="CD61">
            <v>145984.28315048953</v>
          </cell>
          <cell r="CE61">
            <v>587405.69680201553</v>
          </cell>
          <cell r="CH61" t="str">
            <v>mstag:depreciationRealEstate</v>
          </cell>
          <cell r="CI61">
            <v>3</v>
          </cell>
          <cell r="CJ61" t="str">
            <v>ISO4217:USD</v>
          </cell>
          <cell r="CK61" t="b">
            <v>0</v>
          </cell>
          <cell r="CL61" t="b">
            <v>0</v>
          </cell>
        </row>
        <row r="62">
          <cell r="A62" t="str">
            <v>Non-cash taxes and other provisions</v>
          </cell>
          <cell r="N62">
            <v>11000</v>
          </cell>
          <cell r="O62">
            <v>11000</v>
          </cell>
          <cell r="P62">
            <v>14000</v>
          </cell>
          <cell r="Q62">
            <v>14000</v>
          </cell>
          <cell r="R62">
            <v>50000</v>
          </cell>
          <cell r="S62">
            <v>18000</v>
          </cell>
          <cell r="T62">
            <v>24000</v>
          </cell>
          <cell r="U62">
            <v>21000</v>
          </cell>
          <cell r="V62">
            <v>9000</v>
          </cell>
          <cell r="W62">
            <v>72000</v>
          </cell>
          <cell r="X62">
            <v>23000</v>
          </cell>
          <cell r="Y62">
            <v>14000</v>
          </cell>
          <cell r="Z62">
            <v>11000</v>
          </cell>
          <cell r="AA62">
            <v>8000</v>
          </cell>
          <cell r="AB62">
            <v>56000</v>
          </cell>
          <cell r="AC62">
            <v>21000</v>
          </cell>
          <cell r="AD62">
            <v>12000</v>
          </cell>
          <cell r="AE62">
            <v>16000</v>
          </cell>
          <cell r="AF62">
            <v>9000</v>
          </cell>
          <cell r="AG62">
            <v>58000</v>
          </cell>
          <cell r="AH62">
            <v>18000</v>
          </cell>
          <cell r="AI62">
            <v>17000</v>
          </cell>
          <cell r="AJ62">
            <v>21000</v>
          </cell>
          <cell r="AK62">
            <v>46000</v>
          </cell>
          <cell r="AL62">
            <v>102000</v>
          </cell>
          <cell r="AM62">
            <v>30000</v>
          </cell>
          <cell r="AN62">
            <v>47000</v>
          </cell>
          <cell r="AO62">
            <v>22000</v>
          </cell>
          <cell r="AP62">
            <v>17000</v>
          </cell>
          <cell r="AQ62">
            <v>116000</v>
          </cell>
          <cell r="AR62">
            <v>20000</v>
          </cell>
          <cell r="AS62">
            <v>19000</v>
          </cell>
          <cell r="AT62">
            <v>22000</v>
          </cell>
          <cell r="AU62">
            <v>42000</v>
          </cell>
          <cell r="AV62">
            <v>103000</v>
          </cell>
          <cell r="AW62">
            <v>39000</v>
          </cell>
          <cell r="AX62">
            <v>39000</v>
          </cell>
          <cell r="AY62">
            <v>23000</v>
          </cell>
          <cell r="AZ62">
            <v>6000</v>
          </cell>
          <cell r="BA62">
            <v>107000</v>
          </cell>
          <cell r="BB62">
            <v>26000</v>
          </cell>
          <cell r="BC62">
            <v>47000</v>
          </cell>
          <cell r="BD62">
            <v>22000</v>
          </cell>
          <cell r="BE62">
            <v>9000</v>
          </cell>
          <cell r="BF62">
            <v>104000</v>
          </cell>
          <cell r="BG62">
            <v>-169.40676703008768</v>
          </cell>
          <cell r="BH62">
            <v>1661.0511921254165</v>
          </cell>
          <cell r="BI62">
            <v>522.76213711333526</v>
          </cell>
          <cell r="BJ62">
            <v>1941.4415952040642</v>
          </cell>
          <cell r="BK62">
            <v>3955.8481574127281</v>
          </cell>
          <cell r="BL62">
            <v>969.88101169570496</v>
          </cell>
          <cell r="BM62">
            <v>2812.7659009468834</v>
          </cell>
          <cell r="BN62">
            <v>1701.021325785815</v>
          </cell>
          <cell r="BO62">
            <v>2844.4854894241175</v>
          </cell>
          <cell r="BP62">
            <v>8328.1537278525211</v>
          </cell>
          <cell r="BQ62">
            <v>1837.9908069251621</v>
          </cell>
          <cell r="BR62">
            <v>3516.8900215826361</v>
          </cell>
          <cell r="BS62">
            <v>2509.9719710948052</v>
          </cell>
          <cell r="BT62">
            <v>3477.7361577025936</v>
          </cell>
          <cell r="BU62">
            <v>11342.588957305197</v>
          </cell>
          <cell r="BV62">
            <v>4503.292700306607</v>
          </cell>
          <cell r="BW62">
            <v>4258.2006248851712</v>
          </cell>
          <cell r="BX62">
            <v>3196.0727081420091</v>
          </cell>
          <cell r="BY62">
            <v>4191.4863966689945</v>
          </cell>
          <cell r="BZ62">
            <v>16149.052430002783</v>
          </cell>
          <cell r="CA62">
            <v>5306.8790068721164</v>
          </cell>
          <cell r="CB62">
            <v>5541.7822992044212</v>
          </cell>
          <cell r="CC62">
            <v>4380.3955099618433</v>
          </cell>
          <cell r="CD62">
            <v>5489.5615918380436</v>
          </cell>
          <cell r="CE62">
            <v>20718.618407876424</v>
          </cell>
          <cell r="CH62" t="str">
            <v>mstag:otherFfoAdjustmentNareit</v>
          </cell>
          <cell r="CI62">
            <v>3</v>
          </cell>
          <cell r="CJ62" t="str">
            <v>ISO4217:USD</v>
          </cell>
          <cell r="CK62" t="b">
            <v>0</v>
          </cell>
          <cell r="CL62" t="b">
            <v>0</v>
          </cell>
        </row>
        <row r="63">
          <cell r="A63" t="str">
            <v>Unrealized foreign exchange on preferred share restatement</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-4000</v>
          </cell>
          <cell r="AN63">
            <v>-2000</v>
          </cell>
          <cell r="AO63">
            <v>28000</v>
          </cell>
          <cell r="AP63">
            <v>41000</v>
          </cell>
          <cell r="AQ63">
            <v>63000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H63" t="str">
            <v>mstag:otherFfoAdjustmentNareit</v>
          </cell>
          <cell r="CI63">
            <v>3</v>
          </cell>
          <cell r="CJ63" t="str">
            <v>ISO4217:USD</v>
          </cell>
          <cell r="CK63" t="b">
            <v>0</v>
          </cell>
          <cell r="CL63" t="b">
            <v>0</v>
          </cell>
        </row>
        <row r="64">
          <cell r="A64" t="str">
            <v>Straight-Line Rents</v>
          </cell>
          <cell r="AQ64">
            <v>0</v>
          </cell>
          <cell r="AV64">
            <v>0</v>
          </cell>
          <cell r="AZ64">
            <v>0</v>
          </cell>
          <cell r="BA64">
            <v>0</v>
          </cell>
          <cell r="BB64">
            <v>0</v>
          </cell>
          <cell r="BF64">
            <v>0</v>
          </cell>
          <cell r="BK64">
            <v>0</v>
          </cell>
          <cell r="BP64">
            <v>0</v>
          </cell>
          <cell r="BU64">
            <v>0</v>
          </cell>
          <cell r="BZ64">
            <v>0</v>
          </cell>
          <cell r="CE64">
            <v>0</v>
          </cell>
          <cell r="CH64" t="str">
            <v>mstag:otherFfoAdjustmentNareit</v>
          </cell>
          <cell r="CI64">
            <v>3</v>
          </cell>
          <cell r="CJ64" t="str">
            <v>ISO4217:USD</v>
          </cell>
          <cell r="CK64" t="b">
            <v>0</v>
          </cell>
          <cell r="CL64" t="b">
            <v>0</v>
          </cell>
        </row>
        <row r="65">
          <cell r="A65" t="str">
            <v>Income from discontinued operations</v>
          </cell>
          <cell r="W65">
            <v>0</v>
          </cell>
          <cell r="AC65">
            <v>-8000</v>
          </cell>
          <cell r="AD65">
            <v>-9000</v>
          </cell>
          <cell r="AE65">
            <v>-11000</v>
          </cell>
          <cell r="AF65">
            <v>-16000</v>
          </cell>
          <cell r="AG65">
            <v>-44000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H65" t="str">
            <v>mstag:otherFfoAdjustmentNareit</v>
          </cell>
          <cell r="CI65">
            <v>3</v>
          </cell>
          <cell r="CJ65" t="str">
            <v>ISO4217:USD</v>
          </cell>
          <cell r="CK65" t="b">
            <v>0</v>
          </cell>
          <cell r="CL65" t="b">
            <v>0</v>
          </cell>
        </row>
        <row r="66">
          <cell r="A66" t="str">
            <v>Other adjustments</v>
          </cell>
          <cell r="S66">
            <v>0</v>
          </cell>
          <cell r="T66">
            <v>1000</v>
          </cell>
          <cell r="U66">
            <v>0</v>
          </cell>
          <cell r="V66">
            <v>-14000</v>
          </cell>
          <cell r="W66">
            <v>-13000</v>
          </cell>
          <cell r="X66">
            <v>-5000</v>
          </cell>
          <cell r="Y66">
            <v>-9000</v>
          </cell>
          <cell r="Z66">
            <v>-10000</v>
          </cell>
          <cell r="AA66">
            <v>-15000</v>
          </cell>
          <cell r="AB66">
            <v>-39000</v>
          </cell>
          <cell r="AZ66">
            <v>6000</v>
          </cell>
          <cell r="BA66">
            <v>6000</v>
          </cell>
          <cell r="BB66">
            <v>2000</v>
          </cell>
          <cell r="BC66">
            <v>1000</v>
          </cell>
          <cell r="BD66">
            <v>33000</v>
          </cell>
          <cell r="BE66">
            <v>8000</v>
          </cell>
          <cell r="BF66">
            <v>44000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H66" t="str">
            <v>mstag:otherFfoAdjustmentNareit</v>
          </cell>
          <cell r="CI66">
            <v>3</v>
          </cell>
          <cell r="CJ66" t="str">
            <v>ISO4217:USD</v>
          </cell>
          <cell r="CK66" t="b">
            <v>0</v>
          </cell>
          <cell r="CL66" t="b">
            <v>0</v>
          </cell>
        </row>
        <row r="67">
          <cell r="A67" t="str">
            <v>Fund Interests</v>
          </cell>
          <cell r="N67">
            <v>0</v>
          </cell>
          <cell r="O67">
            <v>0</v>
          </cell>
          <cell r="P67">
            <v>0</v>
          </cell>
          <cell r="Q67">
            <v>0</v>
          </cell>
          <cell r="R67">
            <v>0</v>
          </cell>
          <cell r="S67">
            <v>0</v>
          </cell>
          <cell r="T67">
            <v>0</v>
          </cell>
          <cell r="U67">
            <v>0</v>
          </cell>
          <cell r="V67">
            <v>0</v>
          </cell>
          <cell r="W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-45000</v>
          </cell>
          <cell r="BA67">
            <v>-45000</v>
          </cell>
          <cell r="BB67">
            <v>-36000</v>
          </cell>
          <cell r="BC67">
            <v>-65000</v>
          </cell>
          <cell r="BD67">
            <v>-45000</v>
          </cell>
          <cell r="BE67">
            <v>-45000</v>
          </cell>
          <cell r="BF67">
            <v>-191000</v>
          </cell>
          <cell r="BG67">
            <v>-45000</v>
          </cell>
          <cell r="BH67">
            <v>-45000</v>
          </cell>
          <cell r="BI67">
            <v>-45000</v>
          </cell>
          <cell r="BJ67">
            <v>-45000</v>
          </cell>
          <cell r="BK67">
            <v>-180000</v>
          </cell>
          <cell r="BL67">
            <v>-45000</v>
          </cell>
          <cell r="BM67">
            <v>-45000</v>
          </cell>
          <cell r="BN67">
            <v>-45000</v>
          </cell>
          <cell r="BO67">
            <v>-45000</v>
          </cell>
          <cell r="BP67">
            <v>-180000</v>
          </cell>
          <cell r="BQ67">
            <v>-45000</v>
          </cell>
          <cell r="BR67">
            <v>-45000</v>
          </cell>
          <cell r="BS67">
            <v>-45000</v>
          </cell>
          <cell r="BT67">
            <v>-45000</v>
          </cell>
          <cell r="BU67">
            <v>-180000</v>
          </cell>
          <cell r="BV67">
            <v>-45000</v>
          </cell>
          <cell r="BW67">
            <v>-45000</v>
          </cell>
          <cell r="BX67">
            <v>-45000</v>
          </cell>
          <cell r="BY67">
            <v>-45000</v>
          </cell>
          <cell r="BZ67">
            <v>-180000</v>
          </cell>
          <cell r="CA67">
            <v>-45000</v>
          </cell>
          <cell r="CB67">
            <v>-45000</v>
          </cell>
          <cell r="CC67">
            <v>-45000</v>
          </cell>
          <cell r="CD67">
            <v>-45000</v>
          </cell>
          <cell r="CE67">
            <v>-180000</v>
          </cell>
          <cell r="CH67" t="str">
            <v>mstag:depreciationRealEstate</v>
          </cell>
          <cell r="CI67">
            <v>3</v>
          </cell>
          <cell r="CJ67" t="str">
            <v>ISO4217:USD</v>
          </cell>
          <cell r="CK67" t="b">
            <v>0</v>
          </cell>
          <cell r="CL67" t="b">
            <v>0</v>
          </cell>
        </row>
        <row r="68">
          <cell r="A68" t="str">
            <v>FFO including lease term. &amp; other gains</v>
          </cell>
          <cell r="N68">
            <v>49000</v>
          </cell>
          <cell r="O68">
            <v>54000</v>
          </cell>
          <cell r="P68">
            <v>58000</v>
          </cell>
          <cell r="Q68">
            <v>79000</v>
          </cell>
          <cell r="R68">
            <v>260000</v>
          </cell>
          <cell r="S68">
            <v>63000</v>
          </cell>
          <cell r="T68">
            <v>86000</v>
          </cell>
          <cell r="U68">
            <v>72000</v>
          </cell>
          <cell r="V68">
            <v>55000</v>
          </cell>
          <cell r="W68">
            <v>276000</v>
          </cell>
          <cell r="X68">
            <v>90000</v>
          </cell>
          <cell r="Y68">
            <v>94000</v>
          </cell>
          <cell r="Z68">
            <v>69000</v>
          </cell>
          <cell r="AA68">
            <v>62000</v>
          </cell>
          <cell r="AB68">
            <v>315000</v>
          </cell>
          <cell r="AC68">
            <v>107000</v>
          </cell>
          <cell r="AD68">
            <v>78000</v>
          </cell>
          <cell r="AE68">
            <v>94000</v>
          </cell>
          <cell r="AF68">
            <v>76000</v>
          </cell>
          <cell r="AG68">
            <v>355000</v>
          </cell>
          <cell r="AH68">
            <v>82000</v>
          </cell>
          <cell r="AI68">
            <v>85000</v>
          </cell>
          <cell r="AJ68">
            <v>86000</v>
          </cell>
          <cell r="AK68">
            <v>187000</v>
          </cell>
          <cell r="AL68">
            <v>440000</v>
          </cell>
          <cell r="AM68">
            <v>111000</v>
          </cell>
          <cell r="AN68">
            <v>152000</v>
          </cell>
          <cell r="AO68">
            <v>97000</v>
          </cell>
          <cell r="AP68">
            <v>98000</v>
          </cell>
          <cell r="AQ68">
            <v>458000</v>
          </cell>
          <cell r="AR68">
            <v>98000</v>
          </cell>
          <cell r="AS68">
            <v>101000</v>
          </cell>
          <cell r="AT68">
            <v>96000</v>
          </cell>
          <cell r="AU68">
            <v>138000</v>
          </cell>
          <cell r="AV68">
            <v>433000</v>
          </cell>
          <cell r="AW68">
            <v>132000</v>
          </cell>
          <cell r="AX68">
            <v>120000</v>
          </cell>
          <cell r="AY68">
            <v>108000</v>
          </cell>
          <cell r="AZ68">
            <v>124000</v>
          </cell>
          <cell r="BA68">
            <v>484000</v>
          </cell>
          <cell r="BB68">
            <v>170300</v>
          </cell>
          <cell r="BC68">
            <v>195100</v>
          </cell>
          <cell r="BD68">
            <v>149100</v>
          </cell>
          <cell r="BE68">
            <v>214850</v>
          </cell>
          <cell r="BF68">
            <v>729350</v>
          </cell>
          <cell r="BG68">
            <v>140687.5573325346</v>
          </cell>
          <cell r="BH68">
            <v>157153.68277067057</v>
          </cell>
          <cell r="BI68">
            <v>145368.60488746423</v>
          </cell>
          <cell r="BJ68">
            <v>158519.88057830694</v>
          </cell>
          <cell r="BK68">
            <v>601729.72556897625</v>
          </cell>
          <cell r="BL68">
            <v>149044.82429180073</v>
          </cell>
          <cell r="BM68">
            <v>164508.66306064953</v>
          </cell>
          <cell r="BN68">
            <v>153717.28601765941</v>
          </cell>
          <cell r="BO68">
            <v>164266.90654857567</v>
          </cell>
          <cell r="BP68">
            <v>631537.67991868535</v>
          </cell>
          <cell r="BQ68">
            <v>155495.55256130008</v>
          </cell>
          <cell r="BR68">
            <v>170935.17933156659</v>
          </cell>
          <cell r="BS68">
            <v>162228.17760832389</v>
          </cell>
          <cell r="BT68">
            <v>173057.88430095834</v>
          </cell>
          <cell r="BU68">
            <v>661716.79380214913</v>
          </cell>
          <cell r="BV68">
            <v>181328.44948168745</v>
          </cell>
          <cell r="BW68">
            <v>184153.60847447949</v>
          </cell>
          <cell r="BX68">
            <v>173188.90281534762</v>
          </cell>
          <cell r="BY68">
            <v>182423.90849011991</v>
          </cell>
          <cell r="BZ68">
            <v>721094.86926163442</v>
          </cell>
          <cell r="CA68">
            <v>189599.88101054408</v>
          </cell>
          <cell r="CB68">
            <v>191864.26349320667</v>
          </cell>
          <cell r="CC68">
            <v>180143.78863847739</v>
          </cell>
          <cell r="CD68">
            <v>190299.33190401457</v>
          </cell>
          <cell r="CE68">
            <v>751907.26504624309</v>
          </cell>
        </row>
        <row r="69">
          <cell r="A69" t="str">
            <v>Minority interest in lease term fees and gains</v>
          </cell>
          <cell r="R69">
            <v>0</v>
          </cell>
          <cell r="W69">
            <v>0</v>
          </cell>
          <cell r="X69">
            <v>3000</v>
          </cell>
          <cell r="Y69">
            <v>4000</v>
          </cell>
          <cell r="AB69">
            <v>7000</v>
          </cell>
          <cell r="AC69">
            <v>6000</v>
          </cell>
          <cell r="AE69">
            <v>4000</v>
          </cell>
          <cell r="AG69">
            <v>10000</v>
          </cell>
          <cell r="AK69">
            <v>1000</v>
          </cell>
          <cell r="AL69">
            <v>1000</v>
          </cell>
          <cell r="AM69">
            <v>0</v>
          </cell>
          <cell r="AN69">
            <v>1000</v>
          </cell>
          <cell r="AQ69">
            <v>1000</v>
          </cell>
          <cell r="AV69">
            <v>0</v>
          </cell>
          <cell r="AW69">
            <v>0</v>
          </cell>
          <cell r="AX69">
            <v>0</v>
          </cell>
          <cell r="AY69">
            <v>0</v>
          </cell>
          <cell r="AZ69">
            <v>0</v>
          </cell>
          <cell r="BA69">
            <v>0</v>
          </cell>
          <cell r="BB69">
            <v>5000</v>
          </cell>
          <cell r="BC69">
            <v>0</v>
          </cell>
          <cell r="BD69">
            <v>0</v>
          </cell>
          <cell r="BE69">
            <v>0</v>
          </cell>
          <cell r="BF69">
            <v>5000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H69" t="str">
            <v>mstag:otherFfoAdjustmentNareit</v>
          </cell>
          <cell r="CI69">
            <v>3</v>
          </cell>
          <cell r="CJ69" t="str">
            <v>ISO4217:USD</v>
          </cell>
          <cell r="CK69" t="b">
            <v>0</v>
          </cell>
        </row>
        <row r="70">
          <cell r="A70" t="str">
            <v>Gains from Dispositions</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-30000</v>
          </cell>
          <cell r="AX70">
            <v>-14000</v>
          </cell>
          <cell r="AY70">
            <v>0</v>
          </cell>
          <cell r="AZ70">
            <v>0</v>
          </cell>
          <cell r="BA70">
            <v>-44000</v>
          </cell>
          <cell r="BB70">
            <v>-47000</v>
          </cell>
          <cell r="BC70">
            <v>-28000</v>
          </cell>
          <cell r="BD70">
            <v>-5000</v>
          </cell>
          <cell r="BE70">
            <v>-28000</v>
          </cell>
          <cell r="BF70">
            <v>-108000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row>
        <row r="71">
          <cell r="A71" t="str">
            <v>Other adjustments</v>
          </cell>
          <cell r="N71">
            <v>0</v>
          </cell>
          <cell r="O71">
            <v>0</v>
          </cell>
          <cell r="P71">
            <v>0</v>
          </cell>
          <cell r="Q71">
            <v>-20000</v>
          </cell>
          <cell r="R71">
            <v>-20000</v>
          </cell>
          <cell r="S71">
            <v>0</v>
          </cell>
          <cell r="T71">
            <v>-20000</v>
          </cell>
          <cell r="U71">
            <v>0</v>
          </cell>
          <cell r="V71">
            <v>0</v>
          </cell>
          <cell r="W71">
            <v>-20000</v>
          </cell>
          <cell r="X71">
            <v>-25000</v>
          </cell>
          <cell r="Y71">
            <v>-30000</v>
          </cell>
          <cell r="Z71">
            <v>0</v>
          </cell>
          <cell r="AA71">
            <v>0</v>
          </cell>
          <cell r="AB71">
            <v>-55000</v>
          </cell>
          <cell r="AC71">
            <v>-40000</v>
          </cell>
          <cell r="AD71">
            <v>0</v>
          </cell>
          <cell r="AE71">
            <v>-20000</v>
          </cell>
          <cell r="AF71">
            <v>0</v>
          </cell>
          <cell r="AG71">
            <v>-60000</v>
          </cell>
          <cell r="AH71">
            <v>0</v>
          </cell>
          <cell r="AI71">
            <v>0</v>
          </cell>
          <cell r="AJ71">
            <v>0</v>
          </cell>
          <cell r="AK71">
            <v>-100000</v>
          </cell>
          <cell r="AL71">
            <v>-100000</v>
          </cell>
          <cell r="AM71">
            <v>0</v>
          </cell>
          <cell r="AN71">
            <v>-60000</v>
          </cell>
          <cell r="AO71">
            <v>0</v>
          </cell>
          <cell r="AP71">
            <v>0</v>
          </cell>
          <cell r="AQ71">
            <v>-60000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H71" t="str">
            <v>mstag:otherFfoAdjustmentNareit</v>
          </cell>
          <cell r="CI71">
            <v>3</v>
          </cell>
          <cell r="CJ71" t="str">
            <v>ISO4217:USD</v>
          </cell>
          <cell r="CK71" t="b">
            <v>0</v>
          </cell>
        </row>
        <row r="72">
          <cell r="A72" t="str">
            <v>FFO ex. lease term. and other gains</v>
          </cell>
          <cell r="N72">
            <v>49000</v>
          </cell>
          <cell r="O72">
            <v>54000</v>
          </cell>
          <cell r="P72">
            <v>58000</v>
          </cell>
          <cell r="Q72">
            <v>59000</v>
          </cell>
          <cell r="R72">
            <v>240000</v>
          </cell>
          <cell r="S72">
            <v>63000</v>
          </cell>
          <cell r="T72">
            <v>66000</v>
          </cell>
          <cell r="U72">
            <v>72000</v>
          </cell>
          <cell r="V72">
            <v>55000</v>
          </cell>
          <cell r="W72">
            <v>256000</v>
          </cell>
          <cell r="X72">
            <v>68000</v>
          </cell>
          <cell r="Y72">
            <v>68000</v>
          </cell>
          <cell r="Z72">
            <v>69000</v>
          </cell>
          <cell r="AA72">
            <v>62000</v>
          </cell>
          <cell r="AB72">
            <v>267000</v>
          </cell>
          <cell r="AC72">
            <v>73000</v>
          </cell>
          <cell r="AD72">
            <v>78000</v>
          </cell>
          <cell r="AE72">
            <v>78000</v>
          </cell>
          <cell r="AF72">
            <v>76000</v>
          </cell>
          <cell r="AG72">
            <v>305000</v>
          </cell>
          <cell r="AH72">
            <v>82000</v>
          </cell>
          <cell r="AI72">
            <v>85000</v>
          </cell>
          <cell r="AJ72">
            <v>86000</v>
          </cell>
          <cell r="AK72">
            <v>88000</v>
          </cell>
          <cell r="AL72">
            <v>341000</v>
          </cell>
          <cell r="AM72">
            <v>111000</v>
          </cell>
          <cell r="AN72">
            <v>93000</v>
          </cell>
          <cell r="AO72">
            <v>97000</v>
          </cell>
          <cell r="AP72">
            <v>98000</v>
          </cell>
          <cell r="AQ72">
            <v>399000</v>
          </cell>
          <cell r="AR72">
            <v>98000</v>
          </cell>
          <cell r="AS72">
            <v>101000</v>
          </cell>
          <cell r="AT72">
            <v>96000</v>
          </cell>
          <cell r="AU72">
            <v>138000</v>
          </cell>
          <cell r="AV72">
            <v>433000</v>
          </cell>
          <cell r="AW72">
            <v>102000</v>
          </cell>
          <cell r="AX72">
            <v>106000</v>
          </cell>
          <cell r="AY72">
            <v>108000</v>
          </cell>
          <cell r="AZ72">
            <v>124000</v>
          </cell>
          <cell r="BA72">
            <v>440000</v>
          </cell>
          <cell r="BB72">
            <v>128300</v>
          </cell>
          <cell r="BC72">
            <v>167100</v>
          </cell>
          <cell r="BD72">
            <v>144100</v>
          </cell>
          <cell r="BE72">
            <v>186850</v>
          </cell>
          <cell r="BF72">
            <v>626350</v>
          </cell>
          <cell r="BG72">
            <v>140687.5573325346</v>
          </cell>
          <cell r="BH72">
            <v>157153.68277067057</v>
          </cell>
          <cell r="BI72">
            <v>145368.60488746423</v>
          </cell>
          <cell r="BJ72">
            <v>158519.88057830694</v>
          </cell>
          <cell r="BK72">
            <v>601729.72556897625</v>
          </cell>
          <cell r="BL72">
            <v>149044.82429180073</v>
          </cell>
          <cell r="BM72">
            <v>164508.66306064953</v>
          </cell>
          <cell r="BN72">
            <v>153717.28601765941</v>
          </cell>
          <cell r="BO72">
            <v>164266.90654857567</v>
          </cell>
          <cell r="BP72">
            <v>631537.67991868535</v>
          </cell>
          <cell r="BQ72">
            <v>155495.55256130008</v>
          </cell>
          <cell r="BR72">
            <v>170935.17933156659</v>
          </cell>
          <cell r="BS72">
            <v>162228.17760832389</v>
          </cell>
          <cell r="BT72">
            <v>173057.88430095834</v>
          </cell>
          <cell r="BU72">
            <v>661716.79380214913</v>
          </cell>
          <cell r="BV72">
            <v>181328.44948168745</v>
          </cell>
          <cell r="BW72">
            <v>184153.60847447949</v>
          </cell>
          <cell r="BX72">
            <v>173188.90281534762</v>
          </cell>
          <cell r="BY72">
            <v>182423.90849011991</v>
          </cell>
          <cell r="BZ72">
            <v>721094.86926163442</v>
          </cell>
          <cell r="CA72">
            <v>189599.88101054408</v>
          </cell>
          <cell r="CB72">
            <v>191864.26349320667</v>
          </cell>
          <cell r="CC72">
            <v>180143.78863847739</v>
          </cell>
          <cell r="CD72">
            <v>190299.33190401457</v>
          </cell>
          <cell r="CE72">
            <v>751907.26504624309</v>
          </cell>
        </row>
        <row r="74">
          <cell r="A74" t="str">
            <v>FFO per share - excl.  lease term. &amp; other gains</v>
          </cell>
          <cell r="N74">
            <v>9.0542652280603347E-2</v>
          </cell>
          <cell r="O74">
            <v>9.9781760659145E-2</v>
          </cell>
          <cell r="P74">
            <v>0.10733298092954784</v>
          </cell>
          <cell r="Q74">
            <v>0.10903924078785786</v>
          </cell>
          <cell r="R74">
            <v>0.66417600664176002</v>
          </cell>
          <cell r="S74">
            <v>0.18029620090148099</v>
          </cell>
          <cell r="T74">
            <v>0.28115015974440893</v>
          </cell>
          <cell r="U74">
            <v>0.19925280199252801</v>
          </cell>
          <cell r="V74">
            <v>0.14593698175787728</v>
          </cell>
          <cell r="W74">
            <v>1.0509031198686372</v>
          </cell>
          <cell r="X74">
            <v>0.18484539585457016</v>
          </cell>
          <cell r="Y74">
            <v>0.18461956152854136</v>
          </cell>
          <cell r="Z74">
            <v>0.18711774082826121</v>
          </cell>
          <cell r="AA74">
            <v>0.16918955548420808</v>
          </cell>
          <cell r="AB74">
            <v>0.72578601948033727</v>
          </cell>
          <cell r="AC74">
            <v>0.19978106185002736</v>
          </cell>
          <cell r="AD74">
            <v>0.20307109198934645</v>
          </cell>
          <cell r="AE74">
            <v>0.21359622098993633</v>
          </cell>
          <cell r="AF74">
            <v>0.20876253261914574</v>
          </cell>
          <cell r="AG74">
            <v>0.83521599233244337</v>
          </cell>
          <cell r="AH74">
            <v>0.22580201018862728</v>
          </cell>
          <cell r="AI74">
            <v>0.23744674907465604</v>
          </cell>
          <cell r="AJ74">
            <v>0.24360880957439274</v>
          </cell>
          <cell r="AK74">
            <v>0.24800958218840274</v>
          </cell>
          <cell r="AL74">
            <v>0.95486715102607889</v>
          </cell>
          <cell r="AM74">
            <v>0.31322751322751324</v>
          </cell>
          <cell r="AN74">
            <v>0.26326963906581741</v>
          </cell>
          <cell r="AO74">
            <v>0.27459306440198161</v>
          </cell>
          <cell r="AP74">
            <v>0.27777777777777779</v>
          </cell>
          <cell r="AQ74">
            <v>1.1287927010396774</v>
          </cell>
          <cell r="AR74">
            <v>0.27813253866893711</v>
          </cell>
          <cell r="AS74">
            <v>0.28652482269503549</v>
          </cell>
          <cell r="AT74">
            <v>0.27420736932305056</v>
          </cell>
          <cell r="AU74">
            <v>0.39383561643835618</v>
          </cell>
          <cell r="AV74">
            <v>1.235730593607306</v>
          </cell>
          <cell r="AW74">
            <v>0.29159519725557459</v>
          </cell>
          <cell r="AX74">
            <v>0.30290041434490639</v>
          </cell>
          <cell r="AY74">
            <v>0.30835117773019272</v>
          </cell>
          <cell r="AZ74">
            <v>0.34287294345361535</v>
          </cell>
          <cell r="BA74">
            <v>1.2467679665639499</v>
          </cell>
          <cell r="BB74">
            <v>0.32010978043912175</v>
          </cell>
          <cell r="BC74">
            <v>0.41722846441947564</v>
          </cell>
          <cell r="BD74">
            <v>0.3614246300476549</v>
          </cell>
          <cell r="BE74">
            <v>0.4710108394252584</v>
          </cell>
          <cell r="BF74">
            <v>1.5691112920398322</v>
          </cell>
          <cell r="BG74">
            <v>0.35485142575152362</v>
          </cell>
          <cell r="BH74">
            <v>0.39688389549179548</v>
          </cell>
          <cell r="BI74">
            <v>0.36758542045139336</v>
          </cell>
          <cell r="BJ74">
            <v>0.40134774483950381</v>
          </cell>
          <cell r="BK74">
            <v>1.5205988724218078</v>
          </cell>
          <cell r="BL74">
            <v>0.37783668421634359</v>
          </cell>
          <cell r="BM74">
            <v>0.41756762944095926</v>
          </cell>
          <cell r="BN74">
            <v>0.39067200183643686</v>
          </cell>
          <cell r="BO74">
            <v>0.41801502136868957</v>
          </cell>
          <cell r="BP74">
            <v>1.6040318785903549</v>
          </cell>
          <cell r="BQ74">
            <v>0.39619839768663351</v>
          </cell>
          <cell r="BR74">
            <v>0.43609372010356745</v>
          </cell>
          <cell r="BS74">
            <v>0.41440884376757409</v>
          </cell>
          <cell r="BT74">
            <v>0.44263848270740352</v>
          </cell>
          <cell r="BU74">
            <v>1.6892643678671098</v>
          </cell>
          <cell r="BV74">
            <v>0.46438639718731173</v>
          </cell>
          <cell r="BW74">
            <v>0.47222638680515827</v>
          </cell>
          <cell r="BX74">
            <v>0.44467966294480105</v>
          </cell>
          <cell r="BY74">
            <v>0.46899354846995578</v>
          </cell>
          <cell r="BZ74">
            <v>1.8502948000031318</v>
          </cell>
          <cell r="CA74">
            <v>0.48806964217703497</v>
          </cell>
          <cell r="CB74">
            <v>0.49453515333240516</v>
          </cell>
          <cell r="CC74">
            <v>0.46492450061690865</v>
          </cell>
          <cell r="CD74">
            <v>0.49176904883862538</v>
          </cell>
          <cell r="CE74">
            <v>1.9393102817265957</v>
          </cell>
        </row>
        <row r="75">
          <cell r="AM75">
            <v>0.36585365853658536</v>
          </cell>
          <cell r="AN75">
            <v>0.39166666666666666</v>
          </cell>
          <cell r="AO75">
            <v>0.66666666666666663</v>
          </cell>
          <cell r="AP75">
            <v>0.89473684210526316</v>
          </cell>
          <cell r="AR75">
            <v>0.31746031746031744</v>
          </cell>
          <cell r="AS75">
            <v>0.31666666666666665</v>
          </cell>
          <cell r="AT75">
            <v>0.4</v>
          </cell>
          <cell r="AU75">
            <v>0.47191011235955055</v>
          </cell>
        </row>
        <row r="76">
          <cell r="A76" t="str">
            <v>Straight-Line Rent</v>
          </cell>
          <cell r="N76">
            <v>4000</v>
          </cell>
          <cell r="O76">
            <v>5000</v>
          </cell>
          <cell r="P76">
            <v>4000</v>
          </cell>
          <cell r="Q76">
            <v>4000</v>
          </cell>
          <cell r="R76">
            <v>17000</v>
          </cell>
          <cell r="S76">
            <v>4000</v>
          </cell>
          <cell r="T76">
            <v>2000</v>
          </cell>
          <cell r="U76">
            <v>3000</v>
          </cell>
          <cell r="V76">
            <v>7000</v>
          </cell>
          <cell r="W76">
            <v>16000</v>
          </cell>
          <cell r="X76">
            <v>4000</v>
          </cell>
          <cell r="Y76">
            <v>4000</v>
          </cell>
          <cell r="Z76">
            <v>3000</v>
          </cell>
          <cell r="AA76">
            <v>2000</v>
          </cell>
          <cell r="AB76">
            <v>13000</v>
          </cell>
          <cell r="AC76">
            <v>3000</v>
          </cell>
          <cell r="AD76">
            <v>4000</v>
          </cell>
          <cell r="AE76">
            <v>3000</v>
          </cell>
          <cell r="AF76">
            <v>3000</v>
          </cell>
          <cell r="AG76">
            <v>13000</v>
          </cell>
          <cell r="AH76">
            <v>3000</v>
          </cell>
          <cell r="AI76">
            <v>3000</v>
          </cell>
          <cell r="AJ76">
            <v>1000</v>
          </cell>
          <cell r="AK76">
            <v>2000</v>
          </cell>
          <cell r="AL76">
            <v>9000</v>
          </cell>
          <cell r="AM76">
            <v>5000</v>
          </cell>
          <cell r="AN76">
            <v>5000</v>
          </cell>
          <cell r="AO76">
            <v>6000</v>
          </cell>
          <cell r="AP76">
            <v>6000</v>
          </cell>
          <cell r="AQ76">
            <v>22000</v>
          </cell>
          <cell r="AR76">
            <v>5000</v>
          </cell>
          <cell r="AS76">
            <v>5000</v>
          </cell>
          <cell r="AT76">
            <v>5000</v>
          </cell>
          <cell r="AU76">
            <v>5000</v>
          </cell>
          <cell r="AV76">
            <v>20000</v>
          </cell>
          <cell r="AW76">
            <v>4000</v>
          </cell>
          <cell r="AX76">
            <v>3000</v>
          </cell>
          <cell r="AY76">
            <v>2000</v>
          </cell>
          <cell r="AZ76">
            <v>8000</v>
          </cell>
          <cell r="BA76">
            <v>17000</v>
          </cell>
          <cell r="BB76">
            <v>15000</v>
          </cell>
          <cell r="BC76">
            <v>12000</v>
          </cell>
          <cell r="BD76">
            <v>11000</v>
          </cell>
          <cell r="BE76">
            <v>9000</v>
          </cell>
          <cell r="BF76">
            <v>47000</v>
          </cell>
          <cell r="BG76">
            <v>8981.681335746991</v>
          </cell>
          <cell r="BH76">
            <v>9024.556983423714</v>
          </cell>
          <cell r="BI76">
            <v>8919.8427585802328</v>
          </cell>
          <cell r="BJ76">
            <v>8643.6008449429173</v>
          </cell>
          <cell r="BK76">
            <v>35569.681922693853</v>
          </cell>
          <cell r="BL76">
            <v>9102.5870899464735</v>
          </cell>
          <cell r="BM76">
            <v>9138.4072605003748</v>
          </cell>
          <cell r="BN76">
            <v>9024.8738462315596</v>
          </cell>
          <cell r="BO76">
            <v>8738.1573425483439</v>
          </cell>
          <cell r="BP76">
            <v>36004.02553922675</v>
          </cell>
          <cell r="BQ76">
            <v>9151.1287926746008</v>
          </cell>
          <cell r="BR76">
            <v>9182.7548331117996</v>
          </cell>
          <cell r="BS76">
            <v>9063.7694959595301</v>
          </cell>
          <cell r="BT76">
            <v>8770.5548099565731</v>
          </cell>
          <cell r="BU76">
            <v>36168.207931702505</v>
          </cell>
          <cell r="BV76">
            <v>9184.4958285956891</v>
          </cell>
          <cell r="BW76">
            <v>9213.6247147483846</v>
          </cell>
          <cell r="BX76">
            <v>9090.8576481300715</v>
          </cell>
          <cell r="BY76">
            <v>8792.472111289142</v>
          </cell>
          <cell r="BZ76">
            <v>36281.450302763289</v>
          </cell>
          <cell r="CA76">
            <v>9199.7804990024451</v>
          </cell>
          <cell r="CB76">
            <v>9219.2191804611666</v>
          </cell>
          <cell r="CC76">
            <v>9085.8671623885875</v>
          </cell>
          <cell r="CD76">
            <v>8776.2197376433487</v>
          </cell>
          <cell r="CE76">
            <v>36281.086579495546</v>
          </cell>
        </row>
        <row r="77">
          <cell r="A77" t="str">
            <v>Leasing Commissions</v>
          </cell>
          <cell r="S77">
            <v>7000</v>
          </cell>
          <cell r="T77">
            <v>7000</v>
          </cell>
          <cell r="U77">
            <v>7000</v>
          </cell>
          <cell r="V77">
            <v>7000</v>
          </cell>
          <cell r="W77">
            <v>28000</v>
          </cell>
          <cell r="X77">
            <v>10000</v>
          </cell>
          <cell r="Y77">
            <v>0</v>
          </cell>
          <cell r="Z77">
            <v>3000</v>
          </cell>
          <cell r="AA77">
            <v>2000</v>
          </cell>
          <cell r="AB77">
            <v>15000</v>
          </cell>
          <cell r="AC77">
            <v>1000</v>
          </cell>
          <cell r="AD77">
            <v>1000</v>
          </cell>
          <cell r="AE77">
            <v>1000</v>
          </cell>
          <cell r="AF77">
            <v>6000</v>
          </cell>
          <cell r="AG77">
            <v>9000</v>
          </cell>
          <cell r="AH77">
            <v>1000</v>
          </cell>
          <cell r="AI77">
            <v>2000</v>
          </cell>
          <cell r="AK77">
            <v>5000</v>
          </cell>
          <cell r="AL77">
            <v>8000</v>
          </cell>
          <cell r="AM77">
            <v>1000</v>
          </cell>
          <cell r="AN77">
            <v>10000</v>
          </cell>
          <cell r="AO77">
            <v>0</v>
          </cell>
          <cell r="AP77">
            <v>5000</v>
          </cell>
          <cell r="AQ77">
            <v>16000</v>
          </cell>
          <cell r="AR77">
            <v>1000</v>
          </cell>
          <cell r="AS77">
            <v>5000</v>
          </cell>
          <cell r="AT77">
            <v>4000</v>
          </cell>
          <cell r="AU77">
            <v>5000</v>
          </cell>
          <cell r="AV77">
            <v>15000</v>
          </cell>
          <cell r="AW77">
            <v>2000</v>
          </cell>
          <cell r="AX77">
            <v>8000</v>
          </cell>
          <cell r="AY77">
            <v>10000</v>
          </cell>
          <cell r="AZ77">
            <v>7000</v>
          </cell>
          <cell r="BA77">
            <v>27000</v>
          </cell>
          <cell r="BB77">
            <v>7000</v>
          </cell>
          <cell r="BC77">
            <v>9000</v>
          </cell>
          <cell r="BD77">
            <v>10000</v>
          </cell>
          <cell r="BE77">
            <v>15000</v>
          </cell>
          <cell r="BF77">
            <v>41000</v>
          </cell>
          <cell r="BG77">
            <v>15000</v>
          </cell>
          <cell r="BH77">
            <v>15000</v>
          </cell>
          <cell r="BI77">
            <v>15000</v>
          </cell>
          <cell r="BJ77">
            <v>15000</v>
          </cell>
          <cell r="BK77">
            <v>60000</v>
          </cell>
          <cell r="BL77">
            <v>15000</v>
          </cell>
          <cell r="BM77">
            <v>15000</v>
          </cell>
          <cell r="BN77">
            <v>15000</v>
          </cell>
          <cell r="BO77">
            <v>15000</v>
          </cell>
          <cell r="BP77">
            <v>60000</v>
          </cell>
          <cell r="BQ77">
            <v>15000</v>
          </cell>
          <cell r="BR77">
            <v>15000</v>
          </cell>
          <cell r="BS77">
            <v>15000</v>
          </cell>
          <cell r="BT77">
            <v>15000</v>
          </cell>
          <cell r="BU77">
            <v>60000</v>
          </cell>
          <cell r="BV77">
            <v>15000</v>
          </cell>
          <cell r="BW77">
            <v>15000</v>
          </cell>
          <cell r="BX77">
            <v>15000</v>
          </cell>
          <cell r="BY77">
            <v>15000</v>
          </cell>
          <cell r="BZ77">
            <v>60000</v>
          </cell>
          <cell r="CA77">
            <v>15000</v>
          </cell>
          <cell r="CB77">
            <v>15000</v>
          </cell>
          <cell r="CC77">
            <v>15000</v>
          </cell>
          <cell r="CD77">
            <v>15000</v>
          </cell>
          <cell r="CE77">
            <v>60000</v>
          </cell>
          <cell r="CH77" t="str">
            <v>mstag:leasingCommissions</v>
          </cell>
          <cell r="CI77">
            <v>3</v>
          </cell>
          <cell r="CJ77" t="str">
            <v>ISO4217:USD</v>
          </cell>
          <cell r="CK77" t="b">
            <v>0</v>
          </cell>
          <cell r="CL77" t="b">
            <v>0</v>
          </cell>
        </row>
        <row r="78">
          <cell r="A78" t="str">
            <v xml:space="preserve">Tenant Improvements </v>
          </cell>
          <cell r="N78">
            <v>12000</v>
          </cell>
          <cell r="O78">
            <v>12000</v>
          </cell>
          <cell r="P78">
            <v>12000</v>
          </cell>
          <cell r="Q78">
            <v>12000</v>
          </cell>
          <cell r="R78">
            <v>48000</v>
          </cell>
          <cell r="S78">
            <v>17250</v>
          </cell>
          <cell r="T78">
            <v>17250</v>
          </cell>
          <cell r="U78">
            <v>17250</v>
          </cell>
          <cell r="V78">
            <v>17250</v>
          </cell>
          <cell r="W78">
            <v>69000</v>
          </cell>
          <cell r="X78">
            <v>12000</v>
          </cell>
          <cell r="Y78">
            <v>4000</v>
          </cell>
          <cell r="Z78">
            <v>7000</v>
          </cell>
          <cell r="AA78">
            <v>12000</v>
          </cell>
          <cell r="AB78">
            <v>35000</v>
          </cell>
          <cell r="AC78">
            <v>3000</v>
          </cell>
          <cell r="AD78">
            <v>23000</v>
          </cell>
          <cell r="AE78">
            <v>7000</v>
          </cell>
          <cell r="AF78">
            <v>5000</v>
          </cell>
          <cell r="AG78">
            <v>38000</v>
          </cell>
          <cell r="AH78">
            <v>5000</v>
          </cell>
          <cell r="AI78">
            <v>0</v>
          </cell>
          <cell r="AJ78">
            <v>5000</v>
          </cell>
          <cell r="AK78">
            <v>8000</v>
          </cell>
          <cell r="AL78">
            <v>18000</v>
          </cell>
          <cell r="AM78">
            <v>7000</v>
          </cell>
          <cell r="AN78">
            <v>1000</v>
          </cell>
          <cell r="AO78">
            <v>15000</v>
          </cell>
          <cell r="AP78">
            <v>23000</v>
          </cell>
          <cell r="AQ78">
            <v>46000</v>
          </cell>
          <cell r="AR78">
            <v>33000</v>
          </cell>
          <cell r="AS78">
            <v>42000</v>
          </cell>
          <cell r="AT78">
            <v>18000</v>
          </cell>
          <cell r="AU78">
            <v>15000</v>
          </cell>
          <cell r="AV78">
            <v>108000</v>
          </cell>
          <cell r="AW78">
            <v>20000</v>
          </cell>
          <cell r="AX78">
            <v>8000</v>
          </cell>
          <cell r="AY78">
            <v>6000</v>
          </cell>
          <cell r="AZ78">
            <v>21000</v>
          </cell>
          <cell r="BA78">
            <v>55000</v>
          </cell>
          <cell r="BB78">
            <v>33000</v>
          </cell>
          <cell r="BC78">
            <v>20000</v>
          </cell>
          <cell r="BD78">
            <v>11000</v>
          </cell>
          <cell r="BE78">
            <v>32000</v>
          </cell>
          <cell r="BF78">
            <v>96000</v>
          </cell>
          <cell r="BG78">
            <v>19841.824792287091</v>
          </cell>
          <cell r="BH78">
            <v>20132.008191323854</v>
          </cell>
          <cell r="BI78">
            <v>19992.194110076674</v>
          </cell>
          <cell r="BJ78">
            <v>19499.758468828888</v>
          </cell>
          <cell r="BK78">
            <v>79465.78556251651</v>
          </cell>
          <cell r="BL78">
            <v>20531.799370431079</v>
          </cell>
          <cell r="BM78">
            <v>20777.575744476264</v>
          </cell>
          <cell r="BN78">
            <v>20652.220735573537</v>
          </cell>
          <cell r="BO78">
            <v>20182.739140834943</v>
          </cell>
          <cell r="BP78">
            <v>82144.334991315816</v>
          </cell>
          <cell r="BQ78">
            <v>21340.601774198338</v>
          </cell>
          <cell r="BR78">
            <v>21823.271452820831</v>
          </cell>
          <cell r="BS78">
            <v>21978.908959574434</v>
          </cell>
          <cell r="BT78">
            <v>21772.035471528059</v>
          </cell>
          <cell r="BU78">
            <v>86914.817658121654</v>
          </cell>
          <cell r="BV78">
            <v>23191.504061061336</v>
          </cell>
          <cell r="BW78">
            <v>23671.177774140579</v>
          </cell>
          <cell r="BX78">
            <v>23475.278988862079</v>
          </cell>
          <cell r="BY78">
            <v>22913.21047910332</v>
          </cell>
          <cell r="BZ78">
            <v>93251.171303167313</v>
          </cell>
          <cell r="CA78">
            <v>23823.375337581241</v>
          </cell>
          <cell r="CB78">
            <v>23938.576470394477</v>
          </cell>
          <cell r="CC78">
            <v>23721.439583733965</v>
          </cell>
          <cell r="CD78">
            <v>23136.718928699429</v>
          </cell>
          <cell r="CE78">
            <v>94620.110320409105</v>
          </cell>
          <cell r="CH78" t="str">
            <v>mstag:tenantImprovementsAndLeasingCommissions</v>
          </cell>
          <cell r="CI78">
            <v>3</v>
          </cell>
          <cell r="CJ78" t="str">
            <v>ISO4217:USD</v>
          </cell>
          <cell r="CK78" t="b">
            <v>0</v>
          </cell>
          <cell r="CL78" t="b">
            <v>0</v>
          </cell>
        </row>
        <row r="79">
          <cell r="A79" t="str">
            <v>Capital expenditures</v>
          </cell>
          <cell r="N79">
            <v>2500</v>
          </cell>
          <cell r="O79">
            <v>2500</v>
          </cell>
          <cell r="P79">
            <v>2500</v>
          </cell>
          <cell r="Q79">
            <v>2500</v>
          </cell>
          <cell r="R79">
            <v>10000</v>
          </cell>
          <cell r="S79">
            <v>750</v>
          </cell>
          <cell r="T79">
            <v>750</v>
          </cell>
          <cell r="U79">
            <v>750</v>
          </cell>
          <cell r="V79">
            <v>750</v>
          </cell>
          <cell r="W79">
            <v>3000</v>
          </cell>
          <cell r="X79">
            <v>1000</v>
          </cell>
          <cell r="Y79">
            <v>3000</v>
          </cell>
          <cell r="Z79">
            <v>0</v>
          </cell>
          <cell r="AA79">
            <v>2000</v>
          </cell>
          <cell r="AB79">
            <v>6000</v>
          </cell>
          <cell r="AC79">
            <v>1000</v>
          </cell>
          <cell r="AD79">
            <v>2000</v>
          </cell>
          <cell r="AE79">
            <v>0</v>
          </cell>
          <cell r="AF79">
            <v>3000</v>
          </cell>
          <cell r="AG79">
            <v>6000</v>
          </cell>
          <cell r="AH79">
            <v>1000</v>
          </cell>
          <cell r="AI79">
            <v>1000</v>
          </cell>
          <cell r="AJ79">
            <v>2000</v>
          </cell>
          <cell r="AK79">
            <v>3000</v>
          </cell>
          <cell r="AL79">
            <v>7000</v>
          </cell>
          <cell r="AM79">
            <v>2000</v>
          </cell>
          <cell r="AN79">
            <v>2000</v>
          </cell>
          <cell r="AO79">
            <v>6000</v>
          </cell>
          <cell r="AP79">
            <v>2000</v>
          </cell>
          <cell r="AQ79">
            <v>12000</v>
          </cell>
          <cell r="AR79">
            <v>0</v>
          </cell>
          <cell r="AS79">
            <v>2000</v>
          </cell>
          <cell r="AT79">
            <v>2000</v>
          </cell>
          <cell r="AU79">
            <v>2000</v>
          </cell>
          <cell r="AV79">
            <v>6000</v>
          </cell>
          <cell r="AW79">
            <v>2000</v>
          </cell>
          <cell r="AX79">
            <v>4000</v>
          </cell>
          <cell r="AY79">
            <v>5000</v>
          </cell>
          <cell r="AZ79">
            <v>11000</v>
          </cell>
          <cell r="BA79">
            <v>22000</v>
          </cell>
          <cell r="BB79">
            <v>6000</v>
          </cell>
          <cell r="BC79">
            <v>9000</v>
          </cell>
          <cell r="BD79">
            <v>19000</v>
          </cell>
          <cell r="BE79">
            <v>24000</v>
          </cell>
          <cell r="BF79">
            <v>58000</v>
          </cell>
          <cell r="BG79">
            <v>15345.016743790538</v>
          </cell>
          <cell r="BH79">
            <v>15569.435070411389</v>
          </cell>
          <cell r="BI79">
            <v>15461.30744403553</v>
          </cell>
          <cell r="BJ79">
            <v>15080.473864498841</v>
          </cell>
          <cell r="BK79">
            <v>61456.233122736303</v>
          </cell>
          <cell r="BL79">
            <v>15878.620460446928</v>
          </cell>
          <cell r="BM79">
            <v>16068.695849904934</v>
          </cell>
          <cell r="BN79">
            <v>15971.750396013111</v>
          </cell>
          <cell r="BO79">
            <v>15608.668723456174</v>
          </cell>
          <cell r="BP79">
            <v>63527.73542982115</v>
          </cell>
          <cell r="BQ79">
            <v>16504.121721452473</v>
          </cell>
          <cell r="BR79">
            <v>16877.40262568973</v>
          </cell>
          <cell r="BS79">
            <v>16997.767570552271</v>
          </cell>
          <cell r="BT79">
            <v>16837.77839762338</v>
          </cell>
          <cell r="BU79">
            <v>67217.070315317847</v>
          </cell>
          <cell r="BV79">
            <v>17935.54886489108</v>
          </cell>
          <cell r="BW79">
            <v>18306.512787605407</v>
          </cell>
          <cell r="BX79">
            <v>18155.01108997146</v>
          </cell>
          <cell r="BY79">
            <v>17720.325732969504</v>
          </cell>
          <cell r="BZ79">
            <v>72117.398475437454</v>
          </cell>
          <cell r="CA79">
            <v>18424.217393094561</v>
          </cell>
          <cell r="CB79">
            <v>18513.310172132198</v>
          </cell>
          <cell r="CC79">
            <v>18345.383623219452</v>
          </cell>
          <cell r="CD79">
            <v>17893.17983975328</v>
          </cell>
          <cell r="CE79">
            <v>73176.091028199487</v>
          </cell>
          <cell r="CH79" t="str">
            <v>mstag:recurringButNonRevenueEnhancingCapex</v>
          </cell>
          <cell r="CI79">
            <v>3</v>
          </cell>
          <cell r="CJ79" t="str">
            <v>ISO4217:USD</v>
          </cell>
          <cell r="CK79" t="b">
            <v>0</v>
          </cell>
          <cell r="CL79" t="b">
            <v>0</v>
          </cell>
        </row>
        <row r="80">
          <cell r="A80" t="str">
            <v>Adjusted cashflow from operations</v>
          </cell>
          <cell r="N80">
            <v>30500</v>
          </cell>
          <cell r="O80">
            <v>34500</v>
          </cell>
          <cell r="P80">
            <v>39500</v>
          </cell>
          <cell r="Q80">
            <v>40500</v>
          </cell>
          <cell r="R80">
            <v>165000</v>
          </cell>
          <cell r="S80">
            <v>34000</v>
          </cell>
          <cell r="T80">
            <v>39000</v>
          </cell>
          <cell r="U80">
            <v>44000</v>
          </cell>
          <cell r="V80">
            <v>23000</v>
          </cell>
          <cell r="W80">
            <v>140000</v>
          </cell>
          <cell r="X80">
            <v>41000</v>
          </cell>
          <cell r="Y80">
            <v>57000</v>
          </cell>
          <cell r="Z80">
            <v>56000</v>
          </cell>
          <cell r="AA80">
            <v>44000</v>
          </cell>
          <cell r="AB80">
            <v>198000</v>
          </cell>
          <cell r="AC80">
            <v>65000</v>
          </cell>
          <cell r="AD80">
            <v>48000</v>
          </cell>
          <cell r="AE80">
            <v>67000</v>
          </cell>
          <cell r="AF80">
            <v>59000</v>
          </cell>
          <cell r="AG80">
            <v>239000</v>
          </cell>
          <cell r="AH80">
            <v>72000</v>
          </cell>
          <cell r="AI80">
            <v>79000</v>
          </cell>
          <cell r="AJ80">
            <v>78000</v>
          </cell>
          <cell r="AK80">
            <v>70000</v>
          </cell>
          <cell r="AL80">
            <v>299000</v>
          </cell>
          <cell r="AM80">
            <v>96000</v>
          </cell>
          <cell r="AN80">
            <v>75000</v>
          </cell>
          <cell r="AO80">
            <v>70000</v>
          </cell>
          <cell r="AP80">
            <v>62000</v>
          </cell>
          <cell r="AQ80">
            <v>303000</v>
          </cell>
          <cell r="AR80">
            <v>59000</v>
          </cell>
          <cell r="AS80">
            <v>47000</v>
          </cell>
          <cell r="AT80">
            <v>67000</v>
          </cell>
          <cell r="AU80">
            <v>111000</v>
          </cell>
          <cell r="AV80">
            <v>284000</v>
          </cell>
          <cell r="AW80">
            <v>74000</v>
          </cell>
          <cell r="AX80">
            <v>83000</v>
          </cell>
          <cell r="AY80">
            <v>85000</v>
          </cell>
          <cell r="AZ80">
            <v>77000</v>
          </cell>
          <cell r="BA80">
            <v>319000</v>
          </cell>
          <cell r="BB80">
            <v>67300</v>
          </cell>
          <cell r="BC80">
            <v>117100</v>
          </cell>
          <cell r="BD80">
            <v>93100</v>
          </cell>
          <cell r="BE80">
            <v>106850</v>
          </cell>
          <cell r="BF80">
            <v>384350</v>
          </cell>
          <cell r="BG80">
            <v>81519.034460709983</v>
          </cell>
          <cell r="BH80">
            <v>97427.682525511613</v>
          </cell>
          <cell r="BI80">
            <v>85995.26057477179</v>
          </cell>
          <cell r="BJ80">
            <v>100296.0474000363</v>
          </cell>
          <cell r="BK80">
            <v>365238.0249610297</v>
          </cell>
          <cell r="BL80">
            <v>88531.817370976249</v>
          </cell>
          <cell r="BM80">
            <v>103523.98420576795</v>
          </cell>
          <cell r="BN80">
            <v>93068.4410398412</v>
          </cell>
          <cell r="BO80">
            <v>104737.3413417362</v>
          </cell>
          <cell r="BP80">
            <v>389861.5839583216</v>
          </cell>
          <cell r="BQ80">
            <v>93499.700272974675</v>
          </cell>
          <cell r="BR80">
            <v>108051.75041994422</v>
          </cell>
          <cell r="BS80">
            <v>99187.731582237655</v>
          </cell>
          <cell r="BT80">
            <v>110677.51562185033</v>
          </cell>
          <cell r="BU80">
            <v>411416.69789700687</v>
          </cell>
          <cell r="BV80">
            <v>116016.90072713935</v>
          </cell>
          <cell r="BW80">
            <v>117962.29319798513</v>
          </cell>
          <cell r="BX80">
            <v>107467.75508838402</v>
          </cell>
          <cell r="BY80">
            <v>117997.90016675794</v>
          </cell>
          <cell r="BZ80">
            <v>459444.84918026644</v>
          </cell>
          <cell r="CA80">
            <v>123152.50778086584</v>
          </cell>
          <cell r="CB80">
            <v>125193.15767021883</v>
          </cell>
          <cell r="CC80">
            <v>113991.09826913537</v>
          </cell>
          <cell r="CD80">
            <v>125493.21339791852</v>
          </cell>
          <cell r="CE80">
            <v>487829.97711813857</v>
          </cell>
        </row>
        <row r="82">
          <cell r="AB82">
            <v>-0.30936924083824158</v>
          </cell>
          <cell r="AG82">
            <v>0.15077442926009788</v>
          </cell>
          <cell r="AL82">
            <v>0.14325774385556844</v>
          </cell>
          <cell r="BK82">
            <v>-3.0917131158337829E-2</v>
          </cell>
          <cell r="BU82">
            <v>5.3136406086678578E-2</v>
          </cell>
          <cell r="BZ82">
            <v>9.5325773276885961E-2</v>
          </cell>
          <cell r="CE82">
            <v>4.8108810403246549E-2</v>
          </cell>
        </row>
        <row r="83">
          <cell r="A83" t="str">
            <v>FFO per share - incl.  lease term. &amp; other gains</v>
          </cell>
          <cell r="N83">
            <v>9.0542652280603347E-2</v>
          </cell>
          <cell r="O83">
            <v>9.9781760659145E-2</v>
          </cell>
          <cell r="P83">
            <v>0.10733298092954784</v>
          </cell>
          <cell r="Q83">
            <v>0.14600169529221643</v>
          </cell>
          <cell r="R83">
            <v>0.71952400719524012</v>
          </cell>
          <cell r="S83">
            <v>0.18029620090148099</v>
          </cell>
          <cell r="T83">
            <v>0.3663471778487753</v>
          </cell>
          <cell r="U83">
            <v>0.19925280199252801</v>
          </cell>
          <cell r="V83">
            <v>0.14593698175787728</v>
          </cell>
          <cell r="W83">
            <v>1.1330049261083743</v>
          </cell>
          <cell r="X83">
            <v>0.24464831804281345</v>
          </cell>
          <cell r="Y83">
            <v>0.25520939387768954</v>
          </cell>
          <cell r="Z83">
            <v>0.18711774082826121</v>
          </cell>
          <cell r="AA83">
            <v>0.16918955548420808</v>
          </cell>
          <cell r="AB83">
            <v>0.85626440500489231</v>
          </cell>
          <cell r="AC83">
            <v>0.29282977558839629</v>
          </cell>
          <cell r="AD83">
            <v>0.21307109198934646</v>
          </cell>
          <cell r="AE83">
            <v>0.25741083042376944</v>
          </cell>
          <cell r="AF83">
            <v>0.20876253261914574</v>
          </cell>
          <cell r="AG83">
            <v>0.9721366468131718</v>
          </cell>
          <cell r="AH83">
            <v>0.22580201018862728</v>
          </cell>
          <cell r="AI83">
            <v>0.23744674907465604</v>
          </cell>
          <cell r="AJ83">
            <v>0.24360880957439274</v>
          </cell>
          <cell r="AK83">
            <v>0.52702036215035586</v>
          </cell>
          <cell r="AL83">
            <v>1.2330110690766429</v>
          </cell>
          <cell r="AM83">
            <v>0.31322751322751324</v>
          </cell>
          <cell r="AN83">
            <v>0.4302901627742392</v>
          </cell>
          <cell r="AO83">
            <v>0.27459306440198161</v>
          </cell>
          <cell r="AP83">
            <v>0.27777777777777779</v>
          </cell>
          <cell r="AQ83">
            <v>1.295706909965344</v>
          </cell>
          <cell r="AR83">
            <v>0.27813253866893711</v>
          </cell>
          <cell r="AS83">
            <v>0.28652482269503549</v>
          </cell>
          <cell r="AT83">
            <v>0.27420736932305056</v>
          </cell>
          <cell r="AU83">
            <v>0.39383561643835618</v>
          </cell>
          <cell r="AV83">
            <v>1.235730593607306</v>
          </cell>
          <cell r="AW83">
            <v>0.37735849056603776</v>
          </cell>
          <cell r="AX83">
            <v>0.34290612944706389</v>
          </cell>
          <cell r="AY83">
            <v>0.30835117773019272</v>
          </cell>
          <cell r="AZ83">
            <v>0.34287294345361535</v>
          </cell>
          <cell r="BA83">
            <v>1.371444763220345</v>
          </cell>
          <cell r="BB83">
            <v>0.42490019960079839</v>
          </cell>
          <cell r="BC83">
            <v>0.48714107365792758</v>
          </cell>
          <cell r="BD83">
            <v>0.37396538750940556</v>
          </cell>
          <cell r="BE83">
            <v>0.54159314343332499</v>
          </cell>
          <cell r="BF83">
            <v>1.8271434834345839</v>
          </cell>
          <cell r="BG83">
            <v>0.35485142575152362</v>
          </cell>
          <cell r="BH83">
            <v>0.39688389549179548</v>
          </cell>
          <cell r="BI83">
            <v>0.36758542045139336</v>
          </cell>
          <cell r="BJ83">
            <v>0.40134774483950381</v>
          </cell>
          <cell r="BK83">
            <v>1.5205988724218078</v>
          </cell>
          <cell r="BL83">
            <v>0.37783668421634359</v>
          </cell>
          <cell r="BM83">
            <v>0.41756762944095926</v>
          </cell>
          <cell r="BN83">
            <v>0.39067200183643686</v>
          </cell>
          <cell r="BO83">
            <v>0.41801502136868957</v>
          </cell>
          <cell r="BP83">
            <v>1.6040318785903549</v>
          </cell>
          <cell r="BQ83">
            <v>0.39619839768663351</v>
          </cell>
          <cell r="BR83">
            <v>0.43609372010356745</v>
          </cell>
          <cell r="BS83">
            <v>0.41440884376757409</v>
          </cell>
          <cell r="BT83">
            <v>0.44263848270740352</v>
          </cell>
          <cell r="BU83">
            <v>1.6892643678671098</v>
          </cell>
          <cell r="BV83">
            <v>0.46438639718731173</v>
          </cell>
          <cell r="BW83">
            <v>0.47222638680515827</v>
          </cell>
          <cell r="BX83">
            <v>0.44467966294480105</v>
          </cell>
          <cell r="BY83">
            <v>0.46899354846995578</v>
          </cell>
          <cell r="BZ83">
            <v>1.8502948000031318</v>
          </cell>
          <cell r="CA83">
            <v>0.48806964217703497</v>
          </cell>
          <cell r="CB83">
            <v>0.49453515333240516</v>
          </cell>
          <cell r="CC83">
            <v>0.46492450061690865</v>
          </cell>
          <cell r="CD83">
            <v>0.49176904883862538</v>
          </cell>
          <cell r="CE83">
            <v>1.9393102817265957</v>
          </cell>
        </row>
        <row r="84">
          <cell r="A84" t="str">
            <v>Net income per share - fully diluted</v>
          </cell>
          <cell r="N84">
            <v>5.5434276906491844E-2</v>
          </cell>
          <cell r="O84">
            <v>5.9129932242456294E-2</v>
          </cell>
          <cell r="P84">
            <v>6.6620470921788313E-2</v>
          </cell>
          <cell r="Q84">
            <v>0.10164674988698613</v>
          </cell>
          <cell r="R84">
            <v>0.47876020478760206</v>
          </cell>
          <cell r="S84">
            <v>0.103026400515132</v>
          </cell>
          <cell r="T84">
            <v>0.21299254526091588</v>
          </cell>
          <cell r="U84">
            <v>0.10792860107928601</v>
          </cell>
          <cell r="V84">
            <v>0.12205638474295191</v>
          </cell>
          <cell r="W84">
            <v>0.70197044334975367</v>
          </cell>
          <cell r="X84">
            <v>0.16309887869520898</v>
          </cell>
          <cell r="Y84">
            <v>0.20090952283988325</v>
          </cell>
          <cell r="Z84">
            <v>0.3</v>
          </cell>
          <cell r="AA84">
            <v>0.3</v>
          </cell>
          <cell r="AB84">
            <v>0.96400840153509226</v>
          </cell>
          <cell r="AC84">
            <v>0.21893814997263272</v>
          </cell>
          <cell r="AD84">
            <v>0.16390083999180496</v>
          </cell>
          <cell r="AE84">
            <v>0.20264256863147806</v>
          </cell>
          <cell r="AF84">
            <v>0.18129377832715288</v>
          </cell>
          <cell r="AG84">
            <v>0.76675566509207915</v>
          </cell>
          <cell r="AH84">
            <v>0.13768415255404104</v>
          </cell>
          <cell r="AI84">
            <v>0.14805503177596202</v>
          </cell>
          <cell r="AJ84">
            <v>0.14163302882232137</v>
          </cell>
          <cell r="AK84">
            <v>0.35510462904248574</v>
          </cell>
          <cell r="AL84">
            <v>0.78184110970996212</v>
          </cell>
          <cell r="AM84">
            <v>0.14673721340388007</v>
          </cell>
          <cell r="AN84">
            <v>0.20665251238499646</v>
          </cell>
          <cell r="AO84">
            <v>3.113941967445152E-2</v>
          </cell>
          <cell r="AP84">
            <v>5.6689342403628117E-3</v>
          </cell>
          <cell r="AQ84">
            <v>0.39040950562274562</v>
          </cell>
          <cell r="AR84">
            <v>0.12203774655881935</v>
          </cell>
          <cell r="AS84">
            <v>0.11631205673758865</v>
          </cell>
          <cell r="AT84">
            <v>9.4258783204798635E-2</v>
          </cell>
          <cell r="AU84">
            <v>0.1341324200913242</v>
          </cell>
          <cell r="AV84">
            <v>0.47374429223744291</v>
          </cell>
          <cell r="AW84">
            <v>0.1400800457404231</v>
          </cell>
          <cell r="AX84">
            <v>8.5726532361765972E-2</v>
          </cell>
          <cell r="AY84">
            <v>9.9928622412562451E-2</v>
          </cell>
          <cell r="AZ84">
            <v>5.8067192036499377E-2</v>
          </cell>
          <cell r="BA84">
            <v>0.38253108065030283</v>
          </cell>
          <cell r="BB84">
            <v>0.13298403193612773</v>
          </cell>
          <cell r="BC84">
            <v>0.19750312109862672</v>
          </cell>
          <cell r="BD84">
            <v>1.2791572610985704E-2</v>
          </cell>
          <cell r="BE84">
            <v>0.26430552054449208</v>
          </cell>
          <cell r="BF84">
            <v>0.60712719984968999</v>
          </cell>
          <cell r="BG84">
            <v>0.1133400327851971</v>
          </cell>
          <cell r="BH84">
            <v>0.14525158851400288</v>
          </cell>
          <cell r="BI84">
            <v>0.12565472670090411</v>
          </cell>
          <cell r="BJ84">
            <v>0.15049796792400855</v>
          </cell>
          <cell r="BK84">
            <v>0.53468627160167481</v>
          </cell>
          <cell r="BL84">
            <v>0.13376272945165793</v>
          </cell>
          <cell r="BM84">
            <v>0.16607897469184249</v>
          </cell>
          <cell r="BN84">
            <v>0.14687258727349137</v>
          </cell>
          <cell r="BO84">
            <v>0.16705631164525986</v>
          </cell>
          <cell r="BP84">
            <v>0.61371937720194414</v>
          </cell>
          <cell r="BQ84">
            <v>0.14964518218905232</v>
          </cell>
          <cell r="BR84">
            <v>0.17927148886975947</v>
          </cell>
          <cell r="BS84">
            <v>0.16182405252059459</v>
          </cell>
          <cell r="BT84">
            <v>0.17904179652672533</v>
          </cell>
          <cell r="BU84">
            <v>0.66973737140052525</v>
          </cell>
          <cell r="BV84">
            <v>0.19732077651984734</v>
          </cell>
          <cell r="BW84">
            <v>0.19325464000051054</v>
          </cell>
          <cell r="BX84">
            <v>0.17476137493858407</v>
          </cell>
          <cell r="BY84">
            <v>0.19257278508586312</v>
          </cell>
          <cell r="BZ84">
            <v>0.75793057709076028</v>
          </cell>
          <cell r="CA84">
            <v>0.21255253664775506</v>
          </cell>
          <cell r="CB84">
            <v>0.2169873866001665</v>
          </cell>
          <cell r="CC84">
            <v>0.19666881589114718</v>
          </cell>
          <cell r="CD84">
            <v>0.21662072944496544</v>
          </cell>
          <cell r="CE84">
            <v>0.84283470046217313</v>
          </cell>
        </row>
        <row r="85">
          <cell r="A85" t="str">
            <v>Adjusted FFO per share -  fully diluted</v>
          </cell>
          <cell r="N85">
            <v>5.6358181521600041E-2</v>
          </cell>
          <cell r="O85">
            <v>6.3749458198898185E-2</v>
          </cell>
          <cell r="P85">
            <v>7.3097461150295501E-2</v>
          </cell>
          <cell r="Q85">
            <v>7.4848970371326151E-2</v>
          </cell>
          <cell r="R85">
            <v>0.45662100456621002</v>
          </cell>
          <cell r="S85">
            <v>9.7302711597624672E-2</v>
          </cell>
          <cell r="T85">
            <v>0.16613418530351437</v>
          </cell>
          <cell r="U85">
            <v>0.12176560121765601</v>
          </cell>
          <cell r="V85">
            <v>6.1028192371475956E-2</v>
          </cell>
          <cell r="W85">
            <v>0.57471264367816088</v>
          </cell>
          <cell r="X85">
            <v>0.11145090044172613</v>
          </cell>
          <cell r="Y85">
            <v>0.15475463245774793</v>
          </cell>
          <cell r="Z85">
            <v>0.15186367371569026</v>
          </cell>
          <cell r="AA85">
            <v>0.12007000711782508</v>
          </cell>
          <cell r="AB85">
            <v>0.53813921373298945</v>
          </cell>
          <cell r="AC85">
            <v>0.17788724685276408</v>
          </cell>
          <cell r="AD85">
            <v>0.13112067199344396</v>
          </cell>
          <cell r="AE85">
            <v>0.18347367700417608</v>
          </cell>
          <cell r="AF85">
            <v>0.16206565032275785</v>
          </cell>
          <cell r="AG85">
            <v>0.65448072841788185</v>
          </cell>
          <cell r="AH85">
            <v>0.19826517967781909</v>
          </cell>
          <cell r="AI85">
            <v>0.22068580208115091</v>
          </cell>
          <cell r="AJ85">
            <v>0.22094752496282133</v>
          </cell>
          <cell r="AK85">
            <v>0.19728034946804762</v>
          </cell>
          <cell r="AL85">
            <v>0.83788706739526408</v>
          </cell>
          <cell r="AM85">
            <v>0.27089947089947092</v>
          </cell>
          <cell r="AN85">
            <v>0.21231422505307856</v>
          </cell>
          <cell r="AO85">
            <v>0.19815994338287332</v>
          </cell>
          <cell r="AP85">
            <v>0.17573696145124718</v>
          </cell>
          <cell r="AQ85">
            <v>0.85720347973689792</v>
          </cell>
          <cell r="AR85">
            <v>0.16744714062721724</v>
          </cell>
          <cell r="AS85">
            <v>0.13333333333333333</v>
          </cell>
          <cell r="AT85">
            <v>0.19137389317337902</v>
          </cell>
          <cell r="AU85">
            <v>0.31678082191780821</v>
          </cell>
          <cell r="AV85">
            <v>0.81050228310502281</v>
          </cell>
          <cell r="AW85">
            <v>0.2115494568324757</v>
          </cell>
          <cell r="AX85">
            <v>0.23717673953421917</v>
          </cell>
          <cell r="AY85">
            <v>0.24268379728765169</v>
          </cell>
          <cell r="AZ85">
            <v>0.21291303746716439</v>
          </cell>
          <cell r="BA85">
            <v>0.90390677575886369</v>
          </cell>
          <cell r="BB85">
            <v>0.16791417165668662</v>
          </cell>
          <cell r="BC85">
            <v>0.2923845193508115</v>
          </cell>
          <cell r="BD85">
            <v>0.23350890393779783</v>
          </cell>
          <cell r="BE85">
            <v>0.26934711368792541</v>
          </cell>
          <cell r="BF85">
            <v>0.96286090060750296</v>
          </cell>
          <cell r="BG85">
            <v>0.20561267927836144</v>
          </cell>
          <cell r="BH85">
            <v>0.24604881977782994</v>
          </cell>
          <cell r="BI85">
            <v>0.21745138188314925</v>
          </cell>
          <cell r="BJ85">
            <v>0.25393403208145715</v>
          </cell>
          <cell r="BK85">
            <v>0.92297339706154602</v>
          </cell>
          <cell r="BL85">
            <v>0.22443294144590259</v>
          </cell>
          <cell r="BM85">
            <v>0.2627719651405156</v>
          </cell>
          <cell r="BN85">
            <v>0.23653315193617275</v>
          </cell>
          <cell r="BO85">
            <v>0.26652831601305405</v>
          </cell>
          <cell r="BP85">
            <v>0.99020284741742726</v>
          </cell>
          <cell r="BQ85">
            <v>0.23823466859432688</v>
          </cell>
          <cell r="BR85">
            <v>0.27566408499759248</v>
          </cell>
          <cell r="BS85">
            <v>0.25337320413081277</v>
          </cell>
          <cell r="BT85">
            <v>0.28308521037668483</v>
          </cell>
          <cell r="BU85">
            <v>1.0502855218614278</v>
          </cell>
          <cell r="BV85">
            <v>0.29712199434515824</v>
          </cell>
          <cell r="BW85">
            <v>0.30249153387540029</v>
          </cell>
          <cell r="BX85">
            <v>0.27593410624633913</v>
          </cell>
          <cell r="BY85">
            <v>0.30336075117154193</v>
          </cell>
          <cell r="BZ85">
            <v>1.1789134156465977</v>
          </cell>
          <cell r="CA85">
            <v>0.31702024329049561</v>
          </cell>
          <cell r="CB85">
            <v>0.32268863569166839</v>
          </cell>
          <cell r="CC85">
            <v>0.29419418142641912</v>
          </cell>
          <cell r="CD85">
            <v>0.32429792354460241</v>
          </cell>
          <cell r="CE85">
            <v>1.2582052792128198</v>
          </cell>
        </row>
        <row r="87">
          <cell r="A87" t="str">
            <v>Dividend per share</v>
          </cell>
          <cell r="N87">
            <v>0</v>
          </cell>
          <cell r="O87">
            <v>0</v>
          </cell>
          <cell r="P87">
            <v>0</v>
          </cell>
          <cell r="Q87">
            <v>5.4222222222222213E-2</v>
          </cell>
          <cell r="R87">
            <v>5.4222222222222213E-2</v>
          </cell>
          <cell r="S87">
            <v>0</v>
          </cell>
          <cell r="T87">
            <v>5.3777777777777772E-2</v>
          </cell>
          <cell r="U87">
            <v>0</v>
          </cell>
          <cell r="V87">
            <v>5.9111111111111114E-2</v>
          </cell>
          <cell r="W87">
            <v>0.11288888888888889</v>
          </cell>
          <cell r="X87">
            <v>0</v>
          </cell>
          <cell r="Y87">
            <v>5.7777777777777775E-2</v>
          </cell>
          <cell r="Z87">
            <v>4.4444444444444439E-2</v>
          </cell>
          <cell r="AA87">
            <v>4.4444444444444439E-2</v>
          </cell>
          <cell r="AB87">
            <v>0.14666666666666667</v>
          </cell>
          <cell r="AC87">
            <v>4.4444444444444439E-2</v>
          </cell>
          <cell r="AD87">
            <v>4.4444444444444439E-2</v>
          </cell>
          <cell r="AE87">
            <v>4.4444444444444439E-2</v>
          </cell>
          <cell r="AF87">
            <v>4.4444444444444439E-2</v>
          </cell>
          <cell r="AG87">
            <v>0.17777777777777776</v>
          </cell>
          <cell r="AH87">
            <v>4.4444444444444439E-2</v>
          </cell>
          <cell r="AI87">
            <v>4.4444444444444439E-2</v>
          </cell>
          <cell r="AJ87">
            <v>6.6666666666666652E-2</v>
          </cell>
          <cell r="AK87">
            <v>6.6666666666666652E-2</v>
          </cell>
          <cell r="AL87">
            <v>0.22222222222222218</v>
          </cell>
          <cell r="AM87">
            <v>6.6666666666666652E-2</v>
          </cell>
          <cell r="AN87">
            <v>6.6666666666666652E-2</v>
          </cell>
          <cell r="AO87">
            <v>7.1111111111111097E-2</v>
          </cell>
          <cell r="AP87">
            <v>7.1111111111111097E-2</v>
          </cell>
          <cell r="AQ87">
            <v>0.2755555555555555</v>
          </cell>
          <cell r="AR87">
            <v>7.3333333333333334E-2</v>
          </cell>
          <cell r="AS87">
            <v>0.12</v>
          </cell>
          <cell r="AT87">
            <v>0.12</v>
          </cell>
          <cell r="AU87">
            <v>0.12</v>
          </cell>
          <cell r="AV87">
            <v>0.43333333333333335</v>
          </cell>
          <cell r="AW87">
            <v>7.9999999999999988E-2</v>
          </cell>
          <cell r="AX87">
            <v>0.12666666666666665</v>
          </cell>
          <cell r="AY87">
            <v>0.12666666666666665</v>
          </cell>
          <cell r="AZ87">
            <v>0.12666666666666665</v>
          </cell>
          <cell r="BA87">
            <v>0.45999999999999991</v>
          </cell>
          <cell r="BB87">
            <v>0.12666666666666665</v>
          </cell>
          <cell r="BC87">
            <v>0.12666666666666665</v>
          </cell>
          <cell r="BD87">
            <v>0.12666666666666665</v>
          </cell>
          <cell r="BE87">
            <v>0.12666666666666665</v>
          </cell>
          <cell r="BF87">
            <v>0.5066666666666666</v>
          </cell>
          <cell r="BG87">
            <v>0.12666666666666665</v>
          </cell>
          <cell r="BH87">
            <v>0.12666666666666665</v>
          </cell>
          <cell r="BI87">
            <v>0.12666666666666665</v>
          </cell>
          <cell r="BJ87">
            <v>0.12666666666666665</v>
          </cell>
          <cell r="BK87">
            <v>0.5066666666666666</v>
          </cell>
          <cell r="BL87">
            <v>0.12666666666666665</v>
          </cell>
          <cell r="BM87">
            <v>0.13299999999999998</v>
          </cell>
          <cell r="BN87">
            <v>0.13299999999999998</v>
          </cell>
          <cell r="BO87">
            <v>0.13299999999999998</v>
          </cell>
          <cell r="BP87">
            <v>0.52566666666666662</v>
          </cell>
          <cell r="BQ87">
            <v>0.13299999999999998</v>
          </cell>
          <cell r="BR87">
            <v>0.13965</v>
          </cell>
          <cell r="BS87">
            <v>0.13965</v>
          </cell>
          <cell r="BT87">
            <v>0.13965</v>
          </cell>
          <cell r="BU87">
            <v>1.7</v>
          </cell>
          <cell r="BV87">
            <v>0.13965</v>
          </cell>
          <cell r="BW87">
            <v>0.1466325</v>
          </cell>
          <cell r="BX87">
            <v>0.1466325</v>
          </cell>
          <cell r="BY87">
            <v>0.1466325</v>
          </cell>
          <cell r="BZ87">
            <v>0.57954749999999999</v>
          </cell>
          <cell r="CA87">
            <v>0.1466325</v>
          </cell>
          <cell r="CB87">
            <v>0.15396412500000001</v>
          </cell>
          <cell r="CC87">
            <v>0.15396412500000001</v>
          </cell>
          <cell r="CD87">
            <v>0.15396412500000001</v>
          </cell>
          <cell r="CE87">
            <v>0.60852487500000008</v>
          </cell>
          <cell r="CH87" t="str">
            <v>mstag:dividendsPerShare</v>
          </cell>
          <cell r="CI87">
            <v>0</v>
          </cell>
          <cell r="CJ87" t="str">
            <v>ISO4217:USD</v>
          </cell>
          <cell r="CK87" t="b">
            <v>0</v>
          </cell>
          <cell r="CL87" t="b">
            <v>0</v>
          </cell>
        </row>
        <row r="88">
          <cell r="A88" t="str">
            <v>Net Income Payout</v>
          </cell>
          <cell r="AI88">
            <v>0.30018867924528297</v>
          </cell>
          <cell r="AJ88">
            <v>0.4706999999999999</v>
          </cell>
          <cell r="AK88">
            <v>0.1877380952380952</v>
          </cell>
          <cell r="AL88">
            <v>0.28422939068100356</v>
          </cell>
          <cell r="AM88">
            <v>0.45432692307692296</v>
          </cell>
          <cell r="AN88">
            <v>0.32260273972602732</v>
          </cell>
          <cell r="AO88">
            <v>2.2836363636363632</v>
          </cell>
          <cell r="AP88">
            <v>12.543999999999997</v>
          </cell>
          <cell r="AQ88">
            <v>0.70581159420289841</v>
          </cell>
          <cell r="AR88">
            <v>0.60090697674418603</v>
          </cell>
          <cell r="AS88">
            <v>1.0317073170731708</v>
          </cell>
          <cell r="AT88">
            <v>1.2730909090909091</v>
          </cell>
          <cell r="AU88">
            <v>0.89463829787234039</v>
          </cell>
          <cell r="AV88">
            <v>0.91469879518072295</v>
          </cell>
          <cell r="AW88">
            <v>0.57110204081632643</v>
          </cell>
          <cell r="AX88">
            <v>1.4775666666666665</v>
          </cell>
          <cell r="AY88">
            <v>1.2675714285714283</v>
          </cell>
          <cell r="AZ88">
            <v>2.1813809523809522</v>
          </cell>
          <cell r="BA88">
            <v>1.2025166666666665</v>
          </cell>
          <cell r="BB88">
            <v>0.95249530956848028</v>
          </cell>
          <cell r="BC88">
            <v>0.64134007585335007</v>
          </cell>
          <cell r="BD88">
            <v>9.9023529411764688</v>
          </cell>
          <cell r="BE88">
            <v>0.47924336353520891</v>
          </cell>
          <cell r="BF88">
            <v>0.83453132521834805</v>
          </cell>
          <cell r="BG88">
            <v>1.1175809954698557</v>
          </cell>
          <cell r="BH88">
            <v>0.87205013013992227</v>
          </cell>
          <cell r="BI88">
            <v>1.0080533378435597</v>
          </cell>
          <cell r="BJ88">
            <v>0.84165034527658789</v>
          </cell>
          <cell r="BK88">
            <v>0.94759617663069162</v>
          </cell>
          <cell r="BL88">
            <v>0.94695037388904502</v>
          </cell>
          <cell r="BM88">
            <v>0.80082382641619665</v>
          </cell>
          <cell r="BN88">
            <v>0.90554679037784469</v>
          </cell>
          <cell r="BO88">
            <v>0.79613873124663703</v>
          </cell>
          <cell r="BP88">
            <v>0.8565261032872622</v>
          </cell>
          <cell r="BQ88">
            <v>0.88876900715705065</v>
          </cell>
          <cell r="BR88">
            <v>0.77898611140255303</v>
          </cell>
          <cell r="BS88">
            <v>0.86297430959608057</v>
          </cell>
          <cell r="BT88">
            <v>0.77998547104142035</v>
          </cell>
          <cell r="BU88">
            <v>2.5383084065400663</v>
          </cell>
          <cell r="BV88">
            <v>0.70773084549438425</v>
          </cell>
          <cell r="BW88">
            <v>0.75875280407038415</v>
          </cell>
          <cell r="BX88">
            <v>0.83904409685224024</v>
          </cell>
          <cell r="BY88">
            <v>0.76143936919549893</v>
          </cell>
          <cell r="BZ88">
            <v>0.76464456972369998</v>
          </cell>
          <cell r="CA88">
            <v>0.68986473797299985</v>
          </cell>
          <cell r="CB88">
            <v>0.70955334046076701</v>
          </cell>
          <cell r="CC88">
            <v>0.78285987690705638</v>
          </cell>
          <cell r="CD88">
            <v>0.71075434652303704</v>
          </cell>
          <cell r="CE88">
            <v>0.721997889581803</v>
          </cell>
        </row>
        <row r="89">
          <cell r="A89" t="str">
            <v>FFO payout</v>
          </cell>
          <cell r="N89">
            <v>0</v>
          </cell>
          <cell r="O89">
            <v>0</v>
          </cell>
          <cell r="P89">
            <v>0</v>
          </cell>
          <cell r="Q89">
            <v>0.49727255830508466</v>
          </cell>
          <cell r="R89">
            <v>8.1638333333333327E-2</v>
          </cell>
          <cell r="S89">
            <v>0</v>
          </cell>
          <cell r="T89">
            <v>0.19127777777777777</v>
          </cell>
          <cell r="U89">
            <v>0</v>
          </cell>
          <cell r="V89">
            <v>0.40504545454545454</v>
          </cell>
          <cell r="W89">
            <v>0.10742083333333333</v>
          </cell>
          <cell r="X89">
            <v>0</v>
          </cell>
          <cell r="Y89">
            <v>0.31295588235294119</v>
          </cell>
          <cell r="Z89">
            <v>0.23752127536231882</v>
          </cell>
          <cell r="AA89">
            <v>0.26269023709677408</v>
          </cell>
          <cell r="AB89">
            <v>0.20207976280898879</v>
          </cell>
          <cell r="AC89">
            <v>0.22246575342465752</v>
          </cell>
          <cell r="AD89">
            <v>0.21886150317631667</v>
          </cell>
          <cell r="AE89">
            <v>0.20807692307692305</v>
          </cell>
          <cell r="AF89">
            <v>0.21289473684210522</v>
          </cell>
          <cell r="AG89">
            <v>0.21285245901639341</v>
          </cell>
          <cell r="AH89">
            <v>0.19682926829268291</v>
          </cell>
          <cell r="AI89">
            <v>0.18717647058823528</v>
          </cell>
          <cell r="AJ89">
            <v>0.27366279069767435</v>
          </cell>
          <cell r="AK89">
            <v>0.26880681818181812</v>
          </cell>
          <cell r="AL89">
            <v>0.23272580063459838</v>
          </cell>
          <cell r="AM89">
            <v>0.21283783783783777</v>
          </cell>
          <cell r="AN89">
            <v>0.25322580645161286</v>
          </cell>
          <cell r="AO89">
            <v>0.25896907216494841</v>
          </cell>
          <cell r="AP89">
            <v>0.25599999999999995</v>
          </cell>
          <cell r="AQ89">
            <v>0.24411528822055134</v>
          </cell>
          <cell r="AR89">
            <v>0.2636632653061225</v>
          </cell>
          <cell r="AS89">
            <v>0.41881188118811874</v>
          </cell>
          <cell r="AT89">
            <v>0.43762499999999999</v>
          </cell>
          <cell r="AU89">
            <v>0.30469565217391303</v>
          </cell>
          <cell r="AV89">
            <v>0.35066974595842959</v>
          </cell>
          <cell r="AW89">
            <v>0.27435294117647058</v>
          </cell>
          <cell r="AX89">
            <v>0.41817924528301886</v>
          </cell>
          <cell r="AY89">
            <v>0.41078703703703701</v>
          </cell>
          <cell r="AZ89">
            <v>0.36942741935483869</v>
          </cell>
          <cell r="BA89">
            <v>0.36895397727272722</v>
          </cell>
          <cell r="BB89">
            <v>0.39569758378799685</v>
          </cell>
          <cell r="BC89">
            <v>0.30359066427289044</v>
          </cell>
          <cell r="BD89">
            <v>0.35046495489243573</v>
          </cell>
          <cell r="BE89">
            <v>0.26892516278654888</v>
          </cell>
          <cell r="BF89">
            <v>0.32290040179878121</v>
          </cell>
          <cell r="BG89">
            <v>0.35695690498750315</v>
          </cell>
          <cell r="BH89">
            <v>0.31915295154445272</v>
          </cell>
          <cell r="BI89">
            <v>0.34459110622809935</v>
          </cell>
          <cell r="BJ89">
            <v>0.31560328492021245</v>
          </cell>
          <cell r="BK89">
            <v>0.33320205338552911</v>
          </cell>
          <cell r="BL89">
            <v>0.33524184378597616</v>
          </cell>
          <cell r="BM89">
            <v>0.31851127966519044</v>
          </cell>
          <cell r="BN89">
            <v>0.34043903677459658</v>
          </cell>
          <cell r="BO89">
            <v>0.31817038431902156</v>
          </cell>
          <cell r="BP89">
            <v>0.32771584759813482</v>
          </cell>
          <cell r="BQ89">
            <v>0.33569040353664958</v>
          </cell>
          <cell r="BR89">
            <v>0.32022933044492058</v>
          </cell>
          <cell r="BS89">
            <v>0.33698605157742312</v>
          </cell>
          <cell r="BT89">
            <v>0.31549448467704189</v>
          </cell>
          <cell r="BU89">
            <v>1.0063552113790484</v>
          </cell>
          <cell r="BV89">
            <v>0.30071940273408077</v>
          </cell>
          <cell r="BW89">
            <v>0.3105131439012554</v>
          </cell>
          <cell r="BX89">
            <v>0.32974860831043173</v>
          </cell>
          <cell r="BY89">
            <v>0.31265355457100374</v>
          </cell>
          <cell r="BZ89">
            <v>0.31321900704634692</v>
          </cell>
          <cell r="CA89">
            <v>0.30043355973943725</v>
          </cell>
          <cell r="CB89">
            <v>0.31133100238176997</v>
          </cell>
          <cell r="CC89">
            <v>0.33115941361598472</v>
          </cell>
          <cell r="CD89">
            <v>0.31308217823713325</v>
          </cell>
          <cell r="CE89">
            <v>0.31378417406121401</v>
          </cell>
        </row>
        <row r="90">
          <cell r="A90" t="str">
            <v>AFFO payout</v>
          </cell>
          <cell r="N90">
            <v>0</v>
          </cell>
          <cell r="O90">
            <v>0</v>
          </cell>
          <cell r="P90">
            <v>0</v>
          </cell>
          <cell r="Q90">
            <v>0.72442175160493827</v>
          </cell>
          <cell r="R90">
            <v>0.11874666666666665</v>
          </cell>
          <cell r="S90">
            <v>0</v>
          </cell>
          <cell r="T90">
            <v>0.32370085470085469</v>
          </cell>
          <cell r="U90">
            <v>0</v>
          </cell>
          <cell r="V90">
            <v>0.9685869565217391</v>
          </cell>
          <cell r="W90">
            <v>0.19642666666666667</v>
          </cell>
          <cell r="X90">
            <v>0</v>
          </cell>
          <cell r="Y90">
            <v>0.37335087719298243</v>
          </cell>
          <cell r="Z90">
            <v>0.29266014285714281</v>
          </cell>
          <cell r="AA90">
            <v>0.37015442499999995</v>
          </cell>
          <cell r="AB90">
            <v>0.27254409811405944</v>
          </cell>
          <cell r="AC90">
            <v>0.24984615384615383</v>
          </cell>
          <cell r="AD90">
            <v>0.33895833333333331</v>
          </cell>
          <cell r="AE90">
            <v>0.24223880597014924</v>
          </cell>
          <cell r="AF90">
            <v>0.27423728813559323</v>
          </cell>
          <cell r="AG90">
            <v>0.27163179916317987</v>
          </cell>
          <cell r="AH90">
            <v>0.22416666666666663</v>
          </cell>
          <cell r="AI90">
            <v>0.20139240506329112</v>
          </cell>
          <cell r="AJ90">
            <v>0.30173076923076919</v>
          </cell>
          <cell r="AK90">
            <v>0.33792857142857136</v>
          </cell>
          <cell r="AL90">
            <v>0.26521739130434779</v>
          </cell>
          <cell r="AM90">
            <v>0.24609374999999992</v>
          </cell>
          <cell r="AN90">
            <v>0.31399999999999989</v>
          </cell>
          <cell r="AO90">
            <v>0.35885714285714276</v>
          </cell>
          <cell r="AP90">
            <v>0.40464516129032246</v>
          </cell>
          <cell r="AQ90">
            <v>0.32145874587458739</v>
          </cell>
          <cell r="AR90">
            <v>0.43794915254237293</v>
          </cell>
          <cell r="AS90">
            <v>0.9</v>
          </cell>
          <cell r="AT90">
            <v>0.62704477611940301</v>
          </cell>
          <cell r="AU90">
            <v>0.37881081081081081</v>
          </cell>
          <cell r="AV90">
            <v>0.53464788732394364</v>
          </cell>
          <cell r="AW90">
            <v>0.37816216216216209</v>
          </cell>
          <cell r="AX90">
            <v>0.5340602409638554</v>
          </cell>
          <cell r="AY90">
            <v>0.52194117647058813</v>
          </cell>
          <cell r="AZ90">
            <v>0.59492207792207785</v>
          </cell>
          <cell r="BA90">
            <v>0.50890203761755481</v>
          </cell>
          <cell r="BB90">
            <v>0.75435364041604747</v>
          </cell>
          <cell r="BC90">
            <v>0.43321947053800164</v>
          </cell>
          <cell r="BD90">
            <v>0.54244897959183669</v>
          </cell>
          <cell r="BE90">
            <v>0.47027296833567295</v>
          </cell>
          <cell r="BF90">
            <v>0.52620961796973242</v>
          </cell>
          <cell r="BG90">
            <v>0.61604501780351528</v>
          </cell>
          <cell r="BH90">
            <v>0.51480298414371772</v>
          </cell>
          <cell r="BI90">
            <v>0.58250568733903418</v>
          </cell>
          <cell r="BJ90">
            <v>0.49881721496090931</v>
          </cell>
          <cell r="BK90">
            <v>0.54895045542995302</v>
          </cell>
          <cell r="BL90">
            <v>0.5643853609484436</v>
          </cell>
          <cell r="BM90">
            <v>0.50614227407737011</v>
          </cell>
          <cell r="BN90">
            <v>0.56228904452213679</v>
          </cell>
          <cell r="BO90">
            <v>0.49900889327453635</v>
          </cell>
          <cell r="BP90">
            <v>0.53086765811436609</v>
          </cell>
          <cell r="BQ90">
            <v>0.55827307076988175</v>
          </cell>
          <cell r="BR90">
            <v>0.50659482899710939</v>
          </cell>
          <cell r="BS90">
            <v>0.55116325532158805</v>
          </cell>
          <cell r="BT90">
            <v>0.49331436218153524</v>
          </cell>
          <cell r="BU90">
            <v>1.6186074782665565</v>
          </cell>
          <cell r="BV90">
            <v>0.47000896149671278</v>
          </cell>
          <cell r="BW90">
            <v>0.48474910395475596</v>
          </cell>
          <cell r="BX90">
            <v>0.53140404422893051</v>
          </cell>
          <cell r="BY90">
            <v>0.48336015596521076</v>
          </cell>
          <cell r="BZ90">
            <v>0.49159462629588963</v>
          </cell>
          <cell r="CA90">
            <v>0.46253355457063361</v>
          </cell>
          <cell r="CB90">
            <v>0.47712905869766664</v>
          </cell>
          <cell r="CC90">
            <v>0.52334184263432815</v>
          </cell>
          <cell r="CD90">
            <v>0.47476136546654302</v>
          </cell>
          <cell r="CE90">
            <v>0.48364514523473939</v>
          </cell>
        </row>
        <row r="92">
          <cell r="A92" t="str">
            <v>Common Shares and Covertible Securities</v>
          </cell>
          <cell r="AP92">
            <v>1.5</v>
          </cell>
        </row>
        <row r="93">
          <cell r="A93" t="str">
            <v xml:space="preserve">Ending Basic Common Shares </v>
          </cell>
          <cell r="N93">
            <v>299414.25</v>
          </cell>
          <cell r="O93">
            <v>299470.5</v>
          </cell>
          <cell r="P93">
            <v>298932.75</v>
          </cell>
          <cell r="Q93">
            <v>298595.25</v>
          </cell>
          <cell r="R93">
            <v>199063.65</v>
          </cell>
          <cell r="S93">
            <v>297714.15000000002</v>
          </cell>
          <cell r="T93">
            <v>340899.97499999998</v>
          </cell>
          <cell r="U93">
            <v>357161.625</v>
          </cell>
          <cell r="V93">
            <v>357178.5</v>
          </cell>
          <cell r="W93">
            <v>238119</v>
          </cell>
          <cell r="X93">
            <v>356370.3</v>
          </cell>
          <cell r="Y93">
            <v>356099.03324999998</v>
          </cell>
          <cell r="Z93">
            <v>366423.38325000001</v>
          </cell>
          <cell r="AA93">
            <v>363776.41350000002</v>
          </cell>
          <cell r="AB93">
            <v>363776.41350000002</v>
          </cell>
          <cell r="AC93">
            <v>362599.46774999995</v>
          </cell>
          <cell r="AD93">
            <v>362520.71774999995</v>
          </cell>
          <cell r="AE93">
            <v>362183.886</v>
          </cell>
          <cell r="AF93">
            <v>360819.93599999999</v>
          </cell>
          <cell r="AG93">
            <v>360819.93599999999</v>
          </cell>
          <cell r="AH93">
            <v>357049.26224999997</v>
          </cell>
          <cell r="AI93">
            <v>351676.908</v>
          </cell>
          <cell r="AJ93">
            <v>351527.17949999997</v>
          </cell>
          <cell r="AK93">
            <v>351555.07724999997</v>
          </cell>
          <cell r="AL93">
            <v>351555.07724999997</v>
          </cell>
          <cell r="AM93">
            <v>351968.85675000004</v>
          </cell>
          <cell r="AN93">
            <v>350445.95549999998</v>
          </cell>
          <cell r="AO93">
            <v>350658.72675000003</v>
          </cell>
          <cell r="AP93">
            <v>350081.67</v>
          </cell>
          <cell r="AQ93">
            <v>350081.67</v>
          </cell>
          <cell r="AR93">
            <v>348498.06150000001</v>
          </cell>
          <cell r="AS93">
            <v>348187.66649999999</v>
          </cell>
          <cell r="AT93">
            <v>347547.92249999999</v>
          </cell>
          <cell r="AU93">
            <v>346814.4375</v>
          </cell>
          <cell r="AV93">
            <v>346814.4375</v>
          </cell>
          <cell r="AW93">
            <v>347060.76149999996</v>
          </cell>
          <cell r="AX93">
            <v>347060.7585</v>
          </cell>
          <cell r="AY93">
            <v>347137.42050000001</v>
          </cell>
          <cell r="AZ93">
            <v>396868.5</v>
          </cell>
          <cell r="BA93">
            <v>396868.5</v>
          </cell>
          <cell r="BB93">
            <v>397175.81400000001</v>
          </cell>
          <cell r="BC93">
            <v>396215.35399999999</v>
          </cell>
          <cell r="BD93">
            <v>394191.25</v>
          </cell>
          <cell r="BE93">
            <v>392805.60800000001</v>
          </cell>
          <cell r="BF93">
            <v>392805.60800000001</v>
          </cell>
          <cell r="BG93">
            <v>392305.60800000001</v>
          </cell>
          <cell r="BH93">
            <v>391805.60800000001</v>
          </cell>
          <cell r="BI93">
            <v>391305.60800000001</v>
          </cell>
          <cell r="BJ93">
            <v>390805.60800000001</v>
          </cell>
          <cell r="BK93">
            <v>390805.60800000001</v>
          </cell>
          <cell r="BL93">
            <v>390305.60800000001</v>
          </cell>
          <cell r="BM93">
            <v>389805.60800000001</v>
          </cell>
          <cell r="BN93">
            <v>389305.60800000001</v>
          </cell>
          <cell r="BO93">
            <v>388805.60800000001</v>
          </cell>
          <cell r="BP93">
            <v>388805.60800000001</v>
          </cell>
          <cell r="BQ93">
            <v>388305.60800000001</v>
          </cell>
          <cell r="BR93">
            <v>387805.60800000001</v>
          </cell>
          <cell r="BS93">
            <v>387305.60800000001</v>
          </cell>
          <cell r="BT93">
            <v>386805.60800000001</v>
          </cell>
          <cell r="BU93">
            <v>386805.60800000001</v>
          </cell>
          <cell r="BV93">
            <v>386305.60800000001</v>
          </cell>
          <cell r="BW93">
            <v>385805.60800000001</v>
          </cell>
          <cell r="BX93">
            <v>385305.60800000001</v>
          </cell>
          <cell r="BY93">
            <v>384805.60800000001</v>
          </cell>
          <cell r="BZ93">
            <v>384805.60800000001</v>
          </cell>
          <cell r="CA93">
            <v>384305.60800000001</v>
          </cell>
          <cell r="CB93">
            <v>383805.60800000001</v>
          </cell>
          <cell r="CC93">
            <v>383305.60800000001</v>
          </cell>
          <cell r="CD93">
            <v>382805.60800000001</v>
          </cell>
          <cell r="CE93">
            <v>382805.60800000001</v>
          </cell>
          <cell r="CH93" t="str">
            <v>mstag:periodEndBasicSharesOutstanding</v>
          </cell>
          <cell r="CI93">
            <v>3</v>
          </cell>
          <cell r="CJ93" t="str">
            <v>ms_eqr_gcim_Decimal:ms_eqr_gcim_decimal</v>
          </cell>
          <cell r="CK93" t="b">
            <v>0</v>
          </cell>
          <cell r="CL93" t="b">
            <v>0</v>
          </cell>
        </row>
        <row r="94">
          <cell r="A94" t="str">
            <v>Unexcercised options</v>
          </cell>
          <cell r="N94">
            <v>3953.25</v>
          </cell>
          <cell r="O94">
            <v>3897</v>
          </cell>
          <cell r="P94">
            <v>3897</v>
          </cell>
          <cell r="Q94">
            <v>4711.2749999999996</v>
          </cell>
          <cell r="R94">
            <v>3140.85</v>
          </cell>
          <cell r="S94">
            <v>6626.25</v>
          </cell>
          <cell r="T94">
            <v>6577.875</v>
          </cell>
          <cell r="U94">
            <v>8269.7265000000007</v>
          </cell>
          <cell r="V94">
            <v>13631.625</v>
          </cell>
          <cell r="W94">
            <v>5154.75</v>
          </cell>
          <cell r="X94">
            <v>14805.6855</v>
          </cell>
          <cell r="Y94">
            <v>14122.786500000002</v>
          </cell>
          <cell r="Z94">
            <v>7896.5662500000008</v>
          </cell>
          <cell r="AA94">
            <v>7660.9934999999996</v>
          </cell>
          <cell r="AB94">
            <v>7660.9934999999996</v>
          </cell>
          <cell r="AC94">
            <v>9820.1339999999982</v>
          </cell>
          <cell r="AD94">
            <v>9374.5912499999977</v>
          </cell>
          <cell r="AE94">
            <v>9061.8547500000004</v>
          </cell>
          <cell r="AF94">
            <v>8029.7797499999997</v>
          </cell>
          <cell r="AG94">
            <v>8029.7797499999997</v>
          </cell>
          <cell r="AH94">
            <v>6577.7789999999995</v>
          </cell>
          <cell r="AI94">
            <v>6280.8029999999999</v>
          </cell>
          <cell r="AJ94">
            <v>5799.3990000000003</v>
          </cell>
          <cell r="AK94">
            <v>4959.3599999999997</v>
          </cell>
          <cell r="AL94">
            <v>4959.3599999999997</v>
          </cell>
          <cell r="AM94">
            <v>8154.3690000000006</v>
          </cell>
          <cell r="AN94">
            <v>8015.0917500000005</v>
          </cell>
          <cell r="AO94">
            <v>7171.7939999999999</v>
          </cell>
          <cell r="AP94">
            <v>7039.3035</v>
          </cell>
          <cell r="AQ94">
            <v>7039.3035</v>
          </cell>
          <cell r="AR94">
            <v>7873.9259999999995</v>
          </cell>
          <cell r="AS94">
            <v>7265.112000000001</v>
          </cell>
          <cell r="AT94">
            <v>7132.9544999999998</v>
          </cell>
          <cell r="AU94">
            <v>6962.9415000000008</v>
          </cell>
          <cell r="AV94">
            <v>6962.9415000000008</v>
          </cell>
          <cell r="AW94">
            <v>7546.5</v>
          </cell>
          <cell r="AX94">
            <v>7557.7905000000001</v>
          </cell>
          <cell r="AY94">
            <v>7481.1255000000001</v>
          </cell>
          <cell r="AZ94">
            <v>7179</v>
          </cell>
          <cell r="BA94">
            <v>7179</v>
          </cell>
          <cell r="BB94">
            <v>8400.6854999999996</v>
          </cell>
          <cell r="BC94">
            <v>8360.4560000000001</v>
          </cell>
          <cell r="BD94">
            <v>8306.8559999999998</v>
          </cell>
          <cell r="BE94">
            <v>8256.9940000000006</v>
          </cell>
          <cell r="BF94">
            <v>8256.9940000000006</v>
          </cell>
          <cell r="BG94">
            <v>8256.9940000000006</v>
          </cell>
          <cell r="BH94">
            <v>8256.9940000000006</v>
          </cell>
          <cell r="BI94">
            <v>8256.9940000000006</v>
          </cell>
          <cell r="BJ94">
            <v>8256.9940000000006</v>
          </cell>
          <cell r="BK94">
            <v>8256.9940000000006</v>
          </cell>
          <cell r="BL94">
            <v>8256.9940000000006</v>
          </cell>
          <cell r="BM94">
            <v>8256.9940000000006</v>
          </cell>
          <cell r="BN94">
            <v>8256.9940000000006</v>
          </cell>
          <cell r="BO94">
            <v>8256.9940000000006</v>
          </cell>
          <cell r="BP94">
            <v>8256.9940000000006</v>
          </cell>
          <cell r="BQ94">
            <v>8256.9940000000006</v>
          </cell>
          <cell r="BR94">
            <v>8256.9940000000006</v>
          </cell>
          <cell r="BS94">
            <v>8256.9940000000006</v>
          </cell>
          <cell r="BT94">
            <v>8256.9940000000006</v>
          </cell>
          <cell r="BU94">
            <v>8256.9940000000006</v>
          </cell>
          <cell r="BV94">
            <v>8256.9940000000006</v>
          </cell>
          <cell r="BW94">
            <v>8256.9940000000006</v>
          </cell>
          <cell r="BX94">
            <v>8256.9940000000006</v>
          </cell>
          <cell r="BY94">
            <v>8256.9940000000006</v>
          </cell>
          <cell r="BZ94">
            <v>8256.9940000000006</v>
          </cell>
          <cell r="CA94">
            <v>8256.9940000000006</v>
          </cell>
          <cell r="CB94">
            <v>8256.9940000000006</v>
          </cell>
          <cell r="CC94">
            <v>8256.9940000000006</v>
          </cell>
          <cell r="CD94">
            <v>8256.9940000000006</v>
          </cell>
          <cell r="CE94">
            <v>8256.9940000000006</v>
          </cell>
        </row>
        <row r="95">
          <cell r="A95" t="str">
            <v>Convertible debentures - Feb 2007</v>
          </cell>
          <cell r="N95">
            <v>44995.38</v>
          </cell>
          <cell r="O95">
            <v>44995.38</v>
          </cell>
          <cell r="P95">
            <v>44995.38</v>
          </cell>
          <cell r="Q95">
            <v>44995.38</v>
          </cell>
          <cell r="R95">
            <v>44995.38</v>
          </cell>
          <cell r="S95">
            <v>44995.338000000003</v>
          </cell>
          <cell r="T95">
            <v>0</v>
          </cell>
          <cell r="U95">
            <v>0</v>
          </cell>
          <cell r="V95">
            <v>0</v>
          </cell>
          <cell r="W95">
            <v>0</v>
          </cell>
          <cell r="X95">
            <v>0</v>
          </cell>
          <cell r="Y95">
            <v>0</v>
          </cell>
        </row>
        <row r="96">
          <cell r="A96" t="str">
            <v>Convertible debentures - June 2008</v>
          </cell>
          <cell r="N96">
            <v>5899.7250000000004</v>
          </cell>
          <cell r="O96">
            <v>5899.5</v>
          </cell>
          <cell r="P96">
            <v>5899.5</v>
          </cell>
          <cell r="Q96">
            <v>5899.5</v>
          </cell>
          <cell r="R96">
            <v>3933.15</v>
          </cell>
          <cell r="S96">
            <v>5899.7250000000004</v>
          </cell>
          <cell r="T96">
            <v>5899.7250000000004</v>
          </cell>
          <cell r="U96">
            <v>5899.7250000000004</v>
          </cell>
          <cell r="V96">
            <v>5899.5</v>
          </cell>
          <cell r="W96">
            <v>3933</v>
          </cell>
          <cell r="X96">
            <v>5899.7250000000004</v>
          </cell>
          <cell r="Y96">
            <v>5899.7250000000004</v>
          </cell>
        </row>
        <row r="97">
          <cell r="A97" t="str">
            <v>Warrants</v>
          </cell>
          <cell r="N97">
            <v>6525</v>
          </cell>
          <cell r="O97">
            <v>6525</v>
          </cell>
          <cell r="P97">
            <v>6525</v>
          </cell>
          <cell r="Q97">
            <v>6525</v>
          </cell>
          <cell r="R97">
            <v>4350</v>
          </cell>
          <cell r="S97">
            <v>6525</v>
          </cell>
          <cell r="T97">
            <v>6448.1624999999995</v>
          </cell>
          <cell r="U97">
            <v>5899.4932499999995</v>
          </cell>
          <cell r="V97">
            <v>5899.5</v>
          </cell>
          <cell r="W97">
            <v>3933</v>
          </cell>
          <cell r="X97">
            <v>5899.4774999999991</v>
          </cell>
          <cell r="Y97">
            <v>5899.4932499999995</v>
          </cell>
        </row>
        <row r="98">
          <cell r="A98" t="str">
            <v>Ending common shares - fully diluted</v>
          </cell>
          <cell r="N98">
            <v>360787.60499999998</v>
          </cell>
          <cell r="O98">
            <v>360787.38</v>
          </cell>
          <cell r="P98">
            <v>360249.63</v>
          </cell>
          <cell r="Q98">
            <v>360726.40500000003</v>
          </cell>
          <cell r="R98">
            <v>255483.03</v>
          </cell>
          <cell r="S98">
            <v>361760.46299999999</v>
          </cell>
          <cell r="T98">
            <v>359825.73749999993</v>
          </cell>
          <cell r="U98">
            <v>377230.56974999997</v>
          </cell>
          <cell r="V98">
            <v>382609.125</v>
          </cell>
          <cell r="W98">
            <v>251139.75</v>
          </cell>
          <cell r="X98">
            <v>382975.18799999997</v>
          </cell>
          <cell r="Y98">
            <v>382021.03799999994</v>
          </cell>
          <cell r="Z98">
            <v>374319.94949999999</v>
          </cell>
          <cell r="AA98">
            <v>371437.40700000001</v>
          </cell>
          <cell r="AB98">
            <v>371437.40700000001</v>
          </cell>
          <cell r="AC98">
            <v>372419.60174999997</v>
          </cell>
          <cell r="AD98">
            <v>371895.30899999995</v>
          </cell>
          <cell r="AE98">
            <v>371245.74075</v>
          </cell>
          <cell r="AF98">
            <v>368849.71574999997</v>
          </cell>
          <cell r="AG98">
            <v>368849.71574999997</v>
          </cell>
          <cell r="AH98">
            <v>363627.04124999995</v>
          </cell>
          <cell r="AI98">
            <v>357957.71100000001</v>
          </cell>
          <cell r="AJ98">
            <v>357326.57849999995</v>
          </cell>
          <cell r="AK98">
            <v>356514.43724999996</v>
          </cell>
          <cell r="AL98">
            <v>356514.43724999996</v>
          </cell>
          <cell r="AM98">
            <v>360123.22575000004</v>
          </cell>
          <cell r="AN98">
            <v>358461.04725</v>
          </cell>
          <cell r="AO98">
            <v>357830.52075000003</v>
          </cell>
          <cell r="AP98">
            <v>357120.97349999996</v>
          </cell>
          <cell r="AQ98">
            <v>357120.97349999996</v>
          </cell>
          <cell r="AR98">
            <v>356371.98749999999</v>
          </cell>
          <cell r="AS98">
            <v>355452.77850000001</v>
          </cell>
          <cell r="AT98">
            <v>354680.87699999998</v>
          </cell>
          <cell r="AU98">
            <v>353777.37900000002</v>
          </cell>
          <cell r="AV98">
            <v>353777.37900000002</v>
          </cell>
          <cell r="AW98">
            <v>354607.26149999996</v>
          </cell>
          <cell r="AX98">
            <v>354618.549</v>
          </cell>
          <cell r="AY98">
            <v>354618.54600000003</v>
          </cell>
          <cell r="AZ98">
            <v>404047.5</v>
          </cell>
          <cell r="BA98">
            <v>404047.5</v>
          </cell>
          <cell r="BB98">
            <v>405576.49950000003</v>
          </cell>
          <cell r="BC98">
            <v>404575.81</v>
          </cell>
          <cell r="BD98">
            <v>402498.10600000003</v>
          </cell>
          <cell r="BE98">
            <v>401062.60200000001</v>
          </cell>
          <cell r="BF98">
            <v>401062.60200000001</v>
          </cell>
          <cell r="BG98">
            <v>400562.60200000001</v>
          </cell>
          <cell r="BH98">
            <v>400062.60200000001</v>
          </cell>
          <cell r="BI98">
            <v>399562.60200000001</v>
          </cell>
          <cell r="BJ98">
            <v>399062.60200000001</v>
          </cell>
          <cell r="BK98">
            <v>399062.60200000001</v>
          </cell>
          <cell r="BL98">
            <v>398562.60200000001</v>
          </cell>
          <cell r="BM98">
            <v>398062.60200000001</v>
          </cell>
          <cell r="BN98">
            <v>397562.60200000001</v>
          </cell>
          <cell r="BO98">
            <v>397062.60200000001</v>
          </cell>
          <cell r="BP98">
            <v>397062.60200000001</v>
          </cell>
          <cell r="BQ98">
            <v>396562.60200000001</v>
          </cell>
          <cell r="BR98">
            <v>396062.60200000001</v>
          </cell>
          <cell r="BS98">
            <v>395562.60200000001</v>
          </cell>
          <cell r="BT98">
            <v>395062.60200000001</v>
          </cell>
          <cell r="BU98">
            <v>395062.60200000001</v>
          </cell>
          <cell r="BV98">
            <v>394562.60200000001</v>
          </cell>
          <cell r="BW98">
            <v>394062.60200000001</v>
          </cell>
          <cell r="BX98">
            <v>393562.60200000001</v>
          </cell>
          <cell r="BY98">
            <v>393062.60200000001</v>
          </cell>
          <cell r="BZ98">
            <v>393062.60200000001</v>
          </cell>
          <cell r="CA98">
            <v>392562.60200000001</v>
          </cell>
          <cell r="CB98">
            <v>392062.60200000001</v>
          </cell>
          <cell r="CC98">
            <v>391562.60200000001</v>
          </cell>
          <cell r="CD98">
            <v>391062.60200000001</v>
          </cell>
          <cell r="CE98">
            <v>391062.60200000001</v>
          </cell>
          <cell r="CH98" t="str">
            <v>mstag:periodEndDilutedSharesOutstanding</v>
          </cell>
          <cell r="CI98">
            <v>3</v>
          </cell>
          <cell r="CJ98" t="str">
            <v>ms_eqr_gcim_Decimal:ms_eqr_gcim_decimal</v>
          </cell>
          <cell r="CK98" t="b">
            <v>0</v>
          </cell>
          <cell r="CL98" t="b">
            <v>0</v>
          </cell>
        </row>
        <row r="99">
          <cell r="A99" t="str">
            <v>Weighted Average Basic Shares Outstanding</v>
          </cell>
          <cell r="N99">
            <v>0</v>
          </cell>
          <cell r="O99">
            <v>0</v>
          </cell>
          <cell r="P99">
            <v>0</v>
          </cell>
          <cell r="Q99">
            <v>0</v>
          </cell>
          <cell r="R99">
            <v>0</v>
          </cell>
          <cell r="S99">
            <v>323930.40974999999</v>
          </cell>
          <cell r="T99">
            <v>297029.84175000002</v>
          </cell>
          <cell r="U99">
            <v>342959.85225</v>
          </cell>
          <cell r="V99">
            <v>357534.06075</v>
          </cell>
          <cell r="W99">
            <v>215953.60649999999</v>
          </cell>
          <cell r="X99">
            <v>363150</v>
          </cell>
          <cell r="Y99">
            <v>356179.76325000002</v>
          </cell>
          <cell r="Z99">
            <v>361350</v>
          </cell>
          <cell r="AA99">
            <v>364725</v>
          </cell>
          <cell r="AB99">
            <v>361351.19081250002</v>
          </cell>
          <cell r="AC99">
            <v>360900</v>
          </cell>
          <cell r="AD99">
            <v>362475</v>
          </cell>
          <cell r="AE99">
            <v>362250</v>
          </cell>
          <cell r="AF99">
            <v>361575</v>
          </cell>
          <cell r="AG99">
            <v>362475</v>
          </cell>
          <cell r="AH99">
            <v>351450</v>
          </cell>
          <cell r="AI99">
            <v>353700</v>
          </cell>
          <cell r="AJ99">
            <v>351450</v>
          </cell>
          <cell r="AK99">
            <v>351450</v>
          </cell>
          <cell r="AL99">
            <v>354150</v>
          </cell>
          <cell r="AM99">
            <v>351450</v>
          </cell>
          <cell r="AN99">
            <v>350550</v>
          </cell>
          <cell r="AO99">
            <v>350550</v>
          </cell>
          <cell r="AP99">
            <v>350550</v>
          </cell>
          <cell r="AQ99">
            <v>350775</v>
          </cell>
          <cell r="AR99">
            <v>349350</v>
          </cell>
          <cell r="AS99">
            <v>348300</v>
          </cell>
          <cell r="AT99">
            <v>348000</v>
          </cell>
          <cell r="AU99">
            <v>347100</v>
          </cell>
          <cell r="AV99">
            <v>347100</v>
          </cell>
          <cell r="AW99">
            <v>520221.65625</v>
          </cell>
          <cell r="AX99">
            <v>347100</v>
          </cell>
          <cell r="AY99">
            <v>347100</v>
          </cell>
          <cell r="AZ99">
            <v>353100</v>
          </cell>
          <cell r="BA99">
            <v>353100</v>
          </cell>
          <cell r="BB99">
            <v>396900</v>
          </cell>
          <cell r="BC99">
            <v>397000</v>
          </cell>
          <cell r="BD99">
            <v>395600</v>
          </cell>
          <cell r="BE99">
            <v>393800</v>
          </cell>
          <cell r="BF99">
            <v>393800</v>
          </cell>
          <cell r="BG99">
            <v>392555.60800000001</v>
          </cell>
          <cell r="BH99">
            <v>392055.60800000001</v>
          </cell>
          <cell r="BI99">
            <v>391555.60800000001</v>
          </cell>
          <cell r="BJ99">
            <v>391055.60800000001</v>
          </cell>
          <cell r="BK99">
            <v>391055.60800000001</v>
          </cell>
          <cell r="BL99">
            <v>390555.60800000001</v>
          </cell>
          <cell r="BM99">
            <v>390055.60800000001</v>
          </cell>
          <cell r="BN99">
            <v>389555.60800000001</v>
          </cell>
          <cell r="BO99">
            <v>389055.60800000001</v>
          </cell>
          <cell r="BP99">
            <v>389055.60800000001</v>
          </cell>
          <cell r="BQ99">
            <v>388555.60800000001</v>
          </cell>
          <cell r="BR99">
            <v>388055.60800000001</v>
          </cell>
          <cell r="BS99">
            <v>387555.60800000001</v>
          </cell>
          <cell r="BT99">
            <v>387055.60800000001</v>
          </cell>
          <cell r="BU99">
            <v>387055.60800000001</v>
          </cell>
          <cell r="BV99">
            <v>386555.60800000001</v>
          </cell>
          <cell r="BW99">
            <v>386055.60800000001</v>
          </cell>
          <cell r="BX99">
            <v>385555.60800000001</v>
          </cell>
          <cell r="BY99">
            <v>385055.60800000001</v>
          </cell>
          <cell r="BZ99">
            <v>385055.60800000001</v>
          </cell>
          <cell r="CA99">
            <v>384555.60800000001</v>
          </cell>
          <cell r="CB99">
            <v>384055.60800000001</v>
          </cell>
          <cell r="CC99">
            <v>383555.60800000001</v>
          </cell>
          <cell r="CD99">
            <v>383055.60800000001</v>
          </cell>
          <cell r="CE99">
            <v>383055.60800000001</v>
          </cell>
          <cell r="CH99" t="str">
            <v>mstag:averageBasicSharesOutstanding</v>
          </cell>
          <cell r="CI99">
            <v>3</v>
          </cell>
          <cell r="CJ99" t="str">
            <v>ms_eqr_gcim_Decimal:ms_eqr_gcim_decimal</v>
          </cell>
          <cell r="CK99" t="b">
            <v>0</v>
          </cell>
          <cell r="CL99" t="b">
            <v>0</v>
          </cell>
        </row>
        <row r="100">
          <cell r="A100" t="str">
            <v xml:space="preserve">Weighted Average Diluted Shares Outstanding </v>
          </cell>
          <cell r="N100">
            <v>541181.40749999997</v>
          </cell>
          <cell r="O100">
            <v>541181.07000000007</v>
          </cell>
          <cell r="P100">
            <v>540374.44500000007</v>
          </cell>
          <cell r="Q100">
            <v>541089.60750000004</v>
          </cell>
          <cell r="R100">
            <v>361350</v>
          </cell>
          <cell r="S100">
            <v>349425</v>
          </cell>
          <cell r="T100">
            <v>234750</v>
          </cell>
          <cell r="U100">
            <v>361350</v>
          </cell>
          <cell r="V100">
            <v>376875</v>
          </cell>
          <cell r="W100">
            <v>243600</v>
          </cell>
          <cell r="X100">
            <v>367875</v>
          </cell>
          <cell r="Y100">
            <v>368325</v>
          </cell>
          <cell r="Z100">
            <v>368751.78</v>
          </cell>
          <cell r="AA100">
            <v>366452.88074999995</v>
          </cell>
          <cell r="AB100">
            <v>367877.02275</v>
          </cell>
          <cell r="AC100">
            <v>365400</v>
          </cell>
          <cell r="AD100">
            <v>366075</v>
          </cell>
          <cell r="AE100">
            <v>365175</v>
          </cell>
          <cell r="AF100">
            <v>364050</v>
          </cell>
          <cell r="AG100">
            <v>365175</v>
          </cell>
          <cell r="AH100">
            <v>363150</v>
          </cell>
          <cell r="AI100">
            <v>357975</v>
          </cell>
          <cell r="AJ100">
            <v>353025</v>
          </cell>
          <cell r="AK100">
            <v>354825</v>
          </cell>
          <cell r="AL100">
            <v>356850</v>
          </cell>
          <cell r="AM100">
            <v>354375</v>
          </cell>
          <cell r="AN100">
            <v>353250</v>
          </cell>
          <cell r="AO100">
            <v>353250</v>
          </cell>
          <cell r="AP100">
            <v>352800</v>
          </cell>
          <cell r="AQ100">
            <v>353475</v>
          </cell>
          <cell r="AR100">
            <v>352350</v>
          </cell>
          <cell r="AS100">
            <v>352500</v>
          </cell>
          <cell r="AT100">
            <v>350100</v>
          </cell>
          <cell r="AU100">
            <v>350400</v>
          </cell>
          <cell r="AV100">
            <v>350400</v>
          </cell>
          <cell r="AW100">
            <v>349800</v>
          </cell>
          <cell r="AX100">
            <v>349950</v>
          </cell>
          <cell r="AY100">
            <v>350250</v>
          </cell>
          <cell r="AZ100">
            <v>361650</v>
          </cell>
          <cell r="BA100">
            <v>352912.5</v>
          </cell>
          <cell r="BB100">
            <v>400800</v>
          </cell>
          <cell r="BC100">
            <v>400500</v>
          </cell>
          <cell r="BD100">
            <v>398700</v>
          </cell>
          <cell r="BE100">
            <v>396700</v>
          </cell>
          <cell r="BF100">
            <v>399175</v>
          </cell>
          <cell r="BG100">
            <v>396468.90817636944</v>
          </cell>
          <cell r="BH100">
            <v>395968.90817636944</v>
          </cell>
          <cell r="BI100">
            <v>395468.90817636944</v>
          </cell>
          <cell r="BJ100">
            <v>394968.90817636944</v>
          </cell>
          <cell r="BK100">
            <v>395718.90817636944</v>
          </cell>
          <cell r="BL100">
            <v>394468.90817636944</v>
          </cell>
          <cell r="BM100">
            <v>393968.90817636944</v>
          </cell>
          <cell r="BN100">
            <v>393468.90817636944</v>
          </cell>
          <cell r="BO100">
            <v>392968.90817636944</v>
          </cell>
          <cell r="BP100">
            <v>393718.90817636944</v>
          </cell>
          <cell r="BQ100">
            <v>392468.90817636944</v>
          </cell>
          <cell r="BR100">
            <v>391968.90817636944</v>
          </cell>
          <cell r="BS100">
            <v>391468.90817636944</v>
          </cell>
          <cell r="BT100">
            <v>390968.90817636944</v>
          </cell>
          <cell r="BU100">
            <v>391718.90817636944</v>
          </cell>
          <cell r="BV100">
            <v>390468.90817636944</v>
          </cell>
          <cell r="BW100">
            <v>389968.90817636944</v>
          </cell>
          <cell r="BX100">
            <v>389468.90817636944</v>
          </cell>
          <cell r="BY100">
            <v>388968.90817636944</v>
          </cell>
          <cell r="BZ100">
            <v>389718.90817636944</v>
          </cell>
          <cell r="CA100">
            <v>388468.90817636944</v>
          </cell>
          <cell r="CB100">
            <v>387968.90817636944</v>
          </cell>
          <cell r="CC100">
            <v>387468.90817636944</v>
          </cell>
          <cell r="CD100">
            <v>386968.90817636944</v>
          </cell>
          <cell r="CE100">
            <v>387718.90817636944</v>
          </cell>
          <cell r="CH100" t="str">
            <v>mstag:averageDilutedSharesOutstanding</v>
          </cell>
          <cell r="CI100">
            <v>3</v>
          </cell>
          <cell r="CJ100" t="str">
            <v>ms_eqr_gcim_Decimal:ms_eqr_gcim_decimal</v>
          </cell>
          <cell r="CK100" t="b">
            <v>0</v>
          </cell>
          <cell r="CL100" t="b">
            <v>0</v>
          </cell>
        </row>
        <row r="101">
          <cell r="A101" t="str">
            <v>Shares Repurchased</v>
          </cell>
          <cell r="AI101">
            <v>2548.8000000000002</v>
          </cell>
          <cell r="AJ101">
            <v>237.7</v>
          </cell>
          <cell r="AK101">
            <v>417.5</v>
          </cell>
          <cell r="AM101">
            <v>358.7</v>
          </cell>
          <cell r="AN101">
            <v>724.8</v>
          </cell>
          <cell r="AO101">
            <v>48</v>
          </cell>
          <cell r="AP101">
            <v>441.6</v>
          </cell>
          <cell r="AQ101">
            <v>1573.1</v>
          </cell>
          <cell r="AR101">
            <v>1190</v>
          </cell>
          <cell r="AS101">
            <v>500</v>
          </cell>
          <cell r="AT101">
            <v>483.5</v>
          </cell>
          <cell r="AU101">
            <v>520</v>
          </cell>
          <cell r="AW101">
            <v>0</v>
          </cell>
          <cell r="AX101">
            <v>0</v>
          </cell>
          <cell r="AY101">
            <v>0</v>
          </cell>
          <cell r="AZ101">
            <v>-31875</v>
          </cell>
          <cell r="BB101">
            <v>0</v>
          </cell>
          <cell r="BC101">
            <v>0</v>
          </cell>
          <cell r="BD101">
            <v>0</v>
          </cell>
          <cell r="BE101">
            <v>0</v>
          </cell>
          <cell r="BG101">
            <v>500</v>
          </cell>
          <cell r="BH101">
            <v>500</v>
          </cell>
          <cell r="BI101">
            <v>500</v>
          </cell>
          <cell r="BJ101">
            <v>500</v>
          </cell>
          <cell r="BL101">
            <v>500</v>
          </cell>
          <cell r="BM101">
            <v>500</v>
          </cell>
          <cell r="BN101">
            <v>500</v>
          </cell>
          <cell r="BO101">
            <v>500</v>
          </cell>
          <cell r="BQ101">
            <v>500</v>
          </cell>
          <cell r="BR101">
            <v>500</v>
          </cell>
          <cell r="BS101">
            <v>500</v>
          </cell>
          <cell r="BT101">
            <v>500</v>
          </cell>
          <cell r="BV101">
            <v>500</v>
          </cell>
          <cell r="BW101">
            <v>500</v>
          </cell>
          <cell r="BX101">
            <v>500</v>
          </cell>
          <cell r="BY101">
            <v>500</v>
          </cell>
          <cell r="CA101">
            <v>500</v>
          </cell>
          <cell r="CB101">
            <v>500</v>
          </cell>
          <cell r="CC101">
            <v>500</v>
          </cell>
          <cell r="CD101">
            <v>500</v>
          </cell>
        </row>
        <row r="102">
          <cell r="A102" t="str">
            <v>A = Actual, E = Morgan Stanley Research Estimates</v>
          </cell>
          <cell r="Y102">
            <v>1.5</v>
          </cell>
        </row>
        <row r="104">
          <cell r="A104" t="str">
            <v>Common Dividends</v>
          </cell>
          <cell r="N104">
            <v>-2957</v>
          </cell>
          <cell r="O104">
            <v>-30345</v>
          </cell>
          <cell r="P104">
            <v>17000</v>
          </cell>
          <cell r="Q104">
            <v>42000</v>
          </cell>
          <cell r="R104">
            <v>45698</v>
          </cell>
          <cell r="S104">
            <v>1111000</v>
          </cell>
          <cell r="T104">
            <v>131000</v>
          </cell>
          <cell r="U104">
            <v>29000</v>
          </cell>
          <cell r="V104">
            <v>-120000</v>
          </cell>
          <cell r="W104">
            <v>1151000</v>
          </cell>
          <cell r="X104">
            <v>2000</v>
          </cell>
          <cell r="Y104">
            <v>33000</v>
          </cell>
          <cell r="Z104">
            <v>30000</v>
          </cell>
          <cell r="AA104">
            <v>55000</v>
          </cell>
          <cell r="AB104">
            <v>120000</v>
          </cell>
          <cell r="AC104">
            <v>33000</v>
          </cell>
          <cell r="AD104">
            <v>18000</v>
          </cell>
          <cell r="AE104">
            <v>26000</v>
          </cell>
          <cell r="AF104">
            <v>24000</v>
          </cell>
          <cell r="AG104">
            <v>101000</v>
          </cell>
          <cell r="AH104">
            <v>31000</v>
          </cell>
          <cell r="AI104">
            <v>1000</v>
          </cell>
          <cell r="AJ104">
            <v>22000</v>
          </cell>
          <cell r="AK104">
            <v>19000</v>
          </cell>
          <cell r="AL104">
            <v>73000</v>
          </cell>
          <cell r="AM104">
            <v>38000</v>
          </cell>
          <cell r="AN104">
            <v>48000</v>
          </cell>
          <cell r="AO104">
            <v>-41000</v>
          </cell>
          <cell r="AP104">
            <v>53000</v>
          </cell>
          <cell r="AQ104">
            <v>98000</v>
          </cell>
          <cell r="AR104">
            <v>44000</v>
          </cell>
          <cell r="AS104">
            <v>49000</v>
          </cell>
          <cell r="AT104">
            <v>54000</v>
          </cell>
          <cell r="AU104">
            <v>50000</v>
          </cell>
          <cell r="AV104">
            <v>197000</v>
          </cell>
          <cell r="AW104">
            <v>127000</v>
          </cell>
          <cell r="AX104">
            <v>43000</v>
          </cell>
          <cell r="AY104">
            <v>44000</v>
          </cell>
          <cell r="AZ104">
            <v>44000</v>
          </cell>
          <cell r="BA104">
            <v>258000</v>
          </cell>
          <cell r="BB104">
            <v>49300</v>
          </cell>
          <cell r="BC104">
            <v>70100</v>
          </cell>
          <cell r="BD104">
            <v>91100</v>
          </cell>
          <cell r="BE104">
            <v>104850</v>
          </cell>
          <cell r="BF104">
            <v>315350</v>
          </cell>
          <cell r="BG104">
            <v>49723.710346666659</v>
          </cell>
          <cell r="BH104">
            <v>49660.377013333331</v>
          </cell>
          <cell r="BI104">
            <v>49597.043679999995</v>
          </cell>
          <cell r="BJ104">
            <v>49533.710346666659</v>
          </cell>
          <cell r="BK104">
            <v>198514.84138666664</v>
          </cell>
          <cell r="BL104">
            <v>49470.377013333331</v>
          </cell>
          <cell r="BM104">
            <v>51877.395863999991</v>
          </cell>
          <cell r="BN104">
            <v>51810.895863999991</v>
          </cell>
          <cell r="BO104">
            <v>51744.395863999991</v>
          </cell>
          <cell r="BP104">
            <v>204903.06460533329</v>
          </cell>
          <cell r="BQ104">
            <v>51677.895863999991</v>
          </cell>
          <cell r="BR104">
            <v>54191.965657200002</v>
          </cell>
          <cell r="BS104">
            <v>54122.140657199998</v>
          </cell>
          <cell r="BT104">
            <v>54052.315657200001</v>
          </cell>
          <cell r="BU104">
            <v>214044.3178356</v>
          </cell>
          <cell r="BV104">
            <v>53982.490657199996</v>
          </cell>
          <cell r="BW104">
            <v>56608.298940059998</v>
          </cell>
          <cell r="BX104">
            <v>56534.982690060002</v>
          </cell>
          <cell r="BY104">
            <v>56461.666440059998</v>
          </cell>
          <cell r="BZ104">
            <v>223587.43872738001</v>
          </cell>
          <cell r="CA104">
            <v>56388.350190060002</v>
          </cell>
          <cell r="CB104">
            <v>59130.785637063003</v>
          </cell>
          <cell r="CC104">
            <v>59053.803574563004</v>
          </cell>
          <cell r="CD104">
            <v>58976.821512063005</v>
          </cell>
          <cell r="CE104">
            <v>233549.76091374902</v>
          </cell>
          <cell r="CH104" t="str">
            <v>mstag:commonDividends</v>
          </cell>
          <cell r="CI104">
            <v>3</v>
          </cell>
          <cell r="CJ104" t="str">
            <v>ISO4217:USD</v>
          </cell>
          <cell r="CK104" t="b">
            <v>0</v>
          </cell>
          <cell r="CL104" t="b">
            <v>0</v>
          </cell>
        </row>
        <row r="105">
          <cell r="A105" t="str">
            <v>Weighted Average Diluted Shares Outstanding (FFO Calc)</v>
          </cell>
          <cell r="N105">
            <v>541181.40749999997</v>
          </cell>
          <cell r="O105">
            <v>541181.07000000007</v>
          </cell>
          <cell r="P105">
            <v>540374.44500000007</v>
          </cell>
          <cell r="Q105">
            <v>541089.60750000004</v>
          </cell>
          <cell r="R105">
            <v>361350</v>
          </cell>
          <cell r="S105">
            <v>349425</v>
          </cell>
          <cell r="T105">
            <v>234750</v>
          </cell>
          <cell r="U105">
            <v>361350</v>
          </cell>
          <cell r="V105">
            <v>376875</v>
          </cell>
          <cell r="W105">
            <v>243600</v>
          </cell>
          <cell r="X105">
            <v>367875</v>
          </cell>
          <cell r="Y105">
            <v>368325</v>
          </cell>
          <cell r="Z105">
            <v>368751.78</v>
          </cell>
          <cell r="AA105">
            <v>366452.88074999995</v>
          </cell>
          <cell r="AB105">
            <v>367877.02275</v>
          </cell>
          <cell r="AC105">
            <v>365400</v>
          </cell>
          <cell r="AD105">
            <v>366075</v>
          </cell>
          <cell r="AE105">
            <v>365175</v>
          </cell>
          <cell r="AF105">
            <v>364050</v>
          </cell>
          <cell r="AG105">
            <v>365175</v>
          </cell>
          <cell r="AH105">
            <v>363150</v>
          </cell>
          <cell r="AI105">
            <v>357975</v>
          </cell>
          <cell r="AJ105">
            <v>353025</v>
          </cell>
          <cell r="AK105">
            <v>354825</v>
          </cell>
          <cell r="AL105">
            <v>356850</v>
          </cell>
          <cell r="AM105">
            <v>354375</v>
          </cell>
          <cell r="AN105">
            <v>353250</v>
          </cell>
          <cell r="AO105">
            <v>353250</v>
          </cell>
          <cell r="AP105">
            <v>352800</v>
          </cell>
          <cell r="AQ105">
            <v>353475</v>
          </cell>
          <cell r="AR105">
            <v>352350</v>
          </cell>
          <cell r="AS105">
            <v>352500</v>
          </cell>
          <cell r="AT105">
            <v>350100</v>
          </cell>
          <cell r="AU105">
            <v>350400</v>
          </cell>
          <cell r="AV105">
            <v>350400</v>
          </cell>
          <cell r="AW105">
            <v>349800</v>
          </cell>
          <cell r="AX105">
            <v>349950</v>
          </cell>
          <cell r="AY105">
            <v>350250</v>
          </cell>
          <cell r="AZ105">
            <v>361650</v>
          </cell>
          <cell r="BA105">
            <v>352912.5</v>
          </cell>
          <cell r="BB105">
            <v>400800</v>
          </cell>
          <cell r="BC105">
            <v>400500</v>
          </cell>
          <cell r="BD105">
            <v>398700</v>
          </cell>
          <cell r="BE105">
            <v>396700</v>
          </cell>
          <cell r="BF105">
            <v>399175</v>
          </cell>
          <cell r="BG105">
            <v>396468.90817636944</v>
          </cell>
          <cell r="BH105">
            <v>395968.90817636944</v>
          </cell>
          <cell r="BI105">
            <v>395468.90817636944</v>
          </cell>
          <cell r="BJ105">
            <v>394968.90817636944</v>
          </cell>
          <cell r="BK105">
            <v>395718.90817636944</v>
          </cell>
          <cell r="BL105">
            <v>394468.90817636944</v>
          </cell>
          <cell r="BM105">
            <v>393968.90817636944</v>
          </cell>
          <cell r="BN105">
            <v>393468.90817636944</v>
          </cell>
          <cell r="BO105">
            <v>392968.90817636944</v>
          </cell>
          <cell r="BP105">
            <v>393718.90817636944</v>
          </cell>
          <cell r="BQ105">
            <v>392468.90817636944</v>
          </cell>
          <cell r="BR105">
            <v>391968.90817636944</v>
          </cell>
          <cell r="BS105">
            <v>391468.90817636944</v>
          </cell>
          <cell r="BT105">
            <v>390968.90817636944</v>
          </cell>
          <cell r="BU105">
            <v>391718.90817636944</v>
          </cell>
          <cell r="BV105">
            <v>390468.90817636944</v>
          </cell>
          <cell r="BW105">
            <v>389968.90817636944</v>
          </cell>
          <cell r="BX105">
            <v>389468.90817636944</v>
          </cell>
          <cell r="BY105">
            <v>388968.90817636944</v>
          </cell>
          <cell r="BZ105">
            <v>389718.90817636944</v>
          </cell>
          <cell r="CA105">
            <v>388468.90817636944</v>
          </cell>
          <cell r="CB105">
            <v>387968.90817636944</v>
          </cell>
          <cell r="CC105">
            <v>387468.90817636944</v>
          </cell>
          <cell r="CD105">
            <v>386968.90817636944</v>
          </cell>
          <cell r="CE105">
            <v>387718.90817636944</v>
          </cell>
          <cell r="CH105" t="str">
            <v>mstag:averageDilutedSharesOutstandingForFfo</v>
          </cell>
          <cell r="CI105">
            <v>3</v>
          </cell>
          <cell r="CJ105" t="str">
            <v>ms_eqr_gcim_Decimal:ms_eqr_gcim_decimal</v>
          </cell>
          <cell r="CK105" t="b">
            <v>0</v>
          </cell>
          <cell r="CL105" t="b">
            <v>0</v>
          </cell>
        </row>
        <row r="106">
          <cell r="A106" t="str">
            <v>Tax Rate</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H106" t="str">
            <v>mstag:statutoryTaxRate</v>
          </cell>
          <cell r="CI106">
            <v>0</v>
          </cell>
          <cell r="CJ106" t="str">
            <v>ms_eqr_gcim_Decimal:ms_eqr_gcim_decimal</v>
          </cell>
          <cell r="CK106" t="b">
            <v>0</v>
          </cell>
          <cell r="CL106" t="b">
            <v>0</v>
          </cell>
        </row>
        <row r="108">
          <cell r="A108" t="str">
            <v>One-Time Items</v>
          </cell>
        </row>
        <row r="109">
          <cell r="A109" t="str">
            <v>Special Fees</v>
          </cell>
          <cell r="AQ109">
            <v>27000</v>
          </cell>
          <cell r="AR109">
            <v>0</v>
          </cell>
          <cell r="AS109">
            <v>0</v>
          </cell>
          <cell r="AT109">
            <v>0</v>
          </cell>
          <cell r="AU109">
            <v>35000</v>
          </cell>
          <cell r="AV109">
            <v>35000</v>
          </cell>
          <cell r="AW109">
            <v>0</v>
          </cell>
          <cell r="AX109">
            <v>2000</v>
          </cell>
          <cell r="AY109">
            <v>3000</v>
          </cell>
          <cell r="AZ109">
            <v>0</v>
          </cell>
          <cell r="BA109">
            <v>5000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row>
        <row r="110">
          <cell r="A110" t="str">
            <v>FFO/sh (excluding one-time items)</v>
          </cell>
          <cell r="AQ110">
            <v>1.0524082325482707</v>
          </cell>
          <cell r="AV110">
            <v>1.1358447488584476</v>
          </cell>
          <cell r="BA110">
            <v>1.232600148762087</v>
          </cell>
          <cell r="BB110">
            <v>0.32010978043912175</v>
          </cell>
          <cell r="BC110">
            <v>0.41722846441947564</v>
          </cell>
          <cell r="BD110">
            <v>0.3614246300476549</v>
          </cell>
          <cell r="BE110">
            <v>0.4710108394252584</v>
          </cell>
          <cell r="BF110">
            <v>1.5691112920398322</v>
          </cell>
          <cell r="BG110">
            <v>0.35485142575152362</v>
          </cell>
          <cell r="BH110">
            <v>0.39688389549179548</v>
          </cell>
          <cell r="BI110">
            <v>0.36758542045139336</v>
          </cell>
          <cell r="BJ110">
            <v>0.40134774483950381</v>
          </cell>
          <cell r="BK110">
            <v>1.5205988724218078</v>
          </cell>
          <cell r="BL110">
            <v>0.37783668421634359</v>
          </cell>
          <cell r="BM110">
            <v>0.41756762944095926</v>
          </cell>
          <cell r="BN110">
            <v>0.39067200183643686</v>
          </cell>
          <cell r="BO110">
            <v>0.41801502136868957</v>
          </cell>
          <cell r="BP110">
            <v>1.6040318785903549</v>
          </cell>
          <cell r="BQ110">
            <v>0.39619839768663351</v>
          </cell>
          <cell r="BR110">
            <v>0.43609372010356745</v>
          </cell>
          <cell r="BS110">
            <v>0.41440884376757409</v>
          </cell>
          <cell r="BT110">
            <v>0.44263848270740352</v>
          </cell>
          <cell r="BU110">
            <v>1.6892643678671098</v>
          </cell>
          <cell r="BV110">
            <v>0.46438639718731173</v>
          </cell>
          <cell r="BW110">
            <v>0.47222638680515827</v>
          </cell>
          <cell r="BX110">
            <v>0.44467966294480105</v>
          </cell>
          <cell r="BY110">
            <v>0.46899354846995578</v>
          </cell>
          <cell r="BZ110">
            <v>1.8502948000031318</v>
          </cell>
          <cell r="CA110">
            <v>0.48806964217703497</v>
          </cell>
          <cell r="CB110">
            <v>0.49453515333240516</v>
          </cell>
          <cell r="CC110">
            <v>0.46492450061690865</v>
          </cell>
          <cell r="CD110">
            <v>0.49176904883862538</v>
          </cell>
          <cell r="CE110">
            <v>1.9393102817265957</v>
          </cell>
        </row>
      </sheetData>
      <sheetData sheetId="6" refreshError="1"/>
      <sheetData sheetId="7" refreshError="1">
        <row r="1">
          <cell r="A1" t="str">
            <v>Brookfield Properties</v>
          </cell>
          <cell r="CB1" t="str">
            <v>ElementName</v>
          </cell>
          <cell r="CC1" t="str">
            <v>ScaleOverride</v>
          </cell>
          <cell r="CD1" t="str">
            <v>UnitOverride</v>
          </cell>
          <cell r="CE1" t="str">
            <v>ReverseSign</v>
          </cell>
          <cell r="CF1" t="str">
            <v>IsDrivingAssumption</v>
          </cell>
          <cell r="CG1" t="str">
            <v>SegmentID</v>
          </cell>
        </row>
        <row r="2">
          <cell r="A2" t="str">
            <v>Quarterly Balance Sheet</v>
          </cell>
        </row>
        <row r="3">
          <cell r="A3" t="str">
            <v>(Dollars in Thousands, Except Per Share)</v>
          </cell>
        </row>
        <row r="4">
          <cell r="C4">
            <v>1998</v>
          </cell>
          <cell r="H4">
            <v>1999</v>
          </cell>
          <cell r="M4">
            <v>2000</v>
          </cell>
          <cell r="R4">
            <v>2001</v>
          </cell>
          <cell r="W4">
            <v>2002</v>
          </cell>
          <cell r="AB4">
            <v>2003</v>
          </cell>
          <cell r="AG4">
            <v>2004</v>
          </cell>
          <cell r="AL4">
            <v>2005</v>
          </cell>
          <cell r="AQ4" t="str">
            <v>2006A</v>
          </cell>
          <cell r="AV4" t="str">
            <v>2007E</v>
          </cell>
          <cell r="BA4" t="str">
            <v>2008E</v>
          </cell>
          <cell r="BF4" t="str">
            <v>2009E</v>
          </cell>
          <cell r="BK4" t="str">
            <v>2010E</v>
          </cell>
          <cell r="BP4" t="str">
            <v>2011E</v>
          </cell>
          <cell r="BU4" t="str">
            <v>2012E</v>
          </cell>
        </row>
        <row r="5">
          <cell r="A5" t="str">
            <v>(US Millions)</v>
          </cell>
          <cell r="C5" t="str">
            <v>1Q98</v>
          </cell>
          <cell r="D5" t="str">
            <v>2Q98</v>
          </cell>
          <cell r="E5" t="str">
            <v>3Q98</v>
          </cell>
          <cell r="F5" t="str">
            <v>4Q98</v>
          </cell>
          <cell r="G5">
            <v>1998</v>
          </cell>
          <cell r="H5" t="str">
            <v>1Q99</v>
          </cell>
          <cell r="I5" t="str">
            <v>2Q99</v>
          </cell>
          <cell r="J5" t="str">
            <v>3Q99</v>
          </cell>
          <cell r="K5" t="str">
            <v>4Q99</v>
          </cell>
          <cell r="L5">
            <v>1999</v>
          </cell>
          <cell r="M5" t="str">
            <v>1Q00</v>
          </cell>
          <cell r="N5" t="str">
            <v>2Q00</v>
          </cell>
          <cell r="O5" t="str">
            <v>3Q00</v>
          </cell>
          <cell r="P5" t="str">
            <v>4Q00</v>
          </cell>
          <cell r="Q5">
            <v>2000</v>
          </cell>
          <cell r="R5" t="str">
            <v>1Q01</v>
          </cell>
          <cell r="S5" t="str">
            <v>2Q01</v>
          </cell>
          <cell r="T5" t="str">
            <v>3Q01</v>
          </cell>
          <cell r="U5" t="str">
            <v>4Q01</v>
          </cell>
          <cell r="V5">
            <v>2001</v>
          </cell>
          <cell r="W5" t="str">
            <v>1Q02</v>
          </cell>
          <cell r="X5" t="str">
            <v>2Q02</v>
          </cell>
          <cell r="Y5" t="str">
            <v>3Q02</v>
          </cell>
          <cell r="Z5" t="str">
            <v>4Q02</v>
          </cell>
          <cell r="AA5">
            <v>2002</v>
          </cell>
          <cell r="AB5" t="str">
            <v>1Q03</v>
          </cell>
          <cell r="AC5" t="str">
            <v>2Q03</v>
          </cell>
          <cell r="AD5" t="str">
            <v>3Q03</v>
          </cell>
          <cell r="AE5" t="str">
            <v>4Q03</v>
          </cell>
          <cell r="AF5">
            <v>2003</v>
          </cell>
          <cell r="AG5" t="str">
            <v>1Q04</v>
          </cell>
          <cell r="AH5" t="str">
            <v>2Q04</v>
          </cell>
          <cell r="AI5" t="str">
            <v>3Q04</v>
          </cell>
          <cell r="AJ5" t="str">
            <v>4Q04</v>
          </cell>
          <cell r="AK5">
            <v>2004</v>
          </cell>
          <cell r="AL5" t="str">
            <v>1QA</v>
          </cell>
          <cell r="AM5" t="str">
            <v>2QA</v>
          </cell>
          <cell r="AN5" t="str">
            <v>3QA</v>
          </cell>
          <cell r="AO5" t="str">
            <v>4QA</v>
          </cell>
          <cell r="AP5">
            <v>2005</v>
          </cell>
          <cell r="AQ5" t="str">
            <v>1QA</v>
          </cell>
          <cell r="AR5" t="str">
            <v>2QA</v>
          </cell>
          <cell r="AS5" t="str">
            <v>3QA</v>
          </cell>
          <cell r="AT5" t="str">
            <v>4QA</v>
          </cell>
          <cell r="AU5" t="str">
            <v>2006A</v>
          </cell>
          <cell r="AV5" t="str">
            <v>1QA</v>
          </cell>
          <cell r="AW5" t="str">
            <v>2QE</v>
          </cell>
          <cell r="AX5" t="str">
            <v>3QE</v>
          </cell>
          <cell r="AY5" t="str">
            <v xml:space="preserve">4QE </v>
          </cell>
          <cell r="AZ5" t="str">
            <v>2007E</v>
          </cell>
          <cell r="BA5" t="str">
            <v>1QE</v>
          </cell>
          <cell r="BB5" t="str">
            <v>2QE</v>
          </cell>
          <cell r="BC5" t="str">
            <v>3QE</v>
          </cell>
          <cell r="BD5" t="str">
            <v xml:space="preserve">4QE </v>
          </cell>
          <cell r="BE5" t="str">
            <v>2008E</v>
          </cell>
          <cell r="BF5" t="str">
            <v>1QE</v>
          </cell>
          <cell r="BG5" t="str">
            <v>2QE</v>
          </cell>
          <cell r="BH5" t="str">
            <v>3QE</v>
          </cell>
          <cell r="BI5" t="str">
            <v xml:space="preserve">4QE </v>
          </cell>
          <cell r="BJ5" t="str">
            <v>2009E</v>
          </cell>
          <cell r="BK5" t="str">
            <v>1QE</v>
          </cell>
          <cell r="BL5" t="str">
            <v>3QE</v>
          </cell>
          <cell r="BM5" t="str">
            <v>3QE</v>
          </cell>
          <cell r="BN5" t="str">
            <v xml:space="preserve">4QE </v>
          </cell>
          <cell r="BO5" t="str">
            <v>2010E</v>
          </cell>
          <cell r="BP5" t="str">
            <v>1QE</v>
          </cell>
          <cell r="BQ5" t="str">
            <v>2QE</v>
          </cell>
          <cell r="BR5" t="str">
            <v>3QE</v>
          </cell>
          <cell r="BS5" t="str">
            <v xml:space="preserve">4QE </v>
          </cell>
          <cell r="BT5" t="str">
            <v>2011E</v>
          </cell>
          <cell r="BU5" t="str">
            <v>1QE</v>
          </cell>
          <cell r="BV5" t="str">
            <v>2QE</v>
          </cell>
          <cell r="BW5" t="str">
            <v>3QE</v>
          </cell>
          <cell r="BX5" t="str">
            <v xml:space="preserve">4QE </v>
          </cell>
          <cell r="BY5" t="str">
            <v>2012E</v>
          </cell>
        </row>
        <row r="8">
          <cell r="A8" t="str">
            <v>Assets</v>
          </cell>
        </row>
        <row r="9">
          <cell r="A9" t="str">
            <v>Commercial properties, net</v>
          </cell>
          <cell r="C9">
            <v>4586270.4000000004</v>
          </cell>
          <cell r="D9">
            <v>5497120</v>
          </cell>
          <cell r="E9">
            <v>4902588</v>
          </cell>
          <cell r="F9">
            <v>5899000</v>
          </cell>
          <cell r="G9">
            <v>5899000</v>
          </cell>
          <cell r="H9">
            <v>5925204</v>
          </cell>
          <cell r="I9">
            <v>5998000</v>
          </cell>
          <cell r="J9">
            <v>5968000</v>
          </cell>
          <cell r="K9">
            <v>5897000</v>
          </cell>
          <cell r="L9">
            <v>5897000</v>
          </cell>
          <cell r="M9">
            <v>5932000</v>
          </cell>
          <cell r="N9">
            <v>6282000</v>
          </cell>
          <cell r="O9">
            <v>6271000</v>
          </cell>
          <cell r="P9">
            <v>6368000</v>
          </cell>
          <cell r="Q9">
            <v>6368000</v>
          </cell>
          <cell r="R9">
            <v>5975000</v>
          </cell>
          <cell r="S9">
            <v>6012000</v>
          </cell>
          <cell r="T9">
            <v>5892000</v>
          </cell>
          <cell r="U9">
            <v>5802000</v>
          </cell>
          <cell r="V9">
            <v>5802000</v>
          </cell>
          <cell r="W9">
            <v>5701000</v>
          </cell>
          <cell r="X9">
            <v>5767000</v>
          </cell>
          <cell r="Y9">
            <v>5553000</v>
          </cell>
          <cell r="Z9">
            <v>5661000</v>
          </cell>
          <cell r="AA9">
            <v>5661000</v>
          </cell>
          <cell r="AB9">
            <v>5750000</v>
          </cell>
          <cell r="AC9">
            <v>5849000</v>
          </cell>
          <cell r="AD9">
            <v>5834000</v>
          </cell>
          <cell r="AE9">
            <v>6297000</v>
          </cell>
          <cell r="AF9">
            <v>6297000</v>
          </cell>
          <cell r="AG9">
            <v>6493000</v>
          </cell>
          <cell r="AH9">
            <v>6465000</v>
          </cell>
          <cell r="AI9">
            <v>6626000</v>
          </cell>
          <cell r="AJ9">
            <v>6693000</v>
          </cell>
          <cell r="AK9">
            <v>6693000</v>
          </cell>
          <cell r="AL9">
            <v>6977000</v>
          </cell>
          <cell r="AM9">
            <v>6975000</v>
          </cell>
          <cell r="AN9">
            <v>7043000</v>
          </cell>
          <cell r="AO9">
            <v>7430000</v>
          </cell>
          <cell r="AP9">
            <v>7430000</v>
          </cell>
          <cell r="AQ9">
            <v>7454000</v>
          </cell>
          <cell r="AR9">
            <v>7862000</v>
          </cell>
          <cell r="AS9">
            <v>7844000</v>
          </cell>
          <cell r="AT9">
            <v>15287000</v>
          </cell>
          <cell r="AU9">
            <v>15287000</v>
          </cell>
          <cell r="AV9">
            <v>15195000</v>
          </cell>
          <cell r="AW9">
            <v>15497000</v>
          </cell>
          <cell r="AX9">
            <v>15450000</v>
          </cell>
          <cell r="AY9">
            <v>15889000</v>
          </cell>
          <cell r="AZ9">
            <v>15889000</v>
          </cell>
          <cell r="BA9">
            <v>16007265.676487533</v>
          </cell>
          <cell r="BB9">
            <v>15914989.601085499</v>
          </cell>
          <cell r="BC9">
            <v>15913099.297464868</v>
          </cell>
          <cell r="BD9">
            <v>15820543.108888801</v>
          </cell>
          <cell r="BE9">
            <v>15820543.108888801</v>
          </cell>
          <cell r="BF9">
            <v>15815643.823281061</v>
          </cell>
          <cell r="BG9">
            <v>15811224.150046134</v>
          </cell>
          <cell r="BH9">
            <v>15760621.653041387</v>
          </cell>
          <cell r="BI9">
            <v>15777638.576237736</v>
          </cell>
          <cell r="BJ9">
            <v>15777638.576237736</v>
          </cell>
          <cell r="BK9">
            <v>15914556.819246603</v>
          </cell>
          <cell r="BL9">
            <v>16051108.05377456</v>
          </cell>
          <cell r="BM9">
            <v>16186715.609824371</v>
          </cell>
          <cell r="BN9">
            <v>16320745.051256256</v>
          </cell>
          <cell r="BO9">
            <v>16320745.051256256</v>
          </cell>
          <cell r="BP9">
            <v>16741094.575569047</v>
          </cell>
          <cell r="BQ9">
            <v>16673540.159242215</v>
          </cell>
          <cell r="BR9">
            <v>16606241.741102574</v>
          </cell>
          <cell r="BS9">
            <v>16538547.681180526</v>
          </cell>
          <cell r="BT9">
            <v>16538547.681180526</v>
          </cell>
          <cell r="BU9">
            <v>16473072.323749201</v>
          </cell>
          <cell r="BV9">
            <v>16408386.088665035</v>
          </cell>
          <cell r="BW9">
            <v>16343892.570109155</v>
          </cell>
          <cell r="BX9">
            <v>16278938.185727118</v>
          </cell>
          <cell r="BY9">
            <v>16278938.185727118</v>
          </cell>
          <cell r="CB9" t="str">
            <v>mstag:propertiesNotForSaleOrDevelopment</v>
          </cell>
          <cell r="CC9">
            <v>3</v>
          </cell>
          <cell r="CD9" t="str">
            <v>ISO4217:USD</v>
          </cell>
          <cell r="CE9" t="b">
            <v>0</v>
          </cell>
          <cell r="CF9" t="b">
            <v>0</v>
          </cell>
        </row>
        <row r="10">
          <cell r="A10" t="str">
            <v>Development properties</v>
          </cell>
          <cell r="C10">
            <v>521774.4</v>
          </cell>
          <cell r="D10">
            <v>509320</v>
          </cell>
          <cell r="E10">
            <v>419616</v>
          </cell>
          <cell r="F10">
            <v>427000</v>
          </cell>
          <cell r="G10">
            <v>427000</v>
          </cell>
          <cell r="H10">
            <v>429650</v>
          </cell>
          <cell r="I10">
            <v>449000</v>
          </cell>
          <cell r="J10">
            <v>417000</v>
          </cell>
          <cell r="K10">
            <v>447000</v>
          </cell>
          <cell r="L10">
            <v>447000</v>
          </cell>
          <cell r="M10">
            <v>428000</v>
          </cell>
          <cell r="N10">
            <v>622000</v>
          </cell>
          <cell r="O10">
            <v>648000</v>
          </cell>
          <cell r="P10">
            <v>537000</v>
          </cell>
          <cell r="Q10">
            <v>537000</v>
          </cell>
          <cell r="R10">
            <v>692000</v>
          </cell>
          <cell r="S10">
            <v>693000</v>
          </cell>
          <cell r="T10">
            <v>730000</v>
          </cell>
          <cell r="U10">
            <v>575000</v>
          </cell>
          <cell r="V10">
            <v>575000</v>
          </cell>
          <cell r="W10">
            <v>747000</v>
          </cell>
          <cell r="X10">
            <v>852000</v>
          </cell>
          <cell r="Y10">
            <v>1051000</v>
          </cell>
          <cell r="Z10">
            <v>944000</v>
          </cell>
          <cell r="AA10">
            <v>944000</v>
          </cell>
          <cell r="AB10">
            <v>1016000</v>
          </cell>
          <cell r="AC10">
            <v>1089000</v>
          </cell>
          <cell r="AD10">
            <v>1190000</v>
          </cell>
          <cell r="AE10">
            <v>684000</v>
          </cell>
          <cell r="AF10">
            <v>684000</v>
          </cell>
          <cell r="AG10">
            <v>725000</v>
          </cell>
          <cell r="AH10">
            <v>653000</v>
          </cell>
          <cell r="AI10">
            <v>691000</v>
          </cell>
          <cell r="AJ10">
            <v>716000</v>
          </cell>
          <cell r="AK10">
            <v>716000</v>
          </cell>
          <cell r="AL10">
            <v>469000</v>
          </cell>
          <cell r="AM10">
            <v>487000</v>
          </cell>
          <cell r="AN10">
            <v>547000</v>
          </cell>
          <cell r="AO10">
            <v>615000</v>
          </cell>
          <cell r="AP10">
            <v>615000</v>
          </cell>
          <cell r="AQ10">
            <v>680000</v>
          </cell>
          <cell r="AR10">
            <v>811000</v>
          </cell>
          <cell r="AS10">
            <v>1112000</v>
          </cell>
          <cell r="AT10">
            <v>1441000</v>
          </cell>
          <cell r="AU10">
            <v>1441000</v>
          </cell>
          <cell r="AV10">
            <v>1633000</v>
          </cell>
          <cell r="AW10">
            <v>1803000</v>
          </cell>
          <cell r="AX10">
            <v>2223000</v>
          </cell>
          <cell r="AY10">
            <v>2400000</v>
          </cell>
          <cell r="AZ10">
            <v>2400000</v>
          </cell>
          <cell r="BA10">
            <v>2400000</v>
          </cell>
          <cell r="BB10">
            <v>2400000</v>
          </cell>
          <cell r="BC10">
            <v>2400000</v>
          </cell>
          <cell r="BD10">
            <v>2400000</v>
          </cell>
          <cell r="BE10">
            <v>2400000</v>
          </cell>
          <cell r="BF10">
            <v>2400000</v>
          </cell>
          <cell r="BG10">
            <v>2400000</v>
          </cell>
          <cell r="BH10">
            <v>2400000</v>
          </cell>
          <cell r="BI10">
            <v>2400000</v>
          </cell>
          <cell r="BJ10">
            <v>2400000</v>
          </cell>
          <cell r="BK10">
            <v>2400000</v>
          </cell>
          <cell r="BL10">
            <v>2400000</v>
          </cell>
          <cell r="BM10">
            <v>2400000</v>
          </cell>
          <cell r="BN10">
            <v>2400000</v>
          </cell>
          <cell r="BO10">
            <v>2400000</v>
          </cell>
          <cell r="BP10">
            <v>2400000</v>
          </cell>
          <cell r="BQ10">
            <v>2400000</v>
          </cell>
          <cell r="BR10">
            <v>2400000</v>
          </cell>
          <cell r="BS10">
            <v>2400000</v>
          </cell>
          <cell r="BT10">
            <v>2400000</v>
          </cell>
          <cell r="BU10">
            <v>2400000</v>
          </cell>
          <cell r="BV10">
            <v>2400000</v>
          </cell>
          <cell r="BW10">
            <v>2400000</v>
          </cell>
          <cell r="BX10">
            <v>2400000</v>
          </cell>
          <cell r="BY10">
            <v>2400000</v>
          </cell>
          <cell r="CB10" t="str">
            <v>mstag:developmentProperties</v>
          </cell>
          <cell r="CC10">
            <v>3</v>
          </cell>
          <cell r="CD10" t="str">
            <v>ISO4217:USD</v>
          </cell>
          <cell r="CE10" t="b">
            <v>0</v>
          </cell>
          <cell r="CF10" t="b">
            <v>0</v>
          </cell>
        </row>
        <row r="11">
          <cell r="A11" t="str">
            <v xml:space="preserve">   Development properties - Commercial</v>
          </cell>
          <cell r="AT11">
            <v>735000</v>
          </cell>
          <cell r="AV11">
            <v>841000</v>
          </cell>
          <cell r="AW11">
            <v>892000</v>
          </cell>
          <cell r="AX11">
            <v>1093000</v>
          </cell>
          <cell r="AY11">
            <v>1172000</v>
          </cell>
          <cell r="AZ11">
            <v>1172000</v>
          </cell>
          <cell r="BA11">
            <v>1172000</v>
          </cell>
          <cell r="BB11">
            <v>1172000</v>
          </cell>
          <cell r="BC11">
            <v>1172000</v>
          </cell>
          <cell r="BD11">
            <v>1172000</v>
          </cell>
          <cell r="BE11">
            <v>1172000</v>
          </cell>
          <cell r="BF11">
            <v>1172000</v>
          </cell>
          <cell r="BG11">
            <v>1172000</v>
          </cell>
          <cell r="BH11">
            <v>1172000</v>
          </cell>
          <cell r="BI11">
            <v>1172000</v>
          </cell>
          <cell r="BJ11">
            <v>1172000</v>
          </cell>
          <cell r="BK11">
            <v>1172000</v>
          </cell>
          <cell r="BL11">
            <v>1172000</v>
          </cell>
          <cell r="BM11">
            <v>1172000</v>
          </cell>
          <cell r="BN11">
            <v>1172000</v>
          </cell>
          <cell r="BO11">
            <v>1172000</v>
          </cell>
          <cell r="BP11">
            <v>1172000</v>
          </cell>
          <cell r="BQ11">
            <v>1172000</v>
          </cell>
          <cell r="BR11">
            <v>1172000</v>
          </cell>
          <cell r="BS11">
            <v>1172000</v>
          </cell>
          <cell r="BT11">
            <v>1172000</v>
          </cell>
          <cell r="BU11">
            <v>1172000</v>
          </cell>
          <cell r="BV11">
            <v>1172000</v>
          </cell>
          <cell r="BW11">
            <v>1172000</v>
          </cell>
          <cell r="BX11">
            <v>1172000</v>
          </cell>
          <cell r="BY11">
            <v>1172000</v>
          </cell>
        </row>
        <row r="12">
          <cell r="A12" t="str">
            <v xml:space="preserve">   Development properties - Residential</v>
          </cell>
          <cell r="AT12">
            <v>706000</v>
          </cell>
          <cell r="AV12">
            <v>792000</v>
          </cell>
          <cell r="AW12">
            <v>911000</v>
          </cell>
          <cell r="AX12">
            <v>1130000</v>
          </cell>
          <cell r="AY12">
            <v>1228000</v>
          </cell>
          <cell r="AZ12">
            <v>1228000</v>
          </cell>
          <cell r="BA12">
            <v>1228000</v>
          </cell>
          <cell r="BB12">
            <v>1228000</v>
          </cell>
          <cell r="BC12">
            <v>1228000</v>
          </cell>
          <cell r="BD12">
            <v>1228000</v>
          </cell>
          <cell r="BE12">
            <v>1228000</v>
          </cell>
          <cell r="BF12">
            <v>1228000</v>
          </cell>
          <cell r="BG12">
            <v>1228000</v>
          </cell>
          <cell r="BH12">
            <v>1228000</v>
          </cell>
          <cell r="BI12">
            <v>1228000</v>
          </cell>
          <cell r="BJ12">
            <v>1228000</v>
          </cell>
          <cell r="BK12">
            <v>1228000</v>
          </cell>
          <cell r="BL12">
            <v>1228000</v>
          </cell>
          <cell r="BM12">
            <v>1228000</v>
          </cell>
          <cell r="BN12">
            <v>1228000</v>
          </cell>
          <cell r="BO12">
            <v>1228000</v>
          </cell>
          <cell r="BP12">
            <v>1228000</v>
          </cell>
          <cell r="BQ12">
            <v>1228000</v>
          </cell>
          <cell r="BR12">
            <v>1228000</v>
          </cell>
          <cell r="BS12">
            <v>1228000</v>
          </cell>
          <cell r="BT12">
            <v>1228000</v>
          </cell>
          <cell r="BU12">
            <v>1228000</v>
          </cell>
          <cell r="BV12">
            <v>1228000</v>
          </cell>
          <cell r="BW12">
            <v>1228000</v>
          </cell>
          <cell r="BX12">
            <v>1228000</v>
          </cell>
          <cell r="BY12">
            <v>1228000</v>
          </cell>
        </row>
        <row r="13">
          <cell r="A13" t="str">
            <v>Receivables and Real Estate Mortgages</v>
          </cell>
          <cell r="C13">
            <v>700387.2</v>
          </cell>
          <cell r="D13">
            <v>754800</v>
          </cell>
          <cell r="E13">
            <v>548514</v>
          </cell>
          <cell r="F13">
            <v>647000</v>
          </cell>
          <cell r="G13">
            <v>647000</v>
          </cell>
          <cell r="H13">
            <v>677525</v>
          </cell>
          <cell r="I13">
            <v>705000</v>
          </cell>
          <cell r="J13">
            <v>651000</v>
          </cell>
          <cell r="K13">
            <v>945000</v>
          </cell>
          <cell r="L13">
            <v>945000</v>
          </cell>
          <cell r="M13">
            <v>967000</v>
          </cell>
          <cell r="N13">
            <v>944000</v>
          </cell>
          <cell r="O13">
            <v>960000</v>
          </cell>
          <cell r="P13">
            <v>1017000</v>
          </cell>
          <cell r="Q13">
            <v>1017000</v>
          </cell>
          <cell r="R13">
            <v>965000</v>
          </cell>
          <cell r="S13">
            <v>953000</v>
          </cell>
          <cell r="T13">
            <v>900000</v>
          </cell>
          <cell r="U13">
            <v>847000</v>
          </cell>
          <cell r="V13">
            <v>847000</v>
          </cell>
          <cell r="W13">
            <v>764000</v>
          </cell>
          <cell r="X13">
            <v>764000</v>
          </cell>
          <cell r="Y13">
            <v>759000</v>
          </cell>
          <cell r="Z13">
            <v>465000</v>
          </cell>
          <cell r="AA13">
            <v>465000</v>
          </cell>
          <cell r="AB13">
            <v>737000</v>
          </cell>
          <cell r="AC13">
            <v>704000</v>
          </cell>
          <cell r="AD13">
            <v>660000</v>
          </cell>
          <cell r="AE13">
            <v>499000</v>
          </cell>
          <cell r="AF13">
            <v>499000</v>
          </cell>
          <cell r="AG13">
            <v>646000</v>
          </cell>
          <cell r="AH13">
            <v>399000</v>
          </cell>
          <cell r="AI13">
            <v>476000</v>
          </cell>
          <cell r="AJ13">
            <v>435000</v>
          </cell>
          <cell r="AK13">
            <v>435000</v>
          </cell>
          <cell r="AL13">
            <v>479000</v>
          </cell>
          <cell r="AM13">
            <v>485000</v>
          </cell>
          <cell r="AN13">
            <v>542000</v>
          </cell>
          <cell r="AO13">
            <v>551000</v>
          </cell>
          <cell r="AP13">
            <v>551000</v>
          </cell>
          <cell r="AQ13">
            <v>566000</v>
          </cell>
          <cell r="AR13">
            <v>416000</v>
          </cell>
          <cell r="AS13">
            <v>465000</v>
          </cell>
          <cell r="AT13">
            <v>518000</v>
          </cell>
          <cell r="AU13">
            <v>518000</v>
          </cell>
          <cell r="AV13">
            <v>878000</v>
          </cell>
          <cell r="AW13">
            <v>927000</v>
          </cell>
          <cell r="AX13">
            <v>1023000</v>
          </cell>
          <cell r="AY13">
            <v>1056000</v>
          </cell>
          <cell r="AZ13">
            <v>1056000</v>
          </cell>
          <cell r="BA13">
            <v>799827.8838176101</v>
          </cell>
          <cell r="BB13">
            <v>868903.40595103754</v>
          </cell>
          <cell r="BC13">
            <v>833013.89685459854</v>
          </cell>
          <cell r="BD13">
            <v>919603.13498506334</v>
          </cell>
          <cell r="BE13">
            <v>919603.13498506334</v>
          </cell>
          <cell r="BF13">
            <v>794443.72153144446</v>
          </cell>
          <cell r="BG13">
            <v>854146.9544092681</v>
          </cell>
          <cell r="BH13">
            <v>822507.17056131351</v>
          </cell>
          <cell r="BI13">
            <v>896360.32715626294</v>
          </cell>
          <cell r="BJ13">
            <v>896360.32715626294</v>
          </cell>
          <cell r="BK13">
            <v>794229.02065155481</v>
          </cell>
          <cell r="BL13">
            <v>849072.73334561638</v>
          </cell>
          <cell r="BM13">
            <v>819757.19212446117</v>
          </cell>
          <cell r="BN13">
            <v>887685.10044961877</v>
          </cell>
          <cell r="BO13">
            <v>887685.10044961877</v>
          </cell>
          <cell r="BP13">
            <v>847219.7324840317</v>
          </cell>
          <cell r="BQ13">
            <v>843972.2091770051</v>
          </cell>
          <cell r="BR13">
            <v>816887.27115497796</v>
          </cell>
          <cell r="BS13">
            <v>879407.49911273667</v>
          </cell>
          <cell r="BT13">
            <v>879407.49911273667</v>
          </cell>
          <cell r="BU13">
            <v>859640.75249997037</v>
          </cell>
          <cell r="BV13">
            <v>858699.58255428309</v>
          </cell>
          <cell r="BW13">
            <v>828527.35534689622</v>
          </cell>
          <cell r="BX13">
            <v>895232.4894738578</v>
          </cell>
          <cell r="BY13">
            <v>895232.4894738578</v>
          </cell>
          <cell r="CB13" t="str">
            <v>mstag:tradeReceivablesGrossCurrent</v>
          </cell>
          <cell r="CC13">
            <v>3</v>
          </cell>
          <cell r="CD13" t="str">
            <v>ISO4217:USD</v>
          </cell>
          <cell r="CE13" t="b">
            <v>0</v>
          </cell>
          <cell r="CF13" t="b">
            <v>0</v>
          </cell>
        </row>
        <row r="14">
          <cell r="A14" t="str">
            <v>Prepaid Expenses and Other Assets</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210000</v>
          </cell>
          <cell r="AA14">
            <v>210000</v>
          </cell>
          <cell r="AB14">
            <v>0</v>
          </cell>
          <cell r="AC14">
            <v>0</v>
          </cell>
          <cell r="AD14">
            <v>0</v>
          </cell>
          <cell r="AE14">
            <v>212000</v>
          </cell>
          <cell r="AF14">
            <v>212000</v>
          </cell>
          <cell r="AG14">
            <v>0</v>
          </cell>
          <cell r="AH14">
            <v>214000</v>
          </cell>
          <cell r="AI14">
            <v>210000</v>
          </cell>
          <cell r="AJ14">
            <v>259000</v>
          </cell>
          <cell r="AK14">
            <v>259000</v>
          </cell>
          <cell r="AL14">
            <v>259000</v>
          </cell>
          <cell r="AM14">
            <v>268000</v>
          </cell>
          <cell r="AN14">
            <v>280000</v>
          </cell>
          <cell r="AO14">
            <v>399000</v>
          </cell>
          <cell r="AP14">
            <v>399000</v>
          </cell>
          <cell r="AQ14">
            <v>397000</v>
          </cell>
          <cell r="AR14">
            <v>586000</v>
          </cell>
          <cell r="AS14">
            <v>549000</v>
          </cell>
          <cell r="AT14">
            <v>456000</v>
          </cell>
          <cell r="AU14">
            <v>456000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CB14" t="str">
            <v>mstag:prepaidExpensesCurrent</v>
          </cell>
          <cell r="CC14">
            <v>3</v>
          </cell>
          <cell r="CD14" t="str">
            <v>ISO4217:USD</v>
          </cell>
          <cell r="CE14" t="b">
            <v>0</v>
          </cell>
          <cell r="CF14" t="b">
            <v>0</v>
          </cell>
        </row>
        <row r="15">
          <cell r="A15" t="str">
            <v>Intangible Assets</v>
          </cell>
          <cell r="AT15">
            <v>853000</v>
          </cell>
          <cell r="AU15">
            <v>853000</v>
          </cell>
          <cell r="AV15">
            <v>860000</v>
          </cell>
          <cell r="AW15">
            <v>836000</v>
          </cell>
          <cell r="AX15">
            <v>787000</v>
          </cell>
          <cell r="AY15">
            <v>759000</v>
          </cell>
          <cell r="AZ15">
            <v>759000</v>
          </cell>
          <cell r="BA15">
            <v>759000</v>
          </cell>
          <cell r="BB15">
            <v>759000</v>
          </cell>
          <cell r="BC15">
            <v>759000</v>
          </cell>
          <cell r="BD15">
            <v>759000</v>
          </cell>
          <cell r="BE15">
            <v>759000</v>
          </cell>
          <cell r="BF15">
            <v>759000</v>
          </cell>
          <cell r="BG15">
            <v>759000</v>
          </cell>
          <cell r="BH15">
            <v>759000</v>
          </cell>
          <cell r="BI15">
            <v>759000</v>
          </cell>
          <cell r="BJ15">
            <v>759000</v>
          </cell>
          <cell r="BK15">
            <v>759000</v>
          </cell>
          <cell r="BL15">
            <v>759000</v>
          </cell>
          <cell r="BM15">
            <v>759000</v>
          </cell>
          <cell r="BN15">
            <v>759000</v>
          </cell>
          <cell r="BO15">
            <v>759000</v>
          </cell>
          <cell r="BP15">
            <v>759000</v>
          </cell>
          <cell r="BQ15">
            <v>759000</v>
          </cell>
          <cell r="BR15">
            <v>759000</v>
          </cell>
          <cell r="BS15">
            <v>759000</v>
          </cell>
          <cell r="BT15">
            <v>759000</v>
          </cell>
          <cell r="BU15">
            <v>759000</v>
          </cell>
          <cell r="BV15">
            <v>759000</v>
          </cell>
          <cell r="BW15">
            <v>759000</v>
          </cell>
          <cell r="BX15">
            <v>759000</v>
          </cell>
          <cell r="BY15">
            <v>759000</v>
          </cell>
          <cell r="CB15" t="str">
            <v>mstag:otherIntangibleAssets</v>
          </cell>
          <cell r="CC15">
            <v>3</v>
          </cell>
          <cell r="CD15" t="str">
            <v>ISO4217:USD</v>
          </cell>
          <cell r="CE15" t="b">
            <v>0</v>
          </cell>
          <cell r="CF15" t="b">
            <v>0</v>
          </cell>
        </row>
        <row r="16">
          <cell r="A16" t="str">
            <v>Assets Held for Sale</v>
          </cell>
          <cell r="C16">
            <v>0</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51000</v>
          </cell>
          <cell r="AA16">
            <v>51000</v>
          </cell>
          <cell r="AB16">
            <v>0</v>
          </cell>
          <cell r="AC16">
            <v>0</v>
          </cell>
          <cell r="AD16">
            <v>0</v>
          </cell>
          <cell r="AE16">
            <v>6000</v>
          </cell>
          <cell r="AF16">
            <v>6000</v>
          </cell>
          <cell r="AG16">
            <v>0</v>
          </cell>
          <cell r="AH16">
            <v>6000</v>
          </cell>
          <cell r="AI16">
            <v>5000</v>
          </cell>
          <cell r="AJ16">
            <v>4000</v>
          </cell>
          <cell r="AK16">
            <v>4000</v>
          </cell>
          <cell r="AL16">
            <v>5000</v>
          </cell>
          <cell r="AM16">
            <v>5000</v>
          </cell>
          <cell r="AN16">
            <v>19000</v>
          </cell>
          <cell r="AO16">
            <v>80000</v>
          </cell>
          <cell r="AP16">
            <v>80000</v>
          </cell>
          <cell r="AQ16">
            <v>37000</v>
          </cell>
          <cell r="AR16">
            <v>0</v>
          </cell>
          <cell r="AS16">
            <v>0</v>
          </cell>
          <cell r="AT16">
            <v>64000</v>
          </cell>
          <cell r="AU16">
            <v>64000</v>
          </cell>
          <cell r="AV16">
            <v>7000</v>
          </cell>
          <cell r="AW16">
            <v>16000</v>
          </cell>
          <cell r="AX16">
            <v>76000</v>
          </cell>
          <cell r="AY16">
            <v>4000</v>
          </cell>
          <cell r="AZ16">
            <v>4000</v>
          </cell>
          <cell r="BA16">
            <v>4000</v>
          </cell>
          <cell r="BB16">
            <v>4000</v>
          </cell>
          <cell r="BC16">
            <v>4000</v>
          </cell>
          <cell r="BD16">
            <v>4000</v>
          </cell>
          <cell r="BE16">
            <v>4000</v>
          </cell>
          <cell r="BF16">
            <v>4000</v>
          </cell>
          <cell r="BG16">
            <v>4000</v>
          </cell>
          <cell r="BH16">
            <v>4000</v>
          </cell>
          <cell r="BI16">
            <v>4000</v>
          </cell>
          <cell r="BJ16">
            <v>4000</v>
          </cell>
          <cell r="BK16">
            <v>4000</v>
          </cell>
          <cell r="BL16">
            <v>4000</v>
          </cell>
          <cell r="BM16">
            <v>4000</v>
          </cell>
          <cell r="BN16">
            <v>4000</v>
          </cell>
          <cell r="BO16">
            <v>4000</v>
          </cell>
          <cell r="BP16">
            <v>4000</v>
          </cell>
          <cell r="BQ16">
            <v>4000</v>
          </cell>
          <cell r="BR16">
            <v>4000</v>
          </cell>
          <cell r="BS16">
            <v>4000</v>
          </cell>
          <cell r="BT16">
            <v>4000</v>
          </cell>
          <cell r="BU16">
            <v>4000</v>
          </cell>
          <cell r="BV16">
            <v>4000</v>
          </cell>
          <cell r="BW16">
            <v>4000</v>
          </cell>
          <cell r="BX16">
            <v>4000</v>
          </cell>
          <cell r="BY16">
            <v>4000</v>
          </cell>
          <cell r="CB16" t="str">
            <v>mstag:propertiesForSale</v>
          </cell>
          <cell r="CC16">
            <v>3</v>
          </cell>
          <cell r="CD16" t="str">
            <v>ISO4217:USD</v>
          </cell>
          <cell r="CE16" t="b">
            <v>0</v>
          </cell>
          <cell r="CF16" t="b">
            <v>0</v>
          </cell>
        </row>
        <row r="17">
          <cell r="A17" t="str">
            <v>Future Income tax assets</v>
          </cell>
          <cell r="C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43000</v>
          </cell>
          <cell r="AA17">
            <v>43000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CB17" t="str">
            <v>mstag:deferredTaxAssetsNonCurrent</v>
          </cell>
          <cell r="CC17">
            <v>3</v>
          </cell>
          <cell r="CD17" t="str">
            <v>ISO4217:USD</v>
          </cell>
          <cell r="CE17" t="b">
            <v>0</v>
          </cell>
          <cell r="CF17" t="b">
            <v>0</v>
          </cell>
        </row>
        <row r="18">
          <cell r="A18" t="str">
            <v>Marketable securities</v>
          </cell>
          <cell r="C18">
            <v>0</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267000</v>
          </cell>
          <cell r="AF18">
            <v>267000</v>
          </cell>
          <cell r="AG18">
            <v>317000</v>
          </cell>
          <cell r="AH18">
            <v>312000</v>
          </cell>
          <cell r="AI18">
            <v>286000</v>
          </cell>
          <cell r="AJ18">
            <v>285000</v>
          </cell>
          <cell r="AK18">
            <v>285000</v>
          </cell>
          <cell r="AL18">
            <v>311000</v>
          </cell>
          <cell r="AM18">
            <v>250000</v>
          </cell>
          <cell r="AN18">
            <v>207000</v>
          </cell>
          <cell r="AO18">
            <v>58000</v>
          </cell>
          <cell r="AP18">
            <v>58000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CB18" t="str">
            <v>mstag:shortTermInvestments</v>
          </cell>
          <cell r="CC18">
            <v>3</v>
          </cell>
          <cell r="CD18" t="str">
            <v>ISO4217:USD</v>
          </cell>
          <cell r="CE18" t="b">
            <v>0</v>
          </cell>
          <cell r="CF18" t="b">
            <v>0</v>
          </cell>
        </row>
        <row r="19">
          <cell r="A19" t="str">
            <v>Restricted Cash and Deposits</v>
          </cell>
          <cell r="AO19">
            <v>316000</v>
          </cell>
          <cell r="AP19">
            <v>316000</v>
          </cell>
          <cell r="AQ19">
            <v>346000</v>
          </cell>
          <cell r="AR19">
            <v>290000</v>
          </cell>
          <cell r="AS19">
            <v>398000</v>
          </cell>
          <cell r="AT19">
            <v>507000</v>
          </cell>
          <cell r="AU19">
            <v>507000</v>
          </cell>
          <cell r="AV19">
            <v>429000</v>
          </cell>
          <cell r="AW19">
            <v>480000</v>
          </cell>
          <cell r="AX19">
            <v>417000</v>
          </cell>
          <cell r="AY19">
            <v>151000</v>
          </cell>
          <cell r="AZ19">
            <v>151000</v>
          </cell>
          <cell r="BA19">
            <v>151000</v>
          </cell>
          <cell r="BB19">
            <v>151000</v>
          </cell>
          <cell r="BC19">
            <v>151000</v>
          </cell>
          <cell r="BD19">
            <v>151000</v>
          </cell>
          <cell r="BE19">
            <v>151000</v>
          </cell>
          <cell r="BF19">
            <v>151000</v>
          </cell>
          <cell r="BG19">
            <v>151000</v>
          </cell>
          <cell r="BH19">
            <v>151000</v>
          </cell>
          <cell r="BI19">
            <v>151000</v>
          </cell>
          <cell r="BJ19">
            <v>151000</v>
          </cell>
          <cell r="BK19">
            <v>151000</v>
          </cell>
          <cell r="BL19">
            <v>151000</v>
          </cell>
          <cell r="BM19">
            <v>151000</v>
          </cell>
          <cell r="BN19">
            <v>151000</v>
          </cell>
          <cell r="BO19">
            <v>151000</v>
          </cell>
          <cell r="BP19">
            <v>151000</v>
          </cell>
          <cell r="BQ19">
            <v>151000</v>
          </cell>
          <cell r="BR19">
            <v>151000</v>
          </cell>
          <cell r="BS19">
            <v>151000</v>
          </cell>
          <cell r="BT19">
            <v>151000</v>
          </cell>
          <cell r="BU19">
            <v>151000</v>
          </cell>
          <cell r="BV19">
            <v>151000</v>
          </cell>
          <cell r="BW19">
            <v>151000</v>
          </cell>
          <cell r="BX19">
            <v>151000</v>
          </cell>
          <cell r="BY19">
            <v>151000</v>
          </cell>
          <cell r="CB19" t="str">
            <v>mstag:shortTermInvestments</v>
          </cell>
          <cell r="CC19">
            <v>3</v>
          </cell>
          <cell r="CD19" t="str">
            <v>ISO4217:USD</v>
          </cell>
          <cell r="CE19" t="b">
            <v>0</v>
          </cell>
          <cell r="CF19" t="b">
            <v>0</v>
          </cell>
        </row>
        <row r="20">
          <cell r="A20" t="str">
            <v>Cash and cash equivalents</v>
          </cell>
          <cell r="C20">
            <v>118840.8</v>
          </cell>
          <cell r="D20">
            <v>145520</v>
          </cell>
          <cell r="E20">
            <v>121086</v>
          </cell>
          <cell r="F20">
            <v>134000</v>
          </cell>
          <cell r="G20">
            <v>134000</v>
          </cell>
          <cell r="H20">
            <v>130217</v>
          </cell>
          <cell r="I20">
            <v>127000</v>
          </cell>
          <cell r="J20">
            <v>150000</v>
          </cell>
          <cell r="K20">
            <v>217000</v>
          </cell>
          <cell r="L20">
            <v>217000</v>
          </cell>
          <cell r="M20">
            <v>160000</v>
          </cell>
          <cell r="N20">
            <v>149000</v>
          </cell>
          <cell r="O20">
            <v>150000</v>
          </cell>
          <cell r="P20">
            <v>201000</v>
          </cell>
          <cell r="Q20">
            <v>201000</v>
          </cell>
          <cell r="R20">
            <v>226000</v>
          </cell>
          <cell r="S20">
            <v>258000</v>
          </cell>
          <cell r="T20">
            <v>234000</v>
          </cell>
          <cell r="U20">
            <v>195000</v>
          </cell>
          <cell r="V20">
            <v>195000</v>
          </cell>
          <cell r="W20">
            <v>210000</v>
          </cell>
          <cell r="X20">
            <v>159000</v>
          </cell>
          <cell r="Y20">
            <v>197000</v>
          </cell>
          <cell r="Z20">
            <v>76000</v>
          </cell>
          <cell r="AA20">
            <v>76000</v>
          </cell>
          <cell r="AB20">
            <v>116000</v>
          </cell>
          <cell r="AC20">
            <v>95000</v>
          </cell>
          <cell r="AD20">
            <v>98000</v>
          </cell>
          <cell r="AE20">
            <v>132000</v>
          </cell>
          <cell r="AF20">
            <v>132000</v>
          </cell>
          <cell r="AG20">
            <v>148000</v>
          </cell>
          <cell r="AH20">
            <v>108000</v>
          </cell>
          <cell r="AI20">
            <v>96000</v>
          </cell>
          <cell r="AJ20">
            <v>112000</v>
          </cell>
          <cell r="AK20">
            <v>112000</v>
          </cell>
          <cell r="AL20">
            <v>76000</v>
          </cell>
          <cell r="AM20">
            <v>113000</v>
          </cell>
          <cell r="AN20">
            <v>164000</v>
          </cell>
          <cell r="AO20">
            <v>64000</v>
          </cell>
          <cell r="AP20">
            <v>64000</v>
          </cell>
          <cell r="AQ20">
            <v>129000</v>
          </cell>
          <cell r="AR20">
            <v>114000</v>
          </cell>
          <cell r="AS20">
            <v>123000</v>
          </cell>
          <cell r="AT20">
            <v>188000</v>
          </cell>
          <cell r="AU20">
            <v>188000</v>
          </cell>
          <cell r="AV20">
            <v>226000</v>
          </cell>
          <cell r="AW20">
            <v>205000</v>
          </cell>
          <cell r="AX20">
            <v>202000</v>
          </cell>
          <cell r="AY20">
            <v>214000</v>
          </cell>
          <cell r="AZ20">
            <v>214000</v>
          </cell>
          <cell r="BA20">
            <v>214000</v>
          </cell>
          <cell r="BB20">
            <v>214000</v>
          </cell>
          <cell r="BC20">
            <v>214000</v>
          </cell>
          <cell r="BD20">
            <v>214000</v>
          </cell>
          <cell r="BE20">
            <v>214000</v>
          </cell>
          <cell r="BF20">
            <v>214000</v>
          </cell>
          <cell r="BG20">
            <v>214000</v>
          </cell>
          <cell r="BH20">
            <v>214000</v>
          </cell>
          <cell r="BI20">
            <v>214000</v>
          </cell>
          <cell r="BJ20">
            <v>214000</v>
          </cell>
          <cell r="BK20">
            <v>214000</v>
          </cell>
          <cell r="BL20">
            <v>214000</v>
          </cell>
          <cell r="BM20">
            <v>214000</v>
          </cell>
          <cell r="BN20">
            <v>214000</v>
          </cell>
          <cell r="BO20">
            <v>214000</v>
          </cell>
          <cell r="BP20">
            <v>214000</v>
          </cell>
          <cell r="BQ20">
            <v>214000</v>
          </cell>
          <cell r="BR20">
            <v>214000</v>
          </cell>
          <cell r="BS20">
            <v>214000</v>
          </cell>
          <cell r="BT20">
            <v>214000</v>
          </cell>
          <cell r="BU20">
            <v>214000</v>
          </cell>
          <cell r="BV20">
            <v>214000</v>
          </cell>
          <cell r="BW20">
            <v>214000</v>
          </cell>
          <cell r="BX20">
            <v>214000</v>
          </cell>
          <cell r="BY20">
            <v>214000</v>
          </cell>
          <cell r="CB20" t="str">
            <v>mstag:cashAndCashEquivalents</v>
          </cell>
          <cell r="CC20">
            <v>3</v>
          </cell>
          <cell r="CD20" t="str">
            <v>ISO4217:USD</v>
          </cell>
          <cell r="CE20" t="b">
            <v>0</v>
          </cell>
          <cell r="CF20" t="b">
            <v>0</v>
          </cell>
        </row>
        <row r="21">
          <cell r="A21" t="str">
            <v>Assets of Brookfield Homes Corporation</v>
          </cell>
          <cell r="C21">
            <v>479582.4</v>
          </cell>
          <cell r="D21">
            <v>454920</v>
          </cell>
          <cell r="E21">
            <v>427428</v>
          </cell>
          <cell r="F21">
            <v>551000</v>
          </cell>
          <cell r="G21">
            <v>551000</v>
          </cell>
          <cell r="H21">
            <v>559867</v>
          </cell>
          <cell r="I21">
            <v>607000</v>
          </cell>
          <cell r="J21">
            <v>639000</v>
          </cell>
          <cell r="K21">
            <v>562000</v>
          </cell>
          <cell r="L21">
            <v>562000</v>
          </cell>
          <cell r="M21">
            <v>597000</v>
          </cell>
          <cell r="N21">
            <v>549000</v>
          </cell>
          <cell r="O21">
            <v>589000</v>
          </cell>
          <cell r="P21">
            <v>762000</v>
          </cell>
          <cell r="Q21">
            <v>762000</v>
          </cell>
          <cell r="R21">
            <v>583000</v>
          </cell>
          <cell r="S21">
            <v>600000</v>
          </cell>
          <cell r="T21">
            <v>577000</v>
          </cell>
          <cell r="U21">
            <v>872000</v>
          </cell>
          <cell r="V21">
            <v>872000</v>
          </cell>
          <cell r="W21">
            <v>679000</v>
          </cell>
          <cell r="X21">
            <v>677000</v>
          </cell>
          <cell r="Y21">
            <v>723000</v>
          </cell>
          <cell r="Z21">
            <v>879000</v>
          </cell>
          <cell r="AA21">
            <v>879000</v>
          </cell>
          <cell r="AB21">
            <v>0</v>
          </cell>
          <cell r="AC21">
            <v>0</v>
          </cell>
          <cell r="AD21">
            <v>0</v>
          </cell>
          <cell r="AE21">
            <v>0</v>
          </cell>
          <cell r="AG21">
            <v>0</v>
          </cell>
          <cell r="AH21">
            <v>0</v>
          </cell>
          <cell r="AI21">
            <v>0</v>
          </cell>
          <cell r="AJ21">
            <v>0</v>
          </cell>
          <cell r="CB21" t="str">
            <v>mstag:otherAssets</v>
          </cell>
          <cell r="CC21">
            <v>3</v>
          </cell>
          <cell r="CD21" t="str">
            <v>ISO4217:USD</v>
          </cell>
          <cell r="CE21" t="b">
            <v>0</v>
          </cell>
          <cell r="CF21" t="b">
            <v>0</v>
          </cell>
        </row>
        <row r="23">
          <cell r="A23" t="str">
            <v>Total Assets</v>
          </cell>
          <cell r="C23">
            <v>6406855.2000000011</v>
          </cell>
          <cell r="D23">
            <v>7361680</v>
          </cell>
          <cell r="E23">
            <v>6419232</v>
          </cell>
          <cell r="F23">
            <v>7658000</v>
          </cell>
          <cell r="G23">
            <v>7658000</v>
          </cell>
          <cell r="H23">
            <v>7722463</v>
          </cell>
          <cell r="I23">
            <v>7886000</v>
          </cell>
          <cell r="J23">
            <v>7825000</v>
          </cell>
          <cell r="K23">
            <v>8068000</v>
          </cell>
          <cell r="L23">
            <v>8068000</v>
          </cell>
          <cell r="M23">
            <v>8084000</v>
          </cell>
          <cell r="N23">
            <v>8546000</v>
          </cell>
          <cell r="O23">
            <v>8618000</v>
          </cell>
          <cell r="P23">
            <v>8885000</v>
          </cell>
          <cell r="Q23">
            <v>8885000</v>
          </cell>
          <cell r="R23">
            <v>8441000</v>
          </cell>
          <cell r="S23">
            <v>8516000</v>
          </cell>
          <cell r="T23">
            <v>8333000</v>
          </cell>
          <cell r="U23">
            <v>8291000</v>
          </cell>
          <cell r="V23">
            <v>8291000</v>
          </cell>
          <cell r="W23">
            <v>8101000</v>
          </cell>
          <cell r="X23">
            <v>8219000</v>
          </cell>
          <cell r="Y23">
            <v>8283000</v>
          </cell>
          <cell r="Z23">
            <v>8329000</v>
          </cell>
          <cell r="AA23">
            <v>8329000</v>
          </cell>
          <cell r="AB23">
            <v>7619000</v>
          </cell>
          <cell r="AC23">
            <v>7737000</v>
          </cell>
          <cell r="AD23">
            <v>7782000</v>
          </cell>
          <cell r="AE23">
            <v>8097000</v>
          </cell>
          <cell r="AF23">
            <v>8097000</v>
          </cell>
          <cell r="AG23">
            <v>8329000</v>
          </cell>
          <cell r="AH23">
            <v>8157000</v>
          </cell>
          <cell r="AI23">
            <v>8390000</v>
          </cell>
          <cell r="AJ23">
            <v>8504000</v>
          </cell>
          <cell r="AK23">
            <v>8504000</v>
          </cell>
          <cell r="AL23">
            <v>8576000</v>
          </cell>
          <cell r="AM23">
            <v>8583000</v>
          </cell>
          <cell r="AN23">
            <v>8802000</v>
          </cell>
          <cell r="AO23">
            <v>9513000</v>
          </cell>
          <cell r="AP23">
            <v>9513000</v>
          </cell>
          <cell r="AQ23">
            <v>9609000</v>
          </cell>
          <cell r="AR23">
            <v>10079000</v>
          </cell>
          <cell r="AS23">
            <v>10491000</v>
          </cell>
          <cell r="AT23">
            <v>19314000</v>
          </cell>
          <cell r="AU23">
            <v>19314000</v>
          </cell>
          <cell r="AV23">
            <v>19228000</v>
          </cell>
          <cell r="AW23">
            <v>19764000</v>
          </cell>
          <cell r="AX23">
            <v>20178000</v>
          </cell>
          <cell r="AY23">
            <v>20473000</v>
          </cell>
          <cell r="AZ23">
            <v>20473000</v>
          </cell>
          <cell r="BA23">
            <v>20335093.560305145</v>
          </cell>
          <cell r="BB23">
            <v>20311893.007036537</v>
          </cell>
          <cell r="BC23">
            <v>20274113.194319468</v>
          </cell>
          <cell r="BD23">
            <v>20268146.243873864</v>
          </cell>
          <cell r="BE23">
            <v>20268146.243873864</v>
          </cell>
          <cell r="BF23">
            <v>20138087.544812504</v>
          </cell>
          <cell r="BG23">
            <v>20193371.1044554</v>
          </cell>
          <cell r="BH23">
            <v>20111128.823602699</v>
          </cell>
          <cell r="BI23">
            <v>20201998.903394002</v>
          </cell>
          <cell r="BJ23">
            <v>20201998.903394002</v>
          </cell>
          <cell r="BK23">
            <v>20236785.839898162</v>
          </cell>
          <cell r="BL23">
            <v>20428180.787120175</v>
          </cell>
          <cell r="BM23">
            <v>20534472.80194883</v>
          </cell>
          <cell r="BN23">
            <v>20736430.151705872</v>
          </cell>
          <cell r="BO23">
            <v>20736430.151705872</v>
          </cell>
          <cell r="BP23">
            <v>21116314.30805308</v>
          </cell>
          <cell r="BQ23">
            <v>21045512.368419219</v>
          </cell>
          <cell r="BR23">
            <v>20951129.012257554</v>
          </cell>
          <cell r="BS23">
            <v>20945955.180293262</v>
          </cell>
          <cell r="BT23">
            <v>20945955.180293262</v>
          </cell>
          <cell r="BU23">
            <v>20860713.076249171</v>
          </cell>
          <cell r="BV23">
            <v>20795085.671219319</v>
          </cell>
          <cell r="BW23">
            <v>20700419.925456051</v>
          </cell>
          <cell r="BX23">
            <v>20702170.675200976</v>
          </cell>
          <cell r="BY23">
            <v>20702170.675200976</v>
          </cell>
        </row>
        <row r="26">
          <cell r="A26" t="str">
            <v>Liabilities</v>
          </cell>
        </row>
        <row r="27">
          <cell r="A27" t="str">
            <v>Commercial property debt</v>
          </cell>
          <cell r="C27">
            <v>3001257.6</v>
          </cell>
          <cell r="D27">
            <v>3816160</v>
          </cell>
          <cell r="E27">
            <v>3477456</v>
          </cell>
          <cell r="F27">
            <v>4226000</v>
          </cell>
          <cell r="G27">
            <v>4226000</v>
          </cell>
          <cell r="H27">
            <v>4257501</v>
          </cell>
          <cell r="I27">
            <v>4361000</v>
          </cell>
          <cell r="J27">
            <v>4302000</v>
          </cell>
          <cell r="K27">
            <v>4139000</v>
          </cell>
          <cell r="L27">
            <v>4139000</v>
          </cell>
          <cell r="M27">
            <v>4415000</v>
          </cell>
          <cell r="N27">
            <v>4797000</v>
          </cell>
          <cell r="O27">
            <v>4843000</v>
          </cell>
          <cell r="P27">
            <v>4542000</v>
          </cell>
          <cell r="Q27">
            <v>4542000</v>
          </cell>
          <cell r="R27">
            <v>4908000</v>
          </cell>
          <cell r="S27">
            <v>4910000</v>
          </cell>
          <cell r="T27">
            <v>4782000</v>
          </cell>
          <cell r="U27">
            <v>4376000</v>
          </cell>
          <cell r="V27">
            <v>4376000</v>
          </cell>
          <cell r="W27">
            <v>4544000</v>
          </cell>
          <cell r="X27">
            <v>4571000</v>
          </cell>
          <cell r="Y27">
            <v>4587000</v>
          </cell>
          <cell r="Z27">
            <v>4588000</v>
          </cell>
          <cell r="AA27">
            <v>4588000</v>
          </cell>
          <cell r="AB27">
            <v>4102000</v>
          </cell>
          <cell r="AC27">
            <v>4106000</v>
          </cell>
          <cell r="AD27">
            <v>4014000</v>
          </cell>
          <cell r="AE27">
            <v>4537000</v>
          </cell>
          <cell r="AF27">
            <v>4537000</v>
          </cell>
          <cell r="AG27">
            <v>4582000</v>
          </cell>
          <cell r="AH27">
            <v>4395000</v>
          </cell>
          <cell r="AI27">
            <v>4524000</v>
          </cell>
          <cell r="AJ27">
            <v>4550000</v>
          </cell>
          <cell r="AK27">
            <v>4550000</v>
          </cell>
          <cell r="AL27">
            <v>4616000</v>
          </cell>
          <cell r="AM27">
            <v>4679000</v>
          </cell>
          <cell r="AN27">
            <v>4731000</v>
          </cell>
          <cell r="AO27">
            <v>5216000</v>
          </cell>
          <cell r="AP27">
            <v>5216000</v>
          </cell>
          <cell r="AQ27">
            <v>5261000</v>
          </cell>
          <cell r="AR27">
            <v>5584000</v>
          </cell>
          <cell r="AS27">
            <v>5924000</v>
          </cell>
          <cell r="AT27">
            <v>11185000</v>
          </cell>
          <cell r="AU27">
            <v>11185000</v>
          </cell>
          <cell r="AV27">
            <v>11142000</v>
          </cell>
          <cell r="AW27">
            <v>11433000</v>
          </cell>
          <cell r="AX27">
            <v>11865000</v>
          </cell>
          <cell r="AY27">
            <v>12125000</v>
          </cell>
          <cell r="AZ27">
            <v>12125000</v>
          </cell>
          <cell r="BA27">
            <v>12574186.359884145</v>
          </cell>
          <cell r="BB27">
            <v>12489357.42251775</v>
          </cell>
          <cell r="BC27">
            <v>12556318.443754667</v>
          </cell>
          <cell r="BD27">
            <v>12424654.710073715</v>
          </cell>
          <cell r="BE27">
            <v>12424654.710073715</v>
          </cell>
          <cell r="BF27">
            <v>12600461.688368637</v>
          </cell>
          <cell r="BG27">
            <v>12603188.676862668</v>
          </cell>
          <cell r="BH27">
            <v>12612212.355149075</v>
          </cell>
          <cell r="BI27">
            <v>12593564.040513879</v>
          </cell>
          <cell r="BJ27">
            <v>12593564.040513879</v>
          </cell>
          <cell r="BK27">
            <v>12888565.209697226</v>
          </cell>
          <cell r="BL27">
            <v>13032979.248956321</v>
          </cell>
          <cell r="BM27">
            <v>13223473.285430437</v>
          </cell>
          <cell r="BN27">
            <v>13323543.847670512</v>
          </cell>
          <cell r="BO27">
            <v>13323543.847670512</v>
          </cell>
          <cell r="BP27">
            <v>13855443.861358048</v>
          </cell>
          <cell r="BQ27">
            <v>13829534.919096094</v>
          </cell>
          <cell r="BR27">
            <v>13811715.23254494</v>
          </cell>
          <cell r="BS27">
            <v>13715356.778473288</v>
          </cell>
          <cell r="BT27">
            <v>13715356.778473288</v>
          </cell>
          <cell r="BU27">
            <v>13734787.875756167</v>
          </cell>
          <cell r="BV27">
            <v>13703737.500151824</v>
          </cell>
          <cell r="BW27">
            <v>13684439.963861492</v>
          </cell>
          <cell r="BX27">
            <v>13581560.528215745</v>
          </cell>
          <cell r="BY27">
            <v>13581560.528215745</v>
          </cell>
          <cell r="CB27" t="str">
            <v>mstag:longTermDebt</v>
          </cell>
          <cell r="CC27">
            <v>3</v>
          </cell>
          <cell r="CD27" t="str">
            <v>ISO4217:USD</v>
          </cell>
          <cell r="CE27" t="b">
            <v>0</v>
          </cell>
          <cell r="CF27" t="b">
            <v>0</v>
          </cell>
        </row>
        <row r="28">
          <cell r="A28" t="str">
            <v>Commercial Development Property Debt</v>
          </cell>
          <cell r="C28">
            <v>400824</v>
          </cell>
          <cell r="D28">
            <v>394400</v>
          </cell>
          <cell r="E28">
            <v>332568</v>
          </cell>
          <cell r="F28">
            <v>0</v>
          </cell>
          <cell r="G28">
            <v>0</v>
          </cell>
          <cell r="H28">
            <v>0</v>
          </cell>
          <cell r="I28">
            <v>0</v>
          </cell>
          <cell r="J28">
            <v>0</v>
          </cell>
          <cell r="K28">
            <v>0</v>
          </cell>
          <cell r="L28">
            <v>0</v>
          </cell>
          <cell r="M28">
            <v>0</v>
          </cell>
          <cell r="N28">
            <v>0</v>
          </cell>
          <cell r="O28">
            <v>0</v>
          </cell>
          <cell r="P28">
            <v>160000</v>
          </cell>
          <cell r="Q28">
            <v>160000</v>
          </cell>
          <cell r="R28">
            <v>0</v>
          </cell>
          <cell r="S28">
            <v>0</v>
          </cell>
          <cell r="T28">
            <v>0</v>
          </cell>
          <cell r="U28">
            <v>230000</v>
          </cell>
          <cell r="V28">
            <v>230000</v>
          </cell>
          <cell r="W28">
            <v>0</v>
          </cell>
          <cell r="X28">
            <v>0</v>
          </cell>
          <cell r="Y28">
            <v>0</v>
          </cell>
          <cell r="Z28">
            <v>0</v>
          </cell>
          <cell r="AA28">
            <v>0</v>
          </cell>
          <cell r="AB28">
            <v>597000</v>
          </cell>
          <cell r="AC28">
            <v>622000</v>
          </cell>
          <cell r="AD28">
            <v>649000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CB28" t="str">
            <v>mstag:longTermDebt</v>
          </cell>
          <cell r="CC28">
            <v>3</v>
          </cell>
          <cell r="CD28" t="str">
            <v>ISO4217:USD</v>
          </cell>
          <cell r="CE28" t="b">
            <v>0</v>
          </cell>
          <cell r="CF28" t="b">
            <v>0</v>
          </cell>
        </row>
        <row r="29">
          <cell r="A29" t="str">
            <v>Accounts payable and Accrued Liabilities</v>
          </cell>
          <cell r="C29">
            <v>202521.60000000001</v>
          </cell>
          <cell r="D29">
            <v>224400</v>
          </cell>
          <cell r="E29">
            <v>211482</v>
          </cell>
          <cell r="F29">
            <v>251000</v>
          </cell>
          <cell r="G29">
            <v>251000</v>
          </cell>
          <cell r="H29">
            <v>217469</v>
          </cell>
          <cell r="I29">
            <v>280000</v>
          </cell>
          <cell r="J29">
            <v>257000</v>
          </cell>
          <cell r="K29">
            <v>276000</v>
          </cell>
          <cell r="L29">
            <v>276000</v>
          </cell>
          <cell r="M29">
            <v>309000</v>
          </cell>
          <cell r="N29">
            <v>282000</v>
          </cell>
          <cell r="O29">
            <v>324000</v>
          </cell>
          <cell r="P29">
            <v>1031000</v>
          </cell>
          <cell r="Q29">
            <v>1031000</v>
          </cell>
          <cell r="R29">
            <v>327000</v>
          </cell>
          <cell r="S29">
            <v>345000</v>
          </cell>
          <cell r="T29">
            <v>319000</v>
          </cell>
          <cell r="U29">
            <v>460000</v>
          </cell>
          <cell r="V29">
            <v>460000</v>
          </cell>
          <cell r="W29">
            <v>308000</v>
          </cell>
          <cell r="X29">
            <v>341000</v>
          </cell>
          <cell r="Y29">
            <v>355000</v>
          </cell>
          <cell r="Z29">
            <v>246000</v>
          </cell>
          <cell r="AA29">
            <v>246000</v>
          </cell>
          <cell r="AB29">
            <v>451000</v>
          </cell>
          <cell r="AC29">
            <v>457000</v>
          </cell>
          <cell r="AD29">
            <v>541000</v>
          </cell>
          <cell r="AE29">
            <v>276000</v>
          </cell>
          <cell r="AF29">
            <v>276000</v>
          </cell>
          <cell r="AG29">
            <v>717000</v>
          </cell>
          <cell r="AH29">
            <v>273000</v>
          </cell>
          <cell r="AI29">
            <v>310000</v>
          </cell>
          <cell r="AJ29">
            <v>289000</v>
          </cell>
          <cell r="AK29">
            <v>289000</v>
          </cell>
          <cell r="AL29">
            <v>294000</v>
          </cell>
          <cell r="AM29">
            <v>242000</v>
          </cell>
          <cell r="AN29">
            <v>328000</v>
          </cell>
          <cell r="AO29">
            <v>468000</v>
          </cell>
          <cell r="AP29">
            <v>468000</v>
          </cell>
          <cell r="AQ29">
            <v>480000</v>
          </cell>
          <cell r="AR29">
            <v>419000</v>
          </cell>
          <cell r="AS29">
            <v>831000</v>
          </cell>
          <cell r="AT29">
            <v>687000</v>
          </cell>
          <cell r="AU29">
            <v>687000</v>
          </cell>
          <cell r="AV29">
            <v>934000</v>
          </cell>
          <cell r="AW29">
            <v>1028000</v>
          </cell>
          <cell r="AX29">
            <v>1231000</v>
          </cell>
          <cell r="AY29">
            <v>1357000</v>
          </cell>
          <cell r="AZ29">
            <v>1357000</v>
          </cell>
          <cell r="BA29">
            <v>833105.08458367526</v>
          </cell>
          <cell r="BB29">
            <v>942703.05900989578</v>
          </cell>
          <cell r="BC29">
            <v>897079.05399362836</v>
          </cell>
          <cell r="BD29">
            <v>1068915.8745765812</v>
          </cell>
          <cell r="BE29">
            <v>1068915.8745765812</v>
          </cell>
          <cell r="BF29">
            <v>818035.03778369585</v>
          </cell>
          <cell r="BG29">
            <v>912740.86061653041</v>
          </cell>
          <cell r="BH29">
            <v>874579.84499243274</v>
          </cell>
          <cell r="BI29">
            <v>1026410.7762452781</v>
          </cell>
          <cell r="BJ29">
            <v>1026410.7762452781</v>
          </cell>
          <cell r="BK29">
            <v>817647.1414554168</v>
          </cell>
          <cell r="BL29">
            <v>904662.88487636833</v>
          </cell>
          <cell r="BM29">
            <v>870645.1285335765</v>
          </cell>
          <cell r="BN29">
            <v>1013326.3252529985</v>
          </cell>
          <cell r="BO29">
            <v>1013326.3252529985</v>
          </cell>
          <cell r="BP29">
            <v>895266.03521846607</v>
          </cell>
          <cell r="BQ29">
            <v>888194.31266818859</v>
          </cell>
          <cell r="BR29">
            <v>860056.59816767834</v>
          </cell>
          <cell r="BS29">
            <v>990080.76471625501</v>
          </cell>
          <cell r="BT29">
            <v>990080.76471625501</v>
          </cell>
          <cell r="BU29">
            <v>916722.65689509735</v>
          </cell>
          <cell r="BV29">
            <v>913690.01898771769</v>
          </cell>
          <cell r="BW29">
            <v>881274.70881423599</v>
          </cell>
          <cell r="BX29">
            <v>1018398.8604159898</v>
          </cell>
          <cell r="BY29">
            <v>1018398.8604159898</v>
          </cell>
          <cell r="CB29" t="str">
            <v>mstag:tradeAndOtherPayablesCurrent</v>
          </cell>
          <cell r="CC29">
            <v>3</v>
          </cell>
          <cell r="CD29" t="str">
            <v>ISO4217:USD</v>
          </cell>
          <cell r="CE29" t="b">
            <v>0</v>
          </cell>
          <cell r="CF29" t="b">
            <v>0</v>
          </cell>
        </row>
        <row r="30">
          <cell r="A30" t="str">
            <v>Other Advances</v>
          </cell>
          <cell r="C30">
            <v>467628</v>
          </cell>
          <cell r="D30">
            <v>503880</v>
          </cell>
          <cell r="E30">
            <v>381672</v>
          </cell>
          <cell r="F30">
            <v>411000</v>
          </cell>
          <cell r="G30">
            <v>411000</v>
          </cell>
          <cell r="H30">
            <v>0</v>
          </cell>
          <cell r="I30">
            <v>380000</v>
          </cell>
          <cell r="J30">
            <v>0</v>
          </cell>
          <cell r="K30">
            <v>0</v>
          </cell>
          <cell r="L30">
            <v>0</v>
          </cell>
          <cell r="M30">
            <v>0</v>
          </cell>
          <cell r="N30">
            <v>0</v>
          </cell>
          <cell r="O30">
            <v>0</v>
          </cell>
          <cell r="R30">
            <v>0</v>
          </cell>
          <cell r="S30">
            <v>0</v>
          </cell>
          <cell r="T30">
            <v>0</v>
          </cell>
          <cell r="U30">
            <v>0</v>
          </cell>
          <cell r="W30">
            <v>0</v>
          </cell>
          <cell r="X30">
            <v>0</v>
          </cell>
          <cell r="Y30">
            <v>0</v>
          </cell>
          <cell r="Z30">
            <v>183000</v>
          </cell>
          <cell r="AA30">
            <v>183000</v>
          </cell>
          <cell r="AB30">
            <v>0</v>
          </cell>
          <cell r="AC30">
            <v>0</v>
          </cell>
          <cell r="AD30">
            <v>0</v>
          </cell>
          <cell r="AE30">
            <v>269000</v>
          </cell>
          <cell r="AF30">
            <v>269000</v>
          </cell>
          <cell r="AG30">
            <v>0</v>
          </cell>
          <cell r="AH30">
            <v>253000</v>
          </cell>
          <cell r="AI30">
            <v>241000</v>
          </cell>
          <cell r="AJ30">
            <v>135000</v>
          </cell>
          <cell r="AK30">
            <v>135000</v>
          </cell>
          <cell r="AL30">
            <v>138000</v>
          </cell>
          <cell r="AM30">
            <v>140000</v>
          </cell>
          <cell r="AN30">
            <v>169000</v>
          </cell>
          <cell r="AO30">
            <v>158000</v>
          </cell>
          <cell r="AP30">
            <v>158000</v>
          </cell>
          <cell r="AQ30">
            <v>178000</v>
          </cell>
          <cell r="AR30">
            <v>354000</v>
          </cell>
          <cell r="AS30">
            <v>0</v>
          </cell>
          <cell r="AT30">
            <v>236000</v>
          </cell>
          <cell r="AU30">
            <v>236000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CB30" t="str">
            <v>mstag:tradeAndOtherPayablesCurrent</v>
          </cell>
          <cell r="CC30">
            <v>3</v>
          </cell>
          <cell r="CD30" t="str">
            <v>ISO4217:USD</v>
          </cell>
          <cell r="CE30" t="b">
            <v>0</v>
          </cell>
          <cell r="CF30" t="b">
            <v>0</v>
          </cell>
        </row>
        <row r="31">
          <cell r="A31" t="str">
            <v>Future income tax liability</v>
          </cell>
          <cell r="C31">
            <v>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18000</v>
          </cell>
          <cell r="AF31">
            <v>18000</v>
          </cell>
          <cell r="AG31">
            <v>53000</v>
          </cell>
          <cell r="AH31">
            <v>101000</v>
          </cell>
          <cell r="AI31">
            <v>106000</v>
          </cell>
          <cell r="AJ31">
            <v>96000</v>
          </cell>
          <cell r="AK31">
            <v>96000</v>
          </cell>
          <cell r="AL31">
            <v>116000</v>
          </cell>
          <cell r="AM31">
            <v>137000</v>
          </cell>
          <cell r="AN31">
            <v>123000</v>
          </cell>
          <cell r="AO31">
            <v>188000</v>
          </cell>
          <cell r="AP31">
            <v>188000</v>
          </cell>
          <cell r="AQ31">
            <v>228000</v>
          </cell>
          <cell r="AR31">
            <v>246000</v>
          </cell>
          <cell r="AS31">
            <v>262000</v>
          </cell>
          <cell r="AT31">
            <v>584000</v>
          </cell>
          <cell r="AU31">
            <v>584000</v>
          </cell>
          <cell r="AV31">
            <v>591000</v>
          </cell>
          <cell r="AW31">
            <v>586000</v>
          </cell>
          <cell r="AX31">
            <v>559000</v>
          </cell>
          <cell r="AY31">
            <v>600000</v>
          </cell>
          <cell r="AZ31">
            <v>600000</v>
          </cell>
          <cell r="BA31">
            <v>599830.59323296987</v>
          </cell>
          <cell r="BB31">
            <v>601491.64442509529</v>
          </cell>
          <cell r="BC31">
            <v>602014.40656220866</v>
          </cell>
          <cell r="BD31">
            <v>603955.84815741272</v>
          </cell>
          <cell r="BE31">
            <v>603955.84815741272</v>
          </cell>
          <cell r="BF31">
            <v>604925.72916910844</v>
          </cell>
          <cell r="BG31">
            <v>607738.49507005536</v>
          </cell>
          <cell r="BH31">
            <v>609439.51639584114</v>
          </cell>
          <cell r="BI31">
            <v>612284.00188526523</v>
          </cell>
          <cell r="BJ31">
            <v>612284.00188526523</v>
          </cell>
          <cell r="BK31">
            <v>614121.99269219034</v>
          </cell>
          <cell r="BL31">
            <v>617638.88271377294</v>
          </cell>
          <cell r="BM31">
            <v>620148.85468486778</v>
          </cell>
          <cell r="BN31">
            <v>623626.59084257041</v>
          </cell>
          <cell r="BO31">
            <v>623626.59084257041</v>
          </cell>
          <cell r="BP31">
            <v>628129.88354287704</v>
          </cell>
          <cell r="BQ31">
            <v>632388.08416776219</v>
          </cell>
          <cell r="BR31">
            <v>635584.15687590418</v>
          </cell>
          <cell r="BS31">
            <v>639775.64327257313</v>
          </cell>
          <cell r="BT31">
            <v>639775.64327257313</v>
          </cell>
          <cell r="BU31">
            <v>645082.5222794452</v>
          </cell>
          <cell r="BV31">
            <v>650624.30457864958</v>
          </cell>
          <cell r="BW31">
            <v>655004.70008861145</v>
          </cell>
          <cell r="BX31">
            <v>660494.26168044948</v>
          </cell>
          <cell r="BY31">
            <v>660494.26168044948</v>
          </cell>
          <cell r="CB31" t="str">
            <v>mstag:deferredTaxLiabilities</v>
          </cell>
          <cell r="CC31">
            <v>3</v>
          </cell>
          <cell r="CD31" t="str">
            <v>ISO4217:USD</v>
          </cell>
          <cell r="CE31" t="b">
            <v>0</v>
          </cell>
          <cell r="CF31" t="b">
            <v>0</v>
          </cell>
        </row>
        <row r="32">
          <cell r="A32" t="str">
            <v>Intangible Liabilties</v>
          </cell>
          <cell r="AT32">
            <v>919000</v>
          </cell>
          <cell r="AU32">
            <v>919000</v>
          </cell>
          <cell r="AV32">
            <v>884000</v>
          </cell>
          <cell r="AW32">
            <v>915000</v>
          </cell>
          <cell r="AX32">
            <v>871000</v>
          </cell>
          <cell r="AY32">
            <v>834000</v>
          </cell>
          <cell r="AZ32">
            <v>834000</v>
          </cell>
          <cell r="BA32">
            <v>834000</v>
          </cell>
          <cell r="BB32">
            <v>834000</v>
          </cell>
          <cell r="BC32">
            <v>834000</v>
          </cell>
          <cell r="BD32">
            <v>834000</v>
          </cell>
          <cell r="BE32">
            <v>834000</v>
          </cell>
          <cell r="BF32">
            <v>834000</v>
          </cell>
          <cell r="BG32">
            <v>834000</v>
          </cell>
          <cell r="BH32">
            <v>834000</v>
          </cell>
          <cell r="BI32">
            <v>834000</v>
          </cell>
          <cell r="BJ32">
            <v>834000</v>
          </cell>
          <cell r="BK32">
            <v>834000</v>
          </cell>
          <cell r="BL32">
            <v>834000</v>
          </cell>
          <cell r="BM32">
            <v>834000</v>
          </cell>
          <cell r="BN32">
            <v>834000</v>
          </cell>
          <cell r="BO32">
            <v>834000</v>
          </cell>
          <cell r="BP32">
            <v>834000</v>
          </cell>
          <cell r="BQ32">
            <v>834000</v>
          </cell>
          <cell r="BR32">
            <v>834000</v>
          </cell>
          <cell r="BS32">
            <v>834000</v>
          </cell>
          <cell r="BT32">
            <v>834000</v>
          </cell>
          <cell r="BU32">
            <v>834000</v>
          </cell>
          <cell r="BV32">
            <v>834000</v>
          </cell>
          <cell r="BW32">
            <v>834000</v>
          </cell>
          <cell r="BX32">
            <v>834000</v>
          </cell>
          <cell r="BY32">
            <v>834000</v>
          </cell>
          <cell r="CB32" t="str">
            <v>mstag:otherLiabilitiesOperating</v>
          </cell>
          <cell r="CC32">
            <v>3</v>
          </cell>
          <cell r="CD32" t="str">
            <v>ISO4217:USD</v>
          </cell>
          <cell r="CE32" t="b">
            <v>0</v>
          </cell>
          <cell r="CF32" t="b">
            <v>0</v>
          </cell>
        </row>
        <row r="33">
          <cell r="A33" t="str">
            <v>Liabilities of Assets Held for Sale</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N33">
            <v>12000</v>
          </cell>
          <cell r="AO33">
            <v>51000</v>
          </cell>
          <cell r="AP33">
            <v>51000</v>
          </cell>
          <cell r="AQ33">
            <v>32000</v>
          </cell>
          <cell r="AR33">
            <v>0</v>
          </cell>
          <cell r="AS33">
            <v>0</v>
          </cell>
          <cell r="AT33">
            <v>36000</v>
          </cell>
          <cell r="AU33">
            <v>36000</v>
          </cell>
          <cell r="AV33">
            <v>7000</v>
          </cell>
          <cell r="AW33">
            <v>4000</v>
          </cell>
          <cell r="AX33">
            <v>39000</v>
          </cell>
          <cell r="AY33">
            <v>3000</v>
          </cell>
          <cell r="AZ33">
            <v>3000</v>
          </cell>
          <cell r="BA33">
            <v>3000</v>
          </cell>
          <cell r="BB33">
            <v>3000</v>
          </cell>
          <cell r="BC33">
            <v>3000</v>
          </cell>
          <cell r="BD33">
            <v>3000</v>
          </cell>
          <cell r="BE33">
            <v>3000</v>
          </cell>
          <cell r="BF33">
            <v>3000</v>
          </cell>
          <cell r="BG33">
            <v>3000</v>
          </cell>
          <cell r="BH33">
            <v>3000</v>
          </cell>
          <cell r="BI33">
            <v>3000</v>
          </cell>
          <cell r="BJ33">
            <v>3000</v>
          </cell>
          <cell r="BK33">
            <v>3000</v>
          </cell>
          <cell r="BL33">
            <v>3000</v>
          </cell>
          <cell r="BM33">
            <v>3000</v>
          </cell>
          <cell r="BN33">
            <v>3000</v>
          </cell>
          <cell r="BO33">
            <v>3000</v>
          </cell>
          <cell r="BP33">
            <v>3000</v>
          </cell>
          <cell r="BQ33">
            <v>3000</v>
          </cell>
          <cell r="BR33">
            <v>3000</v>
          </cell>
          <cell r="BS33">
            <v>3000</v>
          </cell>
          <cell r="BT33">
            <v>3000</v>
          </cell>
          <cell r="BU33">
            <v>3000</v>
          </cell>
          <cell r="BV33">
            <v>3000</v>
          </cell>
          <cell r="BW33">
            <v>3000</v>
          </cell>
          <cell r="BX33">
            <v>3000</v>
          </cell>
          <cell r="BY33">
            <v>3000</v>
          </cell>
          <cell r="CB33" t="str">
            <v>mstag:otherLiabilitiesOperating</v>
          </cell>
          <cell r="CC33">
            <v>3</v>
          </cell>
          <cell r="CD33" t="str">
            <v>ISO4217:USD</v>
          </cell>
          <cell r="CE33" t="b">
            <v>0</v>
          </cell>
          <cell r="CF33" t="b">
            <v>0</v>
          </cell>
        </row>
        <row r="34">
          <cell r="A34" t="str">
            <v>Capital securities</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1069000</v>
          </cell>
          <cell r="AK34">
            <v>1069000</v>
          </cell>
          <cell r="AL34">
            <v>1060000</v>
          </cell>
          <cell r="AM34">
            <v>1045000</v>
          </cell>
          <cell r="AN34">
            <v>1101000</v>
          </cell>
          <cell r="AO34">
            <v>1101000</v>
          </cell>
          <cell r="AP34">
            <v>1101000</v>
          </cell>
          <cell r="AQ34">
            <v>1093000</v>
          </cell>
          <cell r="AR34">
            <v>1137000</v>
          </cell>
          <cell r="AS34">
            <v>1137000</v>
          </cell>
          <cell r="AT34">
            <v>1896000</v>
          </cell>
          <cell r="AU34">
            <v>1896000</v>
          </cell>
          <cell r="AV34">
            <v>1881000</v>
          </cell>
          <cell r="AW34">
            <v>1953000</v>
          </cell>
          <cell r="AX34">
            <v>1827000</v>
          </cell>
          <cell r="AY34">
            <v>1815000</v>
          </cell>
          <cell r="AZ34">
            <v>1815000</v>
          </cell>
          <cell r="BA34">
            <v>1815000</v>
          </cell>
          <cell r="BB34">
            <v>1815000</v>
          </cell>
          <cell r="BC34">
            <v>1815000</v>
          </cell>
          <cell r="BD34">
            <v>1815000</v>
          </cell>
          <cell r="BE34">
            <v>1815000</v>
          </cell>
          <cell r="BF34">
            <v>1815000</v>
          </cell>
          <cell r="BG34">
            <v>1815000</v>
          </cell>
          <cell r="BH34">
            <v>1815000</v>
          </cell>
          <cell r="BI34">
            <v>1815000</v>
          </cell>
          <cell r="BJ34">
            <v>1815000</v>
          </cell>
          <cell r="BK34">
            <v>1815000</v>
          </cell>
          <cell r="BL34">
            <v>1815000</v>
          </cell>
          <cell r="BM34">
            <v>1815000</v>
          </cell>
          <cell r="BN34">
            <v>1815000</v>
          </cell>
          <cell r="BO34">
            <v>1815000</v>
          </cell>
          <cell r="BP34">
            <v>1815000</v>
          </cell>
          <cell r="BQ34">
            <v>1815000</v>
          </cell>
          <cell r="BR34">
            <v>1815000</v>
          </cell>
          <cell r="BS34">
            <v>1815000</v>
          </cell>
          <cell r="BT34">
            <v>1815000</v>
          </cell>
          <cell r="BU34">
            <v>1815000</v>
          </cell>
          <cell r="BV34">
            <v>1815000</v>
          </cell>
          <cell r="BW34">
            <v>1815000</v>
          </cell>
          <cell r="BX34">
            <v>1815000</v>
          </cell>
          <cell r="BY34">
            <v>1815000</v>
          </cell>
          <cell r="CB34" t="str">
            <v>mstag:longTermDebt</v>
          </cell>
          <cell r="CC34">
            <v>3</v>
          </cell>
          <cell r="CD34" t="str">
            <v>ISO4217:USD</v>
          </cell>
          <cell r="CE34" t="b">
            <v>0</v>
          </cell>
          <cell r="CF34" t="b">
            <v>0</v>
          </cell>
        </row>
        <row r="35">
          <cell r="A35" t="str">
            <v xml:space="preserve">    Capital securities - corporate</v>
          </cell>
          <cell r="AT35">
            <v>1093000</v>
          </cell>
          <cell r="AU35">
            <v>1093000</v>
          </cell>
          <cell r="AV35">
            <v>1095000</v>
          </cell>
          <cell r="AW35">
            <v>1179000</v>
          </cell>
          <cell r="AX35">
            <v>1058000</v>
          </cell>
          <cell r="AY35">
            <v>1053000</v>
          </cell>
          <cell r="AZ35">
            <v>1053000</v>
          </cell>
          <cell r="BA35">
            <v>1053000</v>
          </cell>
          <cell r="BB35">
            <v>1053000</v>
          </cell>
          <cell r="BC35">
            <v>1053000</v>
          </cell>
          <cell r="BD35">
            <v>1053000</v>
          </cell>
          <cell r="BE35">
            <v>1053000</v>
          </cell>
          <cell r="BF35">
            <v>1053000</v>
          </cell>
          <cell r="BG35">
            <v>1053000</v>
          </cell>
          <cell r="BH35">
            <v>1053000</v>
          </cell>
          <cell r="BI35">
            <v>1053000</v>
          </cell>
          <cell r="BJ35">
            <v>1053000</v>
          </cell>
          <cell r="BK35">
            <v>1053000</v>
          </cell>
          <cell r="BL35">
            <v>1053000</v>
          </cell>
          <cell r="BM35">
            <v>1053000</v>
          </cell>
          <cell r="BN35">
            <v>1053000</v>
          </cell>
          <cell r="BO35">
            <v>1053000</v>
          </cell>
          <cell r="BP35">
            <v>1053000</v>
          </cell>
          <cell r="BQ35">
            <v>1053000</v>
          </cell>
          <cell r="BR35">
            <v>1053000</v>
          </cell>
          <cell r="BS35">
            <v>1053000</v>
          </cell>
          <cell r="BT35">
            <v>1053000</v>
          </cell>
          <cell r="BU35">
            <v>1053000</v>
          </cell>
          <cell r="BV35">
            <v>1053000</v>
          </cell>
          <cell r="BW35">
            <v>1053000</v>
          </cell>
          <cell r="BX35">
            <v>1053000</v>
          </cell>
          <cell r="BY35">
            <v>1053000</v>
          </cell>
        </row>
        <row r="36">
          <cell r="A36" t="str">
            <v xml:space="preserve">    Capital securities - fund subsidiaries</v>
          </cell>
          <cell r="AT36">
            <v>803000</v>
          </cell>
          <cell r="AU36">
            <v>803000</v>
          </cell>
          <cell r="AV36">
            <v>786000</v>
          </cell>
          <cell r="AW36">
            <v>774000</v>
          </cell>
          <cell r="AX36">
            <v>769000</v>
          </cell>
          <cell r="AY36">
            <v>762000</v>
          </cell>
          <cell r="AZ36">
            <v>762000</v>
          </cell>
          <cell r="BA36">
            <v>762000</v>
          </cell>
          <cell r="BB36">
            <v>762000</v>
          </cell>
          <cell r="BC36">
            <v>762000</v>
          </cell>
          <cell r="BD36">
            <v>762000</v>
          </cell>
          <cell r="BE36">
            <v>762000</v>
          </cell>
          <cell r="BF36">
            <v>762000</v>
          </cell>
          <cell r="BG36">
            <v>762000</v>
          </cell>
          <cell r="BH36">
            <v>762000</v>
          </cell>
          <cell r="BI36">
            <v>762000</v>
          </cell>
          <cell r="BJ36">
            <v>762000</v>
          </cell>
          <cell r="BK36">
            <v>762000</v>
          </cell>
          <cell r="BL36">
            <v>762000</v>
          </cell>
          <cell r="BM36">
            <v>762000</v>
          </cell>
          <cell r="BN36">
            <v>762000</v>
          </cell>
          <cell r="BO36">
            <v>762000</v>
          </cell>
          <cell r="BP36">
            <v>762000</v>
          </cell>
          <cell r="BQ36">
            <v>762000</v>
          </cell>
          <cell r="BR36">
            <v>762000</v>
          </cell>
          <cell r="BS36">
            <v>762000</v>
          </cell>
          <cell r="BT36">
            <v>762000</v>
          </cell>
          <cell r="BU36">
            <v>762000</v>
          </cell>
          <cell r="BV36">
            <v>762000</v>
          </cell>
          <cell r="BW36">
            <v>762000</v>
          </cell>
          <cell r="BX36">
            <v>762000</v>
          </cell>
          <cell r="BY36">
            <v>762000</v>
          </cell>
        </row>
        <row r="37">
          <cell r="A37" t="str">
            <v>Non-controlling interests - fund subsidiaries</v>
          </cell>
          <cell r="AT37">
            <v>266000</v>
          </cell>
          <cell r="AU37">
            <v>266000</v>
          </cell>
          <cell r="AV37">
            <v>256000</v>
          </cell>
          <cell r="AW37">
            <v>251000</v>
          </cell>
          <cell r="AX37">
            <v>239000</v>
          </cell>
          <cell r="AY37">
            <v>193000</v>
          </cell>
          <cell r="AZ37">
            <v>193000</v>
          </cell>
          <cell r="BA37">
            <v>148000</v>
          </cell>
          <cell r="BB37">
            <v>103000</v>
          </cell>
          <cell r="BC37">
            <v>58000</v>
          </cell>
          <cell r="BD37">
            <v>13000</v>
          </cell>
          <cell r="BE37">
            <v>13000</v>
          </cell>
          <cell r="BF37">
            <v>-32000</v>
          </cell>
          <cell r="BG37">
            <v>-77000</v>
          </cell>
          <cell r="BH37">
            <v>-122000</v>
          </cell>
          <cell r="BI37">
            <v>-167000</v>
          </cell>
          <cell r="BJ37">
            <v>-167000</v>
          </cell>
          <cell r="BK37">
            <v>-212000</v>
          </cell>
          <cell r="BL37">
            <v>-257000</v>
          </cell>
          <cell r="BM37">
            <v>-302000</v>
          </cell>
          <cell r="BN37">
            <v>-347000</v>
          </cell>
          <cell r="BO37">
            <v>-347000</v>
          </cell>
          <cell r="BP37">
            <v>-392000</v>
          </cell>
          <cell r="BQ37">
            <v>-437000</v>
          </cell>
          <cell r="BR37">
            <v>-482000</v>
          </cell>
          <cell r="BS37">
            <v>-527000</v>
          </cell>
          <cell r="BT37">
            <v>-527000</v>
          </cell>
          <cell r="BU37">
            <v>-572000</v>
          </cell>
          <cell r="BV37">
            <v>-617000</v>
          </cell>
          <cell r="BW37">
            <v>-662000</v>
          </cell>
          <cell r="BX37">
            <v>-707000</v>
          </cell>
          <cell r="BY37">
            <v>-707000</v>
          </cell>
          <cell r="CB37" t="str">
            <v>mstag:otherLiabilitiesOperating</v>
          </cell>
          <cell r="CC37">
            <v>3</v>
          </cell>
          <cell r="CD37" t="str">
            <v>ISO4217:USD</v>
          </cell>
          <cell r="CE37" t="b">
            <v>0</v>
          </cell>
          <cell r="CF37" t="b">
            <v>0</v>
          </cell>
        </row>
        <row r="38">
          <cell r="A38" t="str">
            <v>Non-controlling interests - other subsidiaries</v>
          </cell>
          <cell r="AT38">
            <v>67000</v>
          </cell>
          <cell r="AU38">
            <v>67000</v>
          </cell>
          <cell r="AV38">
            <v>70000</v>
          </cell>
          <cell r="AW38">
            <v>77000</v>
          </cell>
          <cell r="AX38">
            <v>82000</v>
          </cell>
          <cell r="AY38">
            <v>86000</v>
          </cell>
          <cell r="AZ38">
            <v>86000</v>
          </cell>
          <cell r="BA38">
            <v>86000</v>
          </cell>
          <cell r="BB38">
            <v>86000</v>
          </cell>
          <cell r="BC38">
            <v>86000</v>
          </cell>
          <cell r="BD38">
            <v>86000</v>
          </cell>
          <cell r="BE38">
            <v>86000</v>
          </cell>
          <cell r="BF38">
            <v>86000</v>
          </cell>
          <cell r="BG38">
            <v>86000</v>
          </cell>
          <cell r="BH38">
            <v>86000</v>
          </cell>
          <cell r="BI38">
            <v>86000</v>
          </cell>
          <cell r="BJ38">
            <v>86000</v>
          </cell>
          <cell r="BK38">
            <v>86000</v>
          </cell>
          <cell r="BL38">
            <v>86000</v>
          </cell>
          <cell r="BM38">
            <v>86000</v>
          </cell>
          <cell r="BN38">
            <v>86000</v>
          </cell>
          <cell r="BO38">
            <v>86000</v>
          </cell>
          <cell r="BP38">
            <v>86000</v>
          </cell>
          <cell r="BQ38">
            <v>86000</v>
          </cell>
          <cell r="BR38">
            <v>86000</v>
          </cell>
          <cell r="BS38">
            <v>86000</v>
          </cell>
          <cell r="BT38">
            <v>86000</v>
          </cell>
          <cell r="BU38">
            <v>86000</v>
          </cell>
          <cell r="BV38">
            <v>86000</v>
          </cell>
          <cell r="BW38">
            <v>86000</v>
          </cell>
          <cell r="BX38">
            <v>86000</v>
          </cell>
          <cell r="BY38">
            <v>86000</v>
          </cell>
          <cell r="CB38" t="str">
            <v>mstag:otherLiabilitiesOperating</v>
          </cell>
          <cell r="CC38">
            <v>3</v>
          </cell>
          <cell r="CD38" t="str">
            <v>ISO4217:USD</v>
          </cell>
          <cell r="CE38" t="b">
            <v>0</v>
          </cell>
          <cell r="CF38" t="b">
            <v>0</v>
          </cell>
        </row>
        <row r="39">
          <cell r="A39" t="str">
            <v>Preferred equity - subsidiaries</v>
          </cell>
          <cell r="AU39">
            <v>0</v>
          </cell>
          <cell r="AV39">
            <v>331000</v>
          </cell>
          <cell r="AW39">
            <v>358000</v>
          </cell>
          <cell r="AX39">
            <v>385000</v>
          </cell>
          <cell r="AY39">
            <v>382000</v>
          </cell>
          <cell r="AZ39">
            <v>382000</v>
          </cell>
          <cell r="BA39">
            <v>382000</v>
          </cell>
          <cell r="BB39">
            <v>382000</v>
          </cell>
          <cell r="BC39">
            <v>382000</v>
          </cell>
          <cell r="BD39">
            <v>382000</v>
          </cell>
          <cell r="BE39">
            <v>382000</v>
          </cell>
          <cell r="BF39">
            <v>382000</v>
          </cell>
          <cell r="BG39">
            <v>382000</v>
          </cell>
          <cell r="BH39">
            <v>382000</v>
          </cell>
          <cell r="BI39">
            <v>382000</v>
          </cell>
          <cell r="BJ39">
            <v>382000</v>
          </cell>
          <cell r="BK39">
            <v>382000</v>
          </cell>
          <cell r="BL39">
            <v>382000</v>
          </cell>
          <cell r="BM39">
            <v>382000</v>
          </cell>
          <cell r="BN39">
            <v>382000</v>
          </cell>
          <cell r="BO39">
            <v>382000</v>
          </cell>
          <cell r="BP39">
            <v>382000</v>
          </cell>
          <cell r="BQ39">
            <v>382000</v>
          </cell>
          <cell r="BR39">
            <v>382000</v>
          </cell>
          <cell r="BS39">
            <v>382000</v>
          </cell>
          <cell r="BT39">
            <v>382000</v>
          </cell>
          <cell r="BU39">
            <v>382000</v>
          </cell>
          <cell r="BV39">
            <v>382000</v>
          </cell>
          <cell r="BW39">
            <v>382000</v>
          </cell>
          <cell r="BX39">
            <v>382000</v>
          </cell>
          <cell r="BY39">
            <v>382000</v>
          </cell>
          <cell r="CB39" t="str">
            <v>mstag:preferredEquity</v>
          </cell>
          <cell r="CC39">
            <v>3</v>
          </cell>
          <cell r="CD39" t="str">
            <v>ISO4217:USD</v>
          </cell>
          <cell r="CE39" t="b">
            <v>0</v>
          </cell>
          <cell r="CF39" t="b">
            <v>0</v>
          </cell>
        </row>
        <row r="40">
          <cell r="A40" t="str">
            <v>Liabilities of Brookfield Homes Corporation</v>
          </cell>
          <cell r="C40">
            <v>0</v>
          </cell>
          <cell r="D40">
            <v>0</v>
          </cell>
          <cell r="E40">
            <v>0</v>
          </cell>
          <cell r="F40">
            <v>408000</v>
          </cell>
          <cell r="G40">
            <v>408000</v>
          </cell>
          <cell r="H40">
            <v>830216</v>
          </cell>
          <cell r="I40">
            <v>413000</v>
          </cell>
          <cell r="J40">
            <v>789000</v>
          </cell>
          <cell r="K40">
            <v>1086000</v>
          </cell>
          <cell r="L40">
            <v>1086000</v>
          </cell>
          <cell r="M40">
            <v>754000</v>
          </cell>
          <cell r="N40">
            <v>886000</v>
          </cell>
          <cell r="O40">
            <v>869000</v>
          </cell>
          <cell r="P40">
            <v>549000</v>
          </cell>
          <cell r="Q40">
            <v>549000</v>
          </cell>
          <cell r="R40">
            <v>574000</v>
          </cell>
          <cell r="S40">
            <v>633000</v>
          </cell>
          <cell r="T40">
            <v>582000</v>
          </cell>
          <cell r="U40">
            <v>583000</v>
          </cell>
          <cell r="V40">
            <v>583000</v>
          </cell>
          <cell r="W40">
            <v>562000</v>
          </cell>
          <cell r="X40">
            <v>561000</v>
          </cell>
          <cell r="Y40">
            <v>572000</v>
          </cell>
          <cell r="Z40">
            <v>556000</v>
          </cell>
          <cell r="AA40">
            <v>556000</v>
          </cell>
          <cell r="AB40">
            <v>0</v>
          </cell>
          <cell r="AC40">
            <v>0</v>
          </cell>
          <cell r="AD40">
            <v>0</v>
          </cell>
          <cell r="AE40">
            <v>0</v>
          </cell>
          <cell r="AF40">
            <v>0</v>
          </cell>
          <cell r="AG40">
            <v>0</v>
          </cell>
          <cell r="AH40">
            <v>0</v>
          </cell>
          <cell r="AI40">
            <v>0</v>
          </cell>
          <cell r="AJ40">
            <v>0</v>
          </cell>
          <cell r="AK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CB40" t="str">
            <v>mstag:otherLiabilitiesOperating</v>
          </cell>
          <cell r="CC40">
            <v>3</v>
          </cell>
          <cell r="CD40" t="str">
            <v>ISO4217:USD</v>
          </cell>
          <cell r="CE40" t="b">
            <v>0</v>
          </cell>
          <cell r="CF40" t="b">
            <v>0</v>
          </cell>
        </row>
        <row r="42">
          <cell r="A42" t="str">
            <v>Total Liabilities</v>
          </cell>
          <cell r="C42">
            <v>4072231.2</v>
          </cell>
          <cell r="D42">
            <v>4938840</v>
          </cell>
          <cell r="E42">
            <v>4403178</v>
          </cell>
          <cell r="F42">
            <v>5296000</v>
          </cell>
          <cell r="G42">
            <v>5296000</v>
          </cell>
          <cell r="H42">
            <v>5305186</v>
          </cell>
          <cell r="I42">
            <v>5434000</v>
          </cell>
          <cell r="J42">
            <v>5348000</v>
          </cell>
          <cell r="K42">
            <v>5501000</v>
          </cell>
          <cell r="L42">
            <v>5501000</v>
          </cell>
          <cell r="M42">
            <v>5478000</v>
          </cell>
          <cell r="N42">
            <v>5965000</v>
          </cell>
          <cell r="O42">
            <v>6036000</v>
          </cell>
          <cell r="P42">
            <v>6282000</v>
          </cell>
          <cell r="Q42">
            <v>6282000</v>
          </cell>
          <cell r="R42">
            <v>5809000</v>
          </cell>
          <cell r="S42">
            <v>5888000</v>
          </cell>
          <cell r="T42">
            <v>5683000</v>
          </cell>
          <cell r="U42">
            <v>5649000</v>
          </cell>
          <cell r="V42">
            <v>5649000</v>
          </cell>
          <cell r="W42">
            <v>5414000</v>
          </cell>
          <cell r="X42">
            <v>5473000</v>
          </cell>
          <cell r="Y42">
            <v>5514000</v>
          </cell>
          <cell r="Z42">
            <v>5573000</v>
          </cell>
          <cell r="AA42">
            <v>5573000</v>
          </cell>
          <cell r="AB42">
            <v>5150000</v>
          </cell>
          <cell r="AC42">
            <v>5185000</v>
          </cell>
          <cell r="AD42">
            <v>5204000</v>
          </cell>
          <cell r="AE42">
            <v>5100000</v>
          </cell>
          <cell r="AF42">
            <v>5100000</v>
          </cell>
          <cell r="AG42">
            <v>5352000</v>
          </cell>
          <cell r="AH42">
            <v>5022000</v>
          </cell>
          <cell r="AI42">
            <v>5181000</v>
          </cell>
          <cell r="AJ42">
            <v>6139000</v>
          </cell>
          <cell r="AK42">
            <v>6139000</v>
          </cell>
          <cell r="AL42">
            <v>6224000</v>
          </cell>
          <cell r="AM42">
            <v>6243000</v>
          </cell>
          <cell r="AN42">
            <v>6464000</v>
          </cell>
          <cell r="AO42">
            <v>7182000</v>
          </cell>
          <cell r="AP42">
            <v>7182000</v>
          </cell>
          <cell r="AQ42">
            <v>7272000</v>
          </cell>
          <cell r="AR42">
            <v>7740000</v>
          </cell>
          <cell r="AS42">
            <v>8154000</v>
          </cell>
          <cell r="AT42">
            <v>15876000</v>
          </cell>
          <cell r="AU42">
            <v>15876000</v>
          </cell>
          <cell r="AV42">
            <v>16096000</v>
          </cell>
          <cell r="AW42">
            <v>16605000</v>
          </cell>
          <cell r="AX42">
            <v>17098000</v>
          </cell>
          <cell r="AY42">
            <v>17395000</v>
          </cell>
          <cell r="AZ42">
            <v>17395000</v>
          </cell>
          <cell r="BA42">
            <v>17275122.037700791</v>
          </cell>
          <cell r="BB42">
            <v>17256552.125952743</v>
          </cell>
          <cell r="BC42">
            <v>17233411.904310506</v>
          </cell>
          <cell r="BD42">
            <v>17230526.43280771</v>
          </cell>
          <cell r="BE42">
            <v>17230526.43280771</v>
          </cell>
          <cell r="BF42">
            <v>17111422.455321439</v>
          </cell>
          <cell r="BG42">
            <v>17166668.032549255</v>
          </cell>
          <cell r="BH42">
            <v>17094231.716537349</v>
          </cell>
          <cell r="BI42">
            <v>17185258.818644419</v>
          </cell>
          <cell r="BJ42">
            <v>17185258.818644419</v>
          </cell>
          <cell r="BK42">
            <v>17228334.343844835</v>
          </cell>
          <cell r="BL42">
            <v>17418281.016546462</v>
          </cell>
          <cell r="BM42">
            <v>17532267.268648878</v>
          </cell>
          <cell r="BN42">
            <v>17733496.76376608</v>
          </cell>
          <cell r="BO42">
            <v>17733496.76376608</v>
          </cell>
          <cell r="BP42">
            <v>18106839.780119389</v>
          </cell>
          <cell r="BQ42">
            <v>18033117.315932043</v>
          </cell>
          <cell r="BR42">
            <v>17945355.987588525</v>
          </cell>
          <cell r="BS42">
            <v>17938213.186462115</v>
          </cell>
          <cell r="BT42">
            <v>17938213.186462115</v>
          </cell>
          <cell r="BU42">
            <v>17844593.054930709</v>
          </cell>
          <cell r="BV42">
            <v>17771051.82371819</v>
          </cell>
          <cell r="BW42">
            <v>17678719.372764338</v>
          </cell>
          <cell r="BX42">
            <v>17673453.650312185</v>
          </cell>
          <cell r="BY42">
            <v>17673453.650312185</v>
          </cell>
        </row>
        <row r="44">
          <cell r="A44" t="str">
            <v>Shareholders' interests</v>
          </cell>
        </row>
        <row r="45">
          <cell r="A45" t="str">
            <v>Minority interests of others in properties</v>
          </cell>
          <cell r="C45">
            <v>195792.80000000005</v>
          </cell>
          <cell r="D45">
            <v>272240</v>
          </cell>
          <cell r="E45">
            <v>164708</v>
          </cell>
          <cell r="F45">
            <v>251000</v>
          </cell>
          <cell r="G45">
            <v>251000</v>
          </cell>
          <cell r="H45">
            <v>239408</v>
          </cell>
          <cell r="I45">
            <v>209000</v>
          </cell>
          <cell r="J45">
            <v>221000</v>
          </cell>
          <cell r="K45">
            <v>326000</v>
          </cell>
          <cell r="L45">
            <v>326000</v>
          </cell>
          <cell r="M45">
            <v>303000</v>
          </cell>
          <cell r="N45">
            <v>305000</v>
          </cell>
          <cell r="O45">
            <v>212000</v>
          </cell>
          <cell r="P45">
            <v>159000</v>
          </cell>
          <cell r="Q45">
            <v>159000</v>
          </cell>
          <cell r="R45">
            <v>161000</v>
          </cell>
          <cell r="S45">
            <v>109000</v>
          </cell>
          <cell r="T45">
            <v>110000</v>
          </cell>
          <cell r="U45">
            <v>113000</v>
          </cell>
          <cell r="V45">
            <v>113000</v>
          </cell>
          <cell r="W45">
            <v>120000</v>
          </cell>
          <cell r="X45">
            <v>126000</v>
          </cell>
          <cell r="Y45">
            <v>129000</v>
          </cell>
          <cell r="Z45">
            <v>84000</v>
          </cell>
          <cell r="AA45">
            <v>84000</v>
          </cell>
          <cell r="AB45">
            <v>91000</v>
          </cell>
          <cell r="AC45">
            <v>79000</v>
          </cell>
          <cell r="AD45">
            <v>81000</v>
          </cell>
          <cell r="AE45">
            <v>81000</v>
          </cell>
          <cell r="AF45">
            <v>81000</v>
          </cell>
          <cell r="AG45">
            <v>47000</v>
          </cell>
          <cell r="AH45">
            <v>48000</v>
          </cell>
          <cell r="AI45">
            <v>50000</v>
          </cell>
          <cell r="AJ45">
            <v>53000</v>
          </cell>
          <cell r="AK45">
            <v>53000</v>
          </cell>
          <cell r="AL45">
            <v>54000</v>
          </cell>
          <cell r="AM45">
            <v>55000</v>
          </cell>
          <cell r="AN45">
            <v>58000</v>
          </cell>
          <cell r="AO45">
            <v>59000</v>
          </cell>
          <cell r="AP45">
            <v>59000</v>
          </cell>
          <cell r="AQ45">
            <v>60000</v>
          </cell>
          <cell r="AR45">
            <v>69000</v>
          </cell>
          <cell r="AS45">
            <v>70000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CB45" t="str">
            <v>mstag:minorityInterestsInShareholdersEquity</v>
          </cell>
          <cell r="CC45">
            <v>3</v>
          </cell>
          <cell r="CD45" t="str">
            <v>ISO4217:USD</v>
          </cell>
          <cell r="CE45" t="b">
            <v>0</v>
          </cell>
          <cell r="CF45" t="b">
            <v>0</v>
          </cell>
        </row>
        <row r="46">
          <cell r="A46" t="str">
            <v>Preferred shares</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CB46" t="str">
            <v>mstag:preferredEquity</v>
          </cell>
          <cell r="CC46">
            <v>3</v>
          </cell>
          <cell r="CD46" t="str">
            <v>ISO4217:USD</v>
          </cell>
          <cell r="CE46" t="b">
            <v>0</v>
          </cell>
          <cell r="CF46" t="b">
            <v>0</v>
          </cell>
        </row>
        <row r="47">
          <cell r="A47" t="str">
            <v>Subsidiaries</v>
          </cell>
          <cell r="C47">
            <v>590302</v>
          </cell>
          <cell r="D47">
            <v>590302</v>
          </cell>
          <cell r="E47">
            <v>590302</v>
          </cell>
          <cell r="F47">
            <v>590302</v>
          </cell>
          <cell r="G47">
            <v>590302</v>
          </cell>
          <cell r="H47">
            <v>628000</v>
          </cell>
          <cell r="I47">
            <v>628000</v>
          </cell>
          <cell r="J47">
            <v>628000</v>
          </cell>
          <cell r="K47">
            <v>607000</v>
          </cell>
          <cell r="L47">
            <v>607000</v>
          </cell>
          <cell r="M47">
            <v>607000</v>
          </cell>
          <cell r="N47">
            <v>607000</v>
          </cell>
          <cell r="O47">
            <v>607000</v>
          </cell>
          <cell r="P47">
            <v>607000</v>
          </cell>
          <cell r="Q47">
            <v>607000</v>
          </cell>
          <cell r="R47">
            <v>590000</v>
          </cell>
          <cell r="S47">
            <v>603000</v>
          </cell>
          <cell r="T47">
            <v>590000</v>
          </cell>
          <cell r="U47">
            <v>585000</v>
          </cell>
          <cell r="V47">
            <v>585000</v>
          </cell>
          <cell r="W47">
            <v>585000</v>
          </cell>
          <cell r="X47">
            <v>601000</v>
          </cell>
          <cell r="Y47">
            <v>579000</v>
          </cell>
          <cell r="Z47">
            <v>579000</v>
          </cell>
          <cell r="AA47">
            <v>579000</v>
          </cell>
          <cell r="AB47">
            <v>605000</v>
          </cell>
          <cell r="AC47">
            <v>678000</v>
          </cell>
          <cell r="AD47">
            <v>681000</v>
          </cell>
          <cell r="AE47">
            <v>415000</v>
          </cell>
          <cell r="AF47">
            <v>415000</v>
          </cell>
          <cell r="AG47">
            <v>412000</v>
          </cell>
          <cell r="AH47">
            <v>406000</v>
          </cell>
          <cell r="AI47">
            <v>425000</v>
          </cell>
          <cell r="AJ47">
            <v>320000</v>
          </cell>
          <cell r="AK47">
            <v>320000</v>
          </cell>
          <cell r="AL47">
            <v>317000</v>
          </cell>
          <cell r="AM47">
            <v>312000</v>
          </cell>
          <cell r="AN47">
            <v>331000</v>
          </cell>
          <cell r="AO47">
            <v>329000</v>
          </cell>
          <cell r="AP47">
            <v>329000</v>
          </cell>
          <cell r="AQ47">
            <v>326000</v>
          </cell>
          <cell r="AR47">
            <v>341000</v>
          </cell>
          <cell r="AS47">
            <v>341000</v>
          </cell>
          <cell r="AT47">
            <v>326000</v>
          </cell>
          <cell r="AU47">
            <v>326000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CB47" t="str">
            <v>mstag:preferredEquity</v>
          </cell>
          <cell r="CC47">
            <v>3</v>
          </cell>
          <cell r="CD47" t="str">
            <v>ISO4217:USD</v>
          </cell>
          <cell r="CE47" t="b">
            <v>0</v>
          </cell>
          <cell r="CF47" t="b">
            <v>0</v>
          </cell>
        </row>
        <row r="48">
          <cell r="A48" t="str">
            <v>Corporate</v>
          </cell>
          <cell r="C48">
            <v>0</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586000</v>
          </cell>
          <cell r="AF48">
            <v>586000</v>
          </cell>
          <cell r="AG48">
            <v>586000</v>
          </cell>
          <cell r="AH48">
            <v>732000</v>
          </cell>
          <cell r="AI48">
            <v>732000</v>
          </cell>
          <cell r="AJ48">
            <v>45000</v>
          </cell>
          <cell r="AK48">
            <v>45000</v>
          </cell>
          <cell r="AL48">
            <v>45000</v>
          </cell>
          <cell r="AM48">
            <v>45000</v>
          </cell>
          <cell r="AN48">
            <v>45000</v>
          </cell>
          <cell r="AO48">
            <v>45000</v>
          </cell>
          <cell r="AP48">
            <v>45000</v>
          </cell>
          <cell r="AQ48">
            <v>45000</v>
          </cell>
          <cell r="AR48">
            <v>45000</v>
          </cell>
          <cell r="AS48">
            <v>45000</v>
          </cell>
          <cell r="AT48">
            <v>45000</v>
          </cell>
          <cell r="AU48">
            <v>45000</v>
          </cell>
          <cell r="AV48">
            <v>45000</v>
          </cell>
          <cell r="AW48">
            <v>45000</v>
          </cell>
          <cell r="AX48">
            <v>45000</v>
          </cell>
          <cell r="AY48">
            <v>45000</v>
          </cell>
          <cell r="AZ48">
            <v>45000</v>
          </cell>
          <cell r="BA48">
            <v>45000</v>
          </cell>
          <cell r="BB48">
            <v>45000</v>
          </cell>
          <cell r="BC48">
            <v>45000</v>
          </cell>
          <cell r="BD48">
            <v>45000</v>
          </cell>
          <cell r="BE48">
            <v>45000</v>
          </cell>
          <cell r="BF48">
            <v>45000</v>
          </cell>
          <cell r="BG48">
            <v>45000</v>
          </cell>
          <cell r="BH48">
            <v>45000</v>
          </cell>
          <cell r="BI48">
            <v>45000</v>
          </cell>
          <cell r="BJ48">
            <v>45000</v>
          </cell>
          <cell r="BK48">
            <v>45000</v>
          </cell>
          <cell r="BL48">
            <v>45000</v>
          </cell>
          <cell r="BM48">
            <v>45000</v>
          </cell>
          <cell r="BN48">
            <v>45000</v>
          </cell>
          <cell r="BO48">
            <v>45000</v>
          </cell>
          <cell r="BP48">
            <v>45000</v>
          </cell>
          <cell r="BQ48">
            <v>45000</v>
          </cell>
          <cell r="BR48">
            <v>45000</v>
          </cell>
          <cell r="BS48">
            <v>45000</v>
          </cell>
          <cell r="BT48">
            <v>45000</v>
          </cell>
          <cell r="BU48">
            <v>45000</v>
          </cell>
          <cell r="BV48">
            <v>45000</v>
          </cell>
          <cell r="BW48">
            <v>45000</v>
          </cell>
          <cell r="BX48">
            <v>45000</v>
          </cell>
          <cell r="BY48">
            <v>45000</v>
          </cell>
          <cell r="CB48" t="str">
            <v>mstag:preferredEquity</v>
          </cell>
          <cell r="CC48">
            <v>3</v>
          </cell>
          <cell r="CD48" t="str">
            <v>ISO4217:USD</v>
          </cell>
          <cell r="CE48" t="b">
            <v>0</v>
          </cell>
          <cell r="CF48" t="b">
            <v>0</v>
          </cell>
        </row>
        <row r="49">
          <cell r="A49" t="str">
            <v>Convertible Debentures</v>
          </cell>
          <cell r="C49">
            <v>210960</v>
          </cell>
          <cell r="D49">
            <v>254320</v>
          </cell>
          <cell r="E49">
            <v>208692</v>
          </cell>
          <cell r="F49">
            <v>246000</v>
          </cell>
          <cell r="G49">
            <v>246000</v>
          </cell>
          <cell r="H49">
            <v>247214</v>
          </cell>
          <cell r="I49">
            <v>255000</v>
          </cell>
          <cell r="J49">
            <v>254000</v>
          </cell>
          <cell r="K49">
            <v>251000</v>
          </cell>
          <cell r="L49">
            <v>251000</v>
          </cell>
          <cell r="M49">
            <v>258000</v>
          </cell>
          <cell r="N49">
            <v>50000</v>
          </cell>
          <cell r="O49">
            <v>50000</v>
          </cell>
          <cell r="P49">
            <v>50000</v>
          </cell>
          <cell r="Q49">
            <v>50000</v>
          </cell>
          <cell r="R49">
            <v>50000</v>
          </cell>
          <cell r="S49">
            <v>50000</v>
          </cell>
          <cell r="T49">
            <v>0</v>
          </cell>
          <cell r="U49">
            <v>0</v>
          </cell>
          <cell r="W49">
            <v>0</v>
          </cell>
          <cell r="X49">
            <v>0</v>
          </cell>
          <cell r="Y49">
            <v>0</v>
          </cell>
          <cell r="Z49">
            <v>0</v>
          </cell>
          <cell r="AB49">
            <v>0</v>
          </cell>
          <cell r="AC49">
            <v>0</v>
          </cell>
          <cell r="AD49">
            <v>0</v>
          </cell>
          <cell r="AE49">
            <v>0</v>
          </cell>
          <cell r="AG49">
            <v>0</v>
          </cell>
          <cell r="AH49">
            <v>0</v>
          </cell>
          <cell r="AI49">
            <v>0</v>
          </cell>
          <cell r="AJ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CB49" t="str">
            <v>mstag:preferredEquity</v>
          </cell>
          <cell r="CC49">
            <v>3</v>
          </cell>
          <cell r="CD49" t="str">
            <v>ISO4217:USD</v>
          </cell>
          <cell r="CE49" t="b">
            <v>0</v>
          </cell>
          <cell r="CF49" t="b">
            <v>0</v>
          </cell>
        </row>
        <row r="50">
          <cell r="A50" t="str">
            <v>Common shares</v>
          </cell>
          <cell r="C50">
            <v>0</v>
          </cell>
          <cell r="D50">
            <v>0</v>
          </cell>
          <cell r="E50">
            <v>0</v>
          </cell>
          <cell r="F50">
            <v>0</v>
          </cell>
          <cell r="G50">
            <v>0</v>
          </cell>
          <cell r="H50">
            <v>0</v>
          </cell>
          <cell r="I50">
            <v>0</v>
          </cell>
          <cell r="J50">
            <v>0</v>
          </cell>
          <cell r="K50">
            <v>0</v>
          </cell>
          <cell r="L50">
            <v>0</v>
          </cell>
          <cell r="M50">
            <v>1135000</v>
          </cell>
          <cell r="N50">
            <v>1402000</v>
          </cell>
          <cell r="O50">
            <v>1491000</v>
          </cell>
          <cell r="P50">
            <v>1404000</v>
          </cell>
          <cell r="Q50">
            <v>1404000</v>
          </cell>
          <cell r="R50">
            <v>1396000</v>
          </cell>
          <cell r="S50">
            <v>1394000</v>
          </cell>
          <cell r="T50">
            <v>1459000</v>
          </cell>
          <cell r="U50">
            <v>1459000</v>
          </cell>
          <cell r="V50">
            <v>1459000</v>
          </cell>
          <cell r="W50">
            <v>1455000</v>
          </cell>
          <cell r="X50">
            <v>1454000</v>
          </cell>
          <cell r="Y50">
            <v>1453000</v>
          </cell>
          <cell r="Z50">
            <v>1448000</v>
          </cell>
          <cell r="AA50">
            <v>1448000</v>
          </cell>
          <cell r="AB50">
            <v>1113000</v>
          </cell>
          <cell r="AC50">
            <v>1088000</v>
          </cell>
          <cell r="AD50">
            <v>1086000</v>
          </cell>
          <cell r="AE50">
            <v>1084000</v>
          </cell>
          <cell r="AF50">
            <v>1084000</v>
          </cell>
          <cell r="AG50">
            <v>1088000</v>
          </cell>
          <cell r="AH50">
            <v>1081000</v>
          </cell>
          <cell r="AI50">
            <v>1083000</v>
          </cell>
          <cell r="AJ50">
            <v>1080000</v>
          </cell>
          <cell r="AK50">
            <v>1080000</v>
          </cell>
          <cell r="AL50">
            <v>1071000</v>
          </cell>
          <cell r="AM50">
            <v>1071000</v>
          </cell>
          <cell r="AN50">
            <v>1069000</v>
          </cell>
          <cell r="AO50">
            <v>1066000</v>
          </cell>
          <cell r="AP50">
            <v>1066000</v>
          </cell>
          <cell r="AQ50">
            <v>1068000</v>
          </cell>
          <cell r="AR50">
            <v>1068000</v>
          </cell>
          <cell r="AS50">
            <v>1068000</v>
          </cell>
          <cell r="AT50">
            <v>2305000</v>
          </cell>
          <cell r="AU50">
            <v>2305000</v>
          </cell>
          <cell r="AV50">
            <v>2306000</v>
          </cell>
          <cell r="AW50">
            <v>2301000</v>
          </cell>
          <cell r="AX50">
            <v>2288000</v>
          </cell>
          <cell r="AY50">
            <v>2286000</v>
          </cell>
          <cell r="AZ50">
            <v>2286000</v>
          </cell>
          <cell r="BA50">
            <v>2286000</v>
          </cell>
          <cell r="BB50">
            <v>2286000</v>
          </cell>
          <cell r="BC50">
            <v>2286000</v>
          </cell>
          <cell r="BD50">
            <v>2286000</v>
          </cell>
          <cell r="BE50">
            <v>2286000</v>
          </cell>
          <cell r="BF50">
            <v>2286000</v>
          </cell>
          <cell r="BG50">
            <v>2286000</v>
          </cell>
          <cell r="BH50">
            <v>2286000</v>
          </cell>
          <cell r="BI50">
            <v>2286000</v>
          </cell>
          <cell r="BJ50">
            <v>2286000</v>
          </cell>
          <cell r="BK50">
            <v>2286000</v>
          </cell>
          <cell r="BL50">
            <v>2286000</v>
          </cell>
          <cell r="BM50">
            <v>2286000</v>
          </cell>
          <cell r="BN50">
            <v>2286000</v>
          </cell>
          <cell r="BO50">
            <v>2286000</v>
          </cell>
          <cell r="BP50">
            <v>2286000</v>
          </cell>
          <cell r="BQ50">
            <v>2286000</v>
          </cell>
          <cell r="BR50">
            <v>2286000</v>
          </cell>
          <cell r="BS50">
            <v>2286000</v>
          </cell>
          <cell r="BT50">
            <v>2286000</v>
          </cell>
          <cell r="BU50">
            <v>2286000</v>
          </cell>
          <cell r="BV50">
            <v>2286000</v>
          </cell>
          <cell r="BW50">
            <v>2286000</v>
          </cell>
          <cell r="BX50">
            <v>2286000</v>
          </cell>
          <cell r="BY50">
            <v>2286000</v>
          </cell>
          <cell r="CB50" t="str">
            <v>mstag:totalShareCapital</v>
          </cell>
          <cell r="CC50">
            <v>3</v>
          </cell>
          <cell r="CD50" t="str">
            <v>ISO4217:USD</v>
          </cell>
          <cell r="CE50" t="b">
            <v>0</v>
          </cell>
          <cell r="CF50" t="b">
            <v>0</v>
          </cell>
        </row>
        <row r="51">
          <cell r="A51" t="str">
            <v>Retained Earnings</v>
          </cell>
          <cell r="C51">
            <v>1337569.2</v>
          </cell>
          <cell r="D51">
            <v>1305978</v>
          </cell>
          <cell r="E51">
            <v>1052352</v>
          </cell>
          <cell r="F51">
            <v>1274698</v>
          </cell>
          <cell r="G51">
            <v>1274698</v>
          </cell>
          <cell r="H51">
            <v>1302655</v>
          </cell>
          <cell r="I51">
            <v>1360000</v>
          </cell>
          <cell r="J51">
            <v>1374000</v>
          </cell>
          <cell r="K51">
            <v>1383000</v>
          </cell>
          <cell r="L51">
            <v>1383000</v>
          </cell>
          <cell r="M51">
            <v>303000</v>
          </cell>
          <cell r="N51">
            <v>217000</v>
          </cell>
          <cell r="O51">
            <v>222000</v>
          </cell>
          <cell r="P51">
            <v>383000</v>
          </cell>
          <cell r="Q51">
            <v>383000</v>
          </cell>
          <cell r="R51">
            <v>435000</v>
          </cell>
          <cell r="S51">
            <v>472000</v>
          </cell>
          <cell r="T51">
            <v>491000</v>
          </cell>
          <cell r="U51">
            <v>485000</v>
          </cell>
          <cell r="V51">
            <v>485000</v>
          </cell>
          <cell r="W51">
            <v>527000</v>
          </cell>
          <cell r="X51">
            <v>565000</v>
          </cell>
          <cell r="Y51">
            <v>608000</v>
          </cell>
          <cell r="Z51">
            <v>645000</v>
          </cell>
          <cell r="AA51">
            <v>645000</v>
          </cell>
          <cell r="AB51">
            <v>660000</v>
          </cell>
          <cell r="AC51">
            <v>707000</v>
          </cell>
          <cell r="AD51">
            <v>730000</v>
          </cell>
          <cell r="AE51">
            <v>831000</v>
          </cell>
          <cell r="AF51">
            <v>831000</v>
          </cell>
          <cell r="AG51">
            <v>844000</v>
          </cell>
          <cell r="AH51">
            <v>868000</v>
          </cell>
          <cell r="AI51">
            <v>919000</v>
          </cell>
          <cell r="AJ51">
            <v>867000</v>
          </cell>
          <cell r="AK51">
            <v>867000</v>
          </cell>
          <cell r="AL51">
            <v>865000</v>
          </cell>
          <cell r="AM51">
            <v>857000</v>
          </cell>
          <cell r="AN51">
            <v>835000</v>
          </cell>
          <cell r="AO51">
            <v>832000</v>
          </cell>
          <cell r="AP51">
            <v>832000</v>
          </cell>
          <cell r="AQ51">
            <v>753000</v>
          </cell>
          <cell r="AR51">
            <v>740000</v>
          </cell>
          <cell r="AS51">
            <v>730000</v>
          </cell>
          <cell r="AT51">
            <v>706000</v>
          </cell>
          <cell r="AU51">
            <v>706000</v>
          </cell>
          <cell r="AV51">
            <v>709000</v>
          </cell>
          <cell r="AW51">
            <v>718000</v>
          </cell>
          <cell r="AX51">
            <v>630000</v>
          </cell>
          <cell r="AY51">
            <v>630000</v>
          </cell>
          <cell r="AZ51">
            <v>630000</v>
          </cell>
          <cell r="BA51">
            <v>611971.52260435431</v>
          </cell>
          <cell r="BB51">
            <v>607340.88108379394</v>
          </cell>
          <cell r="BC51">
            <v>592701.29000896052</v>
          </cell>
          <cell r="BD51">
            <v>589619.81106615299</v>
          </cell>
          <cell r="BE51">
            <v>589619.81106615299</v>
          </cell>
          <cell r="BF51">
            <v>578665.08949106047</v>
          </cell>
          <cell r="BG51">
            <v>578703.07190614589</v>
          </cell>
          <cell r="BH51">
            <v>568897.10706534819</v>
          </cell>
          <cell r="BI51">
            <v>568740.08474957361</v>
          </cell>
          <cell r="BJ51">
            <v>568740.08474957361</v>
          </cell>
          <cell r="BK51">
            <v>560451.49605332152</v>
          </cell>
          <cell r="BL51">
            <v>561899.77057371312</v>
          </cell>
          <cell r="BM51">
            <v>554205.53329994879</v>
          </cell>
          <cell r="BN51">
            <v>554933.38793979166</v>
          </cell>
          <cell r="BO51">
            <v>554933.38793979166</v>
          </cell>
          <cell r="BP51">
            <v>561474.52793368441</v>
          </cell>
          <cell r="BQ51">
            <v>564395.05248717288</v>
          </cell>
          <cell r="BR51">
            <v>557773.02466902696</v>
          </cell>
          <cell r="BS51">
            <v>559741.99383114406</v>
          </cell>
          <cell r="BT51">
            <v>559741.99383114406</v>
          </cell>
          <cell r="BU51">
            <v>568120.02131845849</v>
          </cell>
          <cell r="BV51">
            <v>576033.84750112321</v>
          </cell>
          <cell r="BW51">
            <v>573700.55269170809</v>
          </cell>
          <cell r="BX51">
            <v>580717.02488878695</v>
          </cell>
          <cell r="BY51">
            <v>580717.02488878695</v>
          </cell>
          <cell r="CB51" t="str">
            <v>mstag:retainedEarnings</v>
          </cell>
          <cell r="CC51">
            <v>3</v>
          </cell>
          <cell r="CD51" t="str">
            <v>ISO4217:USD</v>
          </cell>
          <cell r="CE51" t="b">
            <v>0</v>
          </cell>
          <cell r="CF51" t="b">
            <v>0</v>
          </cell>
        </row>
        <row r="52">
          <cell r="A52" t="str">
            <v>Acc Other Comp Inc/Cum. Trans Adjustment</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85000</v>
          </cell>
          <cell r="AR52">
            <v>76000</v>
          </cell>
          <cell r="AS52">
            <v>83000</v>
          </cell>
          <cell r="AT52">
            <v>56000</v>
          </cell>
          <cell r="AU52">
            <v>56000</v>
          </cell>
          <cell r="AV52">
            <v>72000</v>
          </cell>
          <cell r="AW52">
            <v>95000</v>
          </cell>
          <cell r="AX52">
            <v>117000</v>
          </cell>
          <cell r="AY52">
            <v>117000</v>
          </cell>
          <cell r="AZ52">
            <v>117000</v>
          </cell>
          <cell r="BA52">
            <v>117000</v>
          </cell>
          <cell r="BB52">
            <v>117000</v>
          </cell>
          <cell r="BC52">
            <v>117000</v>
          </cell>
          <cell r="BD52">
            <v>117000</v>
          </cell>
          <cell r="BE52">
            <v>117000</v>
          </cell>
          <cell r="BF52">
            <v>117000</v>
          </cell>
          <cell r="BG52">
            <v>117000</v>
          </cell>
          <cell r="BH52">
            <v>117000</v>
          </cell>
          <cell r="BI52">
            <v>117000</v>
          </cell>
          <cell r="BJ52">
            <v>117000</v>
          </cell>
          <cell r="BK52">
            <v>117000</v>
          </cell>
          <cell r="BL52">
            <v>117000</v>
          </cell>
          <cell r="BM52">
            <v>117000</v>
          </cell>
          <cell r="BN52">
            <v>117000</v>
          </cell>
          <cell r="BO52">
            <v>117000</v>
          </cell>
          <cell r="BP52">
            <v>117000</v>
          </cell>
          <cell r="BQ52">
            <v>117000</v>
          </cell>
          <cell r="BR52">
            <v>117000</v>
          </cell>
          <cell r="BS52">
            <v>117000</v>
          </cell>
          <cell r="BT52">
            <v>117000</v>
          </cell>
          <cell r="BU52">
            <v>117000</v>
          </cell>
          <cell r="BV52">
            <v>117000</v>
          </cell>
          <cell r="BW52">
            <v>117000</v>
          </cell>
          <cell r="BX52">
            <v>117000</v>
          </cell>
          <cell r="BY52">
            <v>117000</v>
          </cell>
          <cell r="CB52" t="str">
            <v>mstag:accumulatedOtherComprehensiveIncomeLossAndReserves</v>
          </cell>
          <cell r="CC52">
            <v>3</v>
          </cell>
          <cell r="CD52" t="str">
            <v>ISO4217:USD</v>
          </cell>
          <cell r="CE52" t="b">
            <v>0</v>
          </cell>
          <cell r="CF52" t="b">
            <v>0</v>
          </cell>
        </row>
        <row r="54">
          <cell r="A54" t="str">
            <v>Total Shareholders' Equity</v>
          </cell>
          <cell r="C54">
            <v>2334624</v>
          </cell>
          <cell r="D54">
            <v>2422840</v>
          </cell>
          <cell r="E54">
            <v>2016054</v>
          </cell>
          <cell r="F54">
            <v>2362000</v>
          </cell>
          <cell r="G54">
            <v>2362000</v>
          </cell>
          <cell r="H54">
            <v>2417277</v>
          </cell>
          <cell r="I54">
            <v>2452000</v>
          </cell>
          <cell r="J54">
            <v>2477000</v>
          </cell>
          <cell r="K54">
            <v>2567000</v>
          </cell>
          <cell r="L54">
            <v>2567000</v>
          </cell>
          <cell r="M54">
            <v>2606000</v>
          </cell>
          <cell r="N54">
            <v>2581000</v>
          </cell>
          <cell r="O54">
            <v>2582000</v>
          </cell>
          <cell r="P54">
            <v>2603000</v>
          </cell>
          <cell r="Q54">
            <v>2603000</v>
          </cell>
          <cell r="R54">
            <v>2632000</v>
          </cell>
          <cell r="S54">
            <v>2628000</v>
          </cell>
          <cell r="T54">
            <v>2650000</v>
          </cell>
          <cell r="U54">
            <v>2642000</v>
          </cell>
          <cell r="V54">
            <v>2642000</v>
          </cell>
          <cell r="W54">
            <v>2687000</v>
          </cell>
          <cell r="X54">
            <v>2746000</v>
          </cell>
          <cell r="Y54">
            <v>2769000</v>
          </cell>
          <cell r="Z54">
            <v>2756000</v>
          </cell>
          <cell r="AA54">
            <v>2756000</v>
          </cell>
          <cell r="AB54">
            <v>2469000</v>
          </cell>
          <cell r="AC54">
            <v>2552000</v>
          </cell>
          <cell r="AD54">
            <v>2578000</v>
          </cell>
          <cell r="AE54">
            <v>2997000</v>
          </cell>
          <cell r="AF54">
            <v>2997000</v>
          </cell>
          <cell r="AG54">
            <v>2977000</v>
          </cell>
          <cell r="AH54">
            <v>3135000</v>
          </cell>
          <cell r="AI54">
            <v>3209000</v>
          </cell>
          <cell r="AJ54">
            <v>2365000</v>
          </cell>
          <cell r="AK54">
            <v>2365000</v>
          </cell>
          <cell r="AL54">
            <v>2352000</v>
          </cell>
          <cell r="AM54">
            <v>2340000</v>
          </cell>
          <cell r="AN54">
            <v>2338000</v>
          </cell>
          <cell r="AO54">
            <v>2331000</v>
          </cell>
          <cell r="AP54">
            <v>2331000</v>
          </cell>
          <cell r="AQ54">
            <v>2337000</v>
          </cell>
          <cell r="AR54">
            <v>2339000</v>
          </cell>
          <cell r="AS54">
            <v>2337000</v>
          </cell>
          <cell r="AT54">
            <v>3438000</v>
          </cell>
          <cell r="AU54">
            <v>3438000</v>
          </cell>
          <cell r="AV54">
            <v>3132000</v>
          </cell>
          <cell r="AW54">
            <v>3159000</v>
          </cell>
          <cell r="AX54">
            <v>3080000</v>
          </cell>
          <cell r="AY54">
            <v>3078000</v>
          </cell>
          <cell r="AZ54">
            <v>3078000</v>
          </cell>
          <cell r="BA54">
            <v>3059971.5226043542</v>
          </cell>
          <cell r="BB54">
            <v>3055340.8810837939</v>
          </cell>
          <cell r="BC54">
            <v>3040701.2900089603</v>
          </cell>
          <cell r="BD54">
            <v>3037619.811066153</v>
          </cell>
          <cell r="BE54">
            <v>3037619.811066153</v>
          </cell>
          <cell r="BF54">
            <v>3026665.0894910605</v>
          </cell>
          <cell r="BG54">
            <v>3026703.0719061457</v>
          </cell>
          <cell r="BH54">
            <v>3016897.107065348</v>
          </cell>
          <cell r="BI54">
            <v>3016740.0847495738</v>
          </cell>
          <cell r="BJ54">
            <v>3016740.0847495738</v>
          </cell>
          <cell r="BK54">
            <v>3008451.4960533213</v>
          </cell>
          <cell r="BL54">
            <v>3009899.7705737129</v>
          </cell>
          <cell r="BM54">
            <v>3002205.533299949</v>
          </cell>
          <cell r="BN54">
            <v>3002933.3879397917</v>
          </cell>
          <cell r="BO54">
            <v>3002933.3879397917</v>
          </cell>
          <cell r="BP54">
            <v>3009474.5279336842</v>
          </cell>
          <cell r="BQ54">
            <v>3012395.0524871731</v>
          </cell>
          <cell r="BR54">
            <v>3005773.024669027</v>
          </cell>
          <cell r="BS54">
            <v>3007741.9938311442</v>
          </cell>
          <cell r="BT54">
            <v>3007741.9938311442</v>
          </cell>
          <cell r="BU54">
            <v>3016120.0213184585</v>
          </cell>
          <cell r="BV54">
            <v>3024033.8475011233</v>
          </cell>
          <cell r="BW54">
            <v>3021700.5526917083</v>
          </cell>
          <cell r="BX54">
            <v>3028717.024888787</v>
          </cell>
          <cell r="BY54">
            <v>3028717.024888787</v>
          </cell>
        </row>
        <row r="56">
          <cell r="A56" t="str">
            <v>Total Shareholders' Equity and Liabilities</v>
          </cell>
          <cell r="C56">
            <v>6406855.2000000002</v>
          </cell>
          <cell r="D56">
            <v>7361680</v>
          </cell>
          <cell r="E56">
            <v>6419232</v>
          </cell>
          <cell r="F56">
            <v>7658000</v>
          </cell>
          <cell r="G56">
            <v>7658000</v>
          </cell>
          <cell r="H56">
            <v>7722463</v>
          </cell>
          <cell r="I56">
            <v>7886000</v>
          </cell>
          <cell r="J56">
            <v>7825000</v>
          </cell>
          <cell r="K56">
            <v>8068000</v>
          </cell>
          <cell r="L56">
            <v>8068000</v>
          </cell>
          <cell r="M56">
            <v>8084000</v>
          </cell>
          <cell r="N56">
            <v>8546000</v>
          </cell>
          <cell r="O56">
            <v>8618000</v>
          </cell>
          <cell r="P56">
            <v>8885000</v>
          </cell>
          <cell r="Q56">
            <v>8885000</v>
          </cell>
          <cell r="R56">
            <v>8441000</v>
          </cell>
          <cell r="S56">
            <v>8516000</v>
          </cell>
          <cell r="T56">
            <v>8333000</v>
          </cell>
          <cell r="U56">
            <v>8291000</v>
          </cell>
          <cell r="V56">
            <v>8291000</v>
          </cell>
          <cell r="W56">
            <v>8101000</v>
          </cell>
          <cell r="X56">
            <v>8219000</v>
          </cell>
          <cell r="Y56">
            <v>8283000</v>
          </cell>
          <cell r="Z56">
            <v>8329000</v>
          </cell>
          <cell r="AA56">
            <v>8329000</v>
          </cell>
          <cell r="AB56">
            <v>7619000</v>
          </cell>
          <cell r="AC56">
            <v>7737000</v>
          </cell>
          <cell r="AD56">
            <v>7782000</v>
          </cell>
          <cell r="AE56">
            <v>8097000</v>
          </cell>
          <cell r="AF56">
            <v>8097000</v>
          </cell>
          <cell r="AG56">
            <v>8329000</v>
          </cell>
          <cell r="AH56">
            <v>8157000</v>
          </cell>
          <cell r="AI56">
            <v>8390000</v>
          </cell>
          <cell r="AJ56">
            <v>8504000</v>
          </cell>
          <cell r="AK56">
            <v>8504000</v>
          </cell>
          <cell r="AL56">
            <v>8576000</v>
          </cell>
          <cell r="AM56">
            <v>8583000</v>
          </cell>
          <cell r="AN56">
            <v>8802000</v>
          </cell>
          <cell r="AO56">
            <v>9513000</v>
          </cell>
          <cell r="AP56">
            <v>9513000</v>
          </cell>
          <cell r="AQ56">
            <v>9609000</v>
          </cell>
          <cell r="AR56">
            <v>10079000</v>
          </cell>
          <cell r="AS56">
            <v>10491000</v>
          </cell>
          <cell r="AT56">
            <v>19314000</v>
          </cell>
          <cell r="AU56">
            <v>19314000</v>
          </cell>
          <cell r="AV56">
            <v>19228000</v>
          </cell>
          <cell r="AW56">
            <v>19764000</v>
          </cell>
          <cell r="AX56">
            <v>20178000</v>
          </cell>
          <cell r="AY56">
            <v>20473000</v>
          </cell>
          <cell r="AZ56">
            <v>20473000</v>
          </cell>
          <cell r="BA56">
            <v>20335093.560305145</v>
          </cell>
          <cell r="BB56">
            <v>20311893.007036537</v>
          </cell>
          <cell r="BC56">
            <v>20274113.194319464</v>
          </cell>
          <cell r="BD56">
            <v>20268146.243873864</v>
          </cell>
          <cell r="BE56">
            <v>20268146.243873864</v>
          </cell>
          <cell r="BF56">
            <v>20138087.5448125</v>
          </cell>
          <cell r="BG56">
            <v>20193371.1044554</v>
          </cell>
          <cell r="BH56">
            <v>20111128.823602699</v>
          </cell>
          <cell r="BI56">
            <v>20201998.903393991</v>
          </cell>
          <cell r="BJ56">
            <v>20201998.903393991</v>
          </cell>
          <cell r="BK56">
            <v>20236785.839898154</v>
          </cell>
          <cell r="BL56">
            <v>20428180.787120175</v>
          </cell>
          <cell r="BM56">
            <v>20534472.801948827</v>
          </cell>
          <cell r="BN56">
            <v>20736430.151705872</v>
          </cell>
          <cell r="BO56">
            <v>20736430.151705872</v>
          </cell>
          <cell r="BP56">
            <v>21116314.308053073</v>
          </cell>
          <cell r="BQ56">
            <v>21045512.368419215</v>
          </cell>
          <cell r="BR56">
            <v>20951129.012257554</v>
          </cell>
          <cell r="BS56">
            <v>20945955.180293258</v>
          </cell>
          <cell r="BT56">
            <v>20945955.180293258</v>
          </cell>
          <cell r="BU56">
            <v>20860713.076249167</v>
          </cell>
          <cell r="BV56">
            <v>20795085.671219312</v>
          </cell>
          <cell r="BW56">
            <v>20700419.925456047</v>
          </cell>
          <cell r="BX56">
            <v>20702170.675200973</v>
          </cell>
          <cell r="BY56">
            <v>20702170.675200973</v>
          </cell>
        </row>
        <row r="57">
          <cell r="A57" t="str">
            <v>A = Actual, E = Morgan Stanley Research Estimates</v>
          </cell>
        </row>
        <row r="58">
          <cell r="C58" t="b">
            <v>1</v>
          </cell>
          <cell r="D58" t="b">
            <v>1</v>
          </cell>
          <cell r="E58" t="b">
            <v>1</v>
          </cell>
          <cell r="F58" t="b">
            <v>1</v>
          </cell>
          <cell r="G58" t="b">
            <v>1</v>
          </cell>
          <cell r="H58" t="b">
            <v>1</v>
          </cell>
          <cell r="I58" t="b">
            <v>1</v>
          </cell>
          <cell r="J58" t="b">
            <v>1</v>
          </cell>
          <cell r="K58" t="b">
            <v>1</v>
          </cell>
          <cell r="L58" t="b">
            <v>1</v>
          </cell>
          <cell r="M58" t="b">
            <v>1</v>
          </cell>
          <cell r="N58" t="b">
            <v>1</v>
          </cell>
          <cell r="O58" t="b">
            <v>1</v>
          </cell>
          <cell r="P58" t="b">
            <v>1</v>
          </cell>
          <cell r="Q58" t="b">
            <v>1</v>
          </cell>
          <cell r="R58" t="b">
            <v>1</v>
          </cell>
          <cell r="S58" t="b">
            <v>1</v>
          </cell>
          <cell r="T58" t="b">
            <v>1</v>
          </cell>
          <cell r="U58" t="b">
            <v>1</v>
          </cell>
          <cell r="V58" t="b">
            <v>1</v>
          </cell>
          <cell r="W58" t="b">
            <v>1</v>
          </cell>
          <cell r="X58" t="b">
            <v>1</v>
          </cell>
          <cell r="Y58" t="b">
            <v>1</v>
          </cell>
          <cell r="Z58" t="b">
            <v>1</v>
          </cell>
          <cell r="AA58" t="b">
            <v>1</v>
          </cell>
          <cell r="AB58" t="b">
            <v>1</v>
          </cell>
          <cell r="AC58" t="b">
            <v>1</v>
          </cell>
          <cell r="AD58" t="b">
            <v>1</v>
          </cell>
          <cell r="AE58" t="b">
            <v>1</v>
          </cell>
          <cell r="AF58" t="b">
            <v>1</v>
          </cell>
          <cell r="AG58" t="b">
            <v>1</v>
          </cell>
          <cell r="AH58" t="b">
            <v>1</v>
          </cell>
          <cell r="AI58" t="b">
            <v>1</v>
          </cell>
          <cell r="AJ58" t="b">
            <v>1</v>
          </cell>
          <cell r="AK58" t="b">
            <v>1</v>
          </cell>
          <cell r="AL58" t="b">
            <v>1</v>
          </cell>
          <cell r="AM58" t="b">
            <v>1</v>
          </cell>
          <cell r="AN58" t="b">
            <v>1</v>
          </cell>
          <cell r="AO58" t="b">
            <v>1</v>
          </cell>
          <cell r="AP58" t="b">
            <v>1</v>
          </cell>
          <cell r="AQ58" t="b">
            <v>1</v>
          </cell>
          <cell r="AR58" t="b">
            <v>1</v>
          </cell>
          <cell r="AS58" t="b">
            <v>1</v>
          </cell>
          <cell r="AT58" t="b">
            <v>1</v>
          </cell>
          <cell r="AU58" t="b">
            <v>1</v>
          </cell>
          <cell r="AV58" t="b">
            <v>1</v>
          </cell>
          <cell r="AW58" t="b">
            <v>1</v>
          </cell>
          <cell r="AX58" t="b">
            <v>1</v>
          </cell>
          <cell r="AY58" t="b">
            <v>1</v>
          </cell>
          <cell r="AZ58" t="b">
            <v>1</v>
          </cell>
          <cell r="BA58" t="b">
            <v>1</v>
          </cell>
          <cell r="BB58" t="b">
            <v>1</v>
          </cell>
          <cell r="BC58" t="b">
            <v>1</v>
          </cell>
          <cell r="BD58" t="b">
            <v>1</v>
          </cell>
          <cell r="BE58" t="b">
            <v>1</v>
          </cell>
          <cell r="BF58" t="b">
            <v>1</v>
          </cell>
          <cell r="BG58" t="b">
            <v>1</v>
          </cell>
          <cell r="BH58" t="b">
            <v>1</v>
          </cell>
          <cell r="BI58" t="b">
            <v>1</v>
          </cell>
          <cell r="BJ58" t="b">
            <v>1</v>
          </cell>
          <cell r="BK58" t="b">
            <v>1</v>
          </cell>
          <cell r="BL58" t="b">
            <v>1</v>
          </cell>
        </row>
        <row r="59">
          <cell r="BK59">
            <v>0</v>
          </cell>
          <cell r="BL59">
            <v>0</v>
          </cell>
        </row>
        <row r="60">
          <cell r="AO60">
            <v>0</v>
          </cell>
          <cell r="AQ60">
            <v>0</v>
          </cell>
          <cell r="AR60">
            <v>0</v>
          </cell>
          <cell r="AS60">
            <v>0</v>
          </cell>
          <cell r="AT60">
            <v>0</v>
          </cell>
          <cell r="AV60">
            <v>0</v>
          </cell>
          <cell r="AW60">
            <v>0</v>
          </cell>
          <cell r="AX60">
            <v>0</v>
          </cell>
          <cell r="AY60">
            <v>0</v>
          </cell>
          <cell r="BA60">
            <v>0</v>
          </cell>
          <cell r="BB60">
            <v>0</v>
          </cell>
          <cell r="BC60">
            <v>0</v>
          </cell>
          <cell r="BD60">
            <v>0</v>
          </cell>
          <cell r="BF60">
            <v>0</v>
          </cell>
          <cell r="BG60">
            <v>0</v>
          </cell>
          <cell r="BH60">
            <v>0</v>
          </cell>
          <cell r="BI60">
            <v>0</v>
          </cell>
        </row>
        <row r="61">
          <cell r="A61" t="str">
            <v>Balance Sheet Ratios</v>
          </cell>
        </row>
        <row r="63">
          <cell r="A63" t="str">
            <v>Current Ratio</v>
          </cell>
          <cell r="C63">
            <v>1.2224554039874083</v>
          </cell>
          <cell r="D63">
            <v>1.2362278244631186</v>
          </cell>
          <cell r="E63">
            <v>1.1288805268109126</v>
          </cell>
          <cell r="F63">
            <v>1.1797583081570997</v>
          </cell>
          <cell r="G63">
            <v>1.1797583081570997</v>
          </cell>
          <cell r="H63">
            <v>3.7142857142857144</v>
          </cell>
          <cell r="I63">
            <v>1.2606060606060605</v>
          </cell>
          <cell r="J63">
            <v>3.1167315175097277</v>
          </cell>
          <cell r="K63">
            <v>4.2101449275362315</v>
          </cell>
          <cell r="L63">
            <v>4.2101449275362315</v>
          </cell>
          <cell r="M63">
            <v>3.6472491909385112</v>
          </cell>
          <cell r="N63">
            <v>3.875886524822695</v>
          </cell>
          <cell r="O63">
            <v>3.425925925925926</v>
          </cell>
          <cell r="P63">
            <v>1.1813773035887487</v>
          </cell>
          <cell r="Q63">
            <v>1.1813773035887487</v>
          </cell>
          <cell r="R63">
            <v>3.6422018348623855</v>
          </cell>
          <cell r="S63">
            <v>3.5101449275362318</v>
          </cell>
          <cell r="T63">
            <v>3.5548589341692791</v>
          </cell>
          <cell r="U63">
            <v>2.2652173913043478</v>
          </cell>
          <cell r="V63">
            <v>2.2652173913043478</v>
          </cell>
          <cell r="W63">
            <v>3.1623376623376624</v>
          </cell>
          <cell r="X63">
            <v>2.7067448680351904</v>
          </cell>
          <cell r="Y63">
            <v>2.6929577464788732</v>
          </cell>
          <cell r="Z63">
            <v>1.7505827505827505</v>
          </cell>
          <cell r="AA63">
            <v>1.7505827505827505</v>
          </cell>
          <cell r="AB63">
            <v>1.8913525498891353</v>
          </cell>
          <cell r="AC63">
            <v>1.7483588621444202</v>
          </cell>
          <cell r="AD63">
            <v>1.4011090573012939</v>
          </cell>
          <cell r="AE63">
            <v>2.0366972477064218</v>
          </cell>
          <cell r="AF63">
            <v>2.0366972477064218</v>
          </cell>
          <cell r="AG63">
            <v>1.5495118549511855</v>
          </cell>
          <cell r="AH63">
            <v>1.9638783269961977</v>
          </cell>
          <cell r="AI63">
            <v>1.9382940108892921</v>
          </cell>
          <cell r="AJ63">
            <v>2.5731132075471699</v>
          </cell>
          <cell r="AK63">
            <v>2.5731132075471699</v>
          </cell>
          <cell r="AL63">
            <v>2.6041666666666665</v>
          </cell>
          <cell r="AM63">
            <v>2.9214659685863875</v>
          </cell>
          <cell r="AN63">
            <v>2.4004024144869214</v>
          </cell>
          <cell r="AO63">
            <v>2.2172523961661343</v>
          </cell>
          <cell r="AP63">
            <v>2.2172523961661343</v>
          </cell>
          <cell r="AQ63">
            <v>1.6595744680851063</v>
          </cell>
          <cell r="AR63">
            <v>1.4437257438551099</v>
          </cell>
          <cell r="AS63">
            <v>1.3682310469314078</v>
          </cell>
          <cell r="AT63">
            <v>1.2589382448537378</v>
          </cell>
          <cell r="AU63">
            <v>1.2589382448537378</v>
          </cell>
          <cell r="AV63">
            <v>1.1820128479657388</v>
          </cell>
          <cell r="AW63">
            <v>1.1011673151750974</v>
          </cell>
          <cell r="AX63">
            <v>0.99512591389114546</v>
          </cell>
          <cell r="AY63">
            <v>0.9358879882092852</v>
          </cell>
          <cell r="AZ63">
            <v>0.9358879882092852</v>
          </cell>
          <cell r="BA63">
            <v>1.2169267749989148</v>
          </cell>
          <cell r="BB63">
            <v>1.1487216420920408</v>
          </cell>
          <cell r="BC63">
            <v>1.1671367113004012</v>
          </cell>
          <cell r="BD63">
            <v>1.0605166991594226</v>
          </cell>
          <cell r="BE63">
            <v>1.0605166991594226</v>
          </cell>
          <cell r="BF63">
            <v>1.2327634819452518</v>
          </cell>
          <cell r="BG63">
            <v>1.170263105880639</v>
          </cell>
          <cell r="BH63">
            <v>1.1851487048278386</v>
          </cell>
          <cell r="BI63">
            <v>1.0817894286126666</v>
          </cell>
          <cell r="BJ63">
            <v>1.0817894286126666</v>
          </cell>
          <cell r="BK63">
            <v>1.2330857279790657</v>
          </cell>
          <cell r="BL63">
            <v>1.1751037332441205</v>
          </cell>
        </row>
        <row r="64">
          <cell r="A64" t="str">
            <v>Operating Cash Flow to Current Liabilities</v>
          </cell>
        </row>
        <row r="65">
          <cell r="A65" t="str">
            <v>Unrecorded Goodwill</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CB65" t="str">
            <v>mstag:unrecordedGoodwillFromPoolingAndAmortizedOrWrittenOffGoodwill</v>
          </cell>
          <cell r="CC65">
            <v>3</v>
          </cell>
          <cell r="CD65" t="str">
            <v>ISO4217:USD</v>
          </cell>
          <cell r="CE65" t="b">
            <v>0</v>
          </cell>
          <cell r="CF65" t="b">
            <v>0</v>
          </cell>
        </row>
        <row r="67">
          <cell r="H67" t="str">
            <v>1999-Q1</v>
          </cell>
          <cell r="I67" t="str">
            <v>1999-Q2</v>
          </cell>
          <cell r="J67" t="str">
            <v>1999-Q3</v>
          </cell>
          <cell r="K67" t="str">
            <v>1999-Q4</v>
          </cell>
          <cell r="L67" t="str">
            <v>1999-FY</v>
          </cell>
          <cell r="M67" t="str">
            <v>2000-Q1</v>
          </cell>
          <cell r="N67" t="str">
            <v>2000-Q2</v>
          </cell>
          <cell r="O67" t="str">
            <v>2000-Q3</v>
          </cell>
          <cell r="P67" t="str">
            <v>2000-Q4</v>
          </cell>
          <cell r="Q67" t="str">
            <v>2000-FY</v>
          </cell>
          <cell r="R67" t="str">
            <v>2001-Q1</v>
          </cell>
          <cell r="S67" t="str">
            <v>2001-Q2</v>
          </cell>
          <cell r="T67" t="str">
            <v>2001-Q3</v>
          </cell>
          <cell r="U67" t="str">
            <v>2001-Q4</v>
          </cell>
          <cell r="V67" t="str">
            <v>2001-FY</v>
          </cell>
          <cell r="W67" t="str">
            <v>2002-Q1</v>
          </cell>
          <cell r="X67" t="str">
            <v>2002-Q2</v>
          </cell>
          <cell r="Y67" t="str">
            <v>2002-Q3</v>
          </cell>
          <cell r="Z67" t="str">
            <v>2002-Q4</v>
          </cell>
          <cell r="AA67" t="str">
            <v>2002-FY</v>
          </cell>
          <cell r="AB67" t="str">
            <v>2003-Q1</v>
          </cell>
          <cell r="AC67" t="str">
            <v>2003-Q2</v>
          </cell>
          <cell r="AD67" t="str">
            <v>2003-Q3</v>
          </cell>
          <cell r="AE67" t="str">
            <v>2003-Q4</v>
          </cell>
          <cell r="AF67" t="str">
            <v>2003-FY</v>
          </cell>
          <cell r="AG67" t="str">
            <v>2004-Q1</v>
          </cell>
          <cell r="AH67" t="str">
            <v>2004-Q2</v>
          </cell>
          <cell r="AI67" t="str">
            <v>2004-Q3</v>
          </cell>
          <cell r="AJ67" t="str">
            <v>2004-Q4</v>
          </cell>
          <cell r="AK67" t="str">
            <v>2004-FY</v>
          </cell>
          <cell r="AL67" t="str">
            <v>2005-Q1</v>
          </cell>
          <cell r="AM67" t="str">
            <v>2005-Q2</v>
          </cell>
          <cell r="AN67" t="str">
            <v>2005-Q3</v>
          </cell>
          <cell r="AO67" t="str">
            <v>2005-Q4</v>
          </cell>
          <cell r="AP67" t="str">
            <v>2005-FY</v>
          </cell>
          <cell r="AQ67" t="str">
            <v>2006-Q1</v>
          </cell>
          <cell r="AR67" t="str">
            <v>2006-Q2</v>
          </cell>
          <cell r="AS67" t="str">
            <v>2006-Q3</v>
          </cell>
          <cell r="AT67" t="str">
            <v>2006-Q4</v>
          </cell>
          <cell r="AU67" t="str">
            <v>2006-FY</v>
          </cell>
          <cell r="AV67" t="str">
            <v>2007-Q1</v>
          </cell>
          <cell r="AW67" t="str">
            <v>2007-Q2</v>
          </cell>
          <cell r="AX67" t="str">
            <v>2007-Q3</v>
          </cell>
          <cell r="AY67" t="str">
            <v>2007-Q4</v>
          </cell>
          <cell r="AZ67" t="str">
            <v>2007-FY</v>
          </cell>
          <cell r="BA67" t="str">
            <v>2008-Q1</v>
          </cell>
          <cell r="BB67" t="str">
            <v>2008-Q2</v>
          </cell>
          <cell r="BC67" t="str">
            <v>2008-Q3</v>
          </cell>
          <cell r="BD67" t="str">
            <v>2008-Q4</v>
          </cell>
          <cell r="BE67" t="str">
            <v>2008-FY</v>
          </cell>
          <cell r="BF67" t="str">
            <v>2009-Q1</v>
          </cell>
          <cell r="BG67" t="str">
            <v>2009-Q2</v>
          </cell>
          <cell r="BH67" t="str">
            <v>2009-Q3</v>
          </cell>
          <cell r="BI67" t="str">
            <v>2009-Q4</v>
          </cell>
          <cell r="BJ67" t="str">
            <v>2009-FY</v>
          </cell>
          <cell r="BK67" t="str">
            <v>2010-Q1</v>
          </cell>
          <cell r="BL67" t="str">
            <v>2010-Q2</v>
          </cell>
          <cell r="BM67" t="str">
            <v>2010-Q3</v>
          </cell>
          <cell r="BN67" t="str">
            <v>2010-Q4</v>
          </cell>
          <cell r="BO67" t="str">
            <v>2010-FY</v>
          </cell>
          <cell r="BP67" t="str">
            <v>2011-Q1</v>
          </cell>
          <cell r="BQ67" t="str">
            <v>2011-Q2</v>
          </cell>
          <cell r="BR67" t="str">
            <v>2011-Q3</v>
          </cell>
          <cell r="BS67" t="str">
            <v>2011-Q4</v>
          </cell>
          <cell r="BT67" t="str">
            <v>2011-FY</v>
          </cell>
          <cell r="BU67" t="str">
            <v>2012-Q1</v>
          </cell>
          <cell r="BV67" t="str">
            <v>2012-Q2</v>
          </cell>
          <cell r="BW67" t="str">
            <v>2012-Q3</v>
          </cell>
          <cell r="BX67" t="str">
            <v>2012-Q4</v>
          </cell>
          <cell r="BY67" t="str">
            <v>2012-FY</v>
          </cell>
        </row>
      </sheetData>
      <sheetData sheetId="8" refreshError="1">
        <row r="1">
          <cell r="A1" t="str">
            <v>Brookfield Properties</v>
          </cell>
          <cell r="CA1" t="str">
            <v>ElementName</v>
          </cell>
          <cell r="CB1" t="str">
            <v>ScaleOverride</v>
          </cell>
          <cell r="CC1" t="str">
            <v>UnitOverride</v>
          </cell>
          <cell r="CD1" t="str">
            <v>ReverseSign</v>
          </cell>
          <cell r="CE1" t="str">
            <v>IsDrivingAssumption</v>
          </cell>
          <cell r="CF1" t="str">
            <v>SegmentID</v>
          </cell>
        </row>
        <row r="2">
          <cell r="A2" t="str">
            <v>Quarterly Cash Flow Statement</v>
          </cell>
        </row>
        <row r="3">
          <cell r="A3" t="str">
            <v>(Dollars in Thousands, Except Per Share)</v>
          </cell>
        </row>
        <row r="5">
          <cell r="C5">
            <v>1998</v>
          </cell>
          <cell r="H5">
            <v>1999</v>
          </cell>
          <cell r="M5">
            <v>2000</v>
          </cell>
          <cell r="R5">
            <v>2001</v>
          </cell>
          <cell r="W5">
            <v>2002</v>
          </cell>
          <cell r="AB5">
            <v>2003</v>
          </cell>
          <cell r="AG5">
            <v>2004</v>
          </cell>
          <cell r="AL5">
            <v>2005</v>
          </cell>
          <cell r="AQ5">
            <v>2006</v>
          </cell>
          <cell r="AV5">
            <v>2007</v>
          </cell>
          <cell r="BA5">
            <v>2008</v>
          </cell>
          <cell r="BF5">
            <v>2009</v>
          </cell>
          <cell r="BK5">
            <v>2010</v>
          </cell>
          <cell r="BP5">
            <v>2011</v>
          </cell>
          <cell r="BU5">
            <v>2012</v>
          </cell>
        </row>
        <row r="6">
          <cell r="C6" t="str">
            <v>1Q98</v>
          </cell>
          <cell r="D6" t="str">
            <v>2Q98</v>
          </cell>
          <cell r="E6" t="str">
            <v>3Q98</v>
          </cell>
          <cell r="F6" t="str">
            <v>4Q98</v>
          </cell>
          <cell r="G6">
            <v>1998</v>
          </cell>
          <cell r="H6" t="str">
            <v>1Q99</v>
          </cell>
          <cell r="I6" t="str">
            <v>2Q99</v>
          </cell>
          <cell r="J6" t="str">
            <v>3Q99</v>
          </cell>
          <cell r="K6" t="str">
            <v>4Q99</v>
          </cell>
          <cell r="L6">
            <v>1999</v>
          </cell>
          <cell r="M6" t="str">
            <v>1Q00</v>
          </cell>
          <cell r="N6" t="str">
            <v>2Q00</v>
          </cell>
          <cell r="O6" t="str">
            <v>3Q00</v>
          </cell>
          <cell r="P6" t="str">
            <v>4Q00</v>
          </cell>
          <cell r="Q6">
            <v>2000</v>
          </cell>
          <cell r="R6" t="str">
            <v>1Q01</v>
          </cell>
          <cell r="S6" t="str">
            <v>2Q01</v>
          </cell>
          <cell r="T6" t="str">
            <v>3Q01</v>
          </cell>
          <cell r="U6" t="str">
            <v>4Q01</v>
          </cell>
          <cell r="V6">
            <v>2001</v>
          </cell>
          <cell r="W6" t="str">
            <v>1Q02</v>
          </cell>
          <cell r="X6" t="str">
            <v>2Q02</v>
          </cell>
          <cell r="Y6" t="str">
            <v>3Q02</v>
          </cell>
          <cell r="Z6" t="str">
            <v>4Q02</v>
          </cell>
          <cell r="AA6">
            <v>2002</v>
          </cell>
          <cell r="AB6" t="str">
            <v>1Q03</v>
          </cell>
          <cell r="AC6" t="str">
            <v>2Q03</v>
          </cell>
          <cell r="AD6" t="str">
            <v>3Q03</v>
          </cell>
          <cell r="AE6" t="str">
            <v>4Q03</v>
          </cell>
          <cell r="AF6">
            <v>2003</v>
          </cell>
          <cell r="AG6" t="str">
            <v>1Q04</v>
          </cell>
          <cell r="AH6" t="str">
            <v>2Q04</v>
          </cell>
          <cell r="AI6" t="str">
            <v>3Q04</v>
          </cell>
          <cell r="AJ6" t="str">
            <v>4Q04</v>
          </cell>
          <cell r="AK6">
            <v>2004</v>
          </cell>
          <cell r="AL6" t="str">
            <v>1QA</v>
          </cell>
          <cell r="AM6" t="str">
            <v>2QA</v>
          </cell>
          <cell r="AN6" t="str">
            <v>3QA</v>
          </cell>
          <cell r="AO6" t="str">
            <v>4QA</v>
          </cell>
          <cell r="AP6">
            <v>2005</v>
          </cell>
          <cell r="AQ6" t="str">
            <v>1QA</v>
          </cell>
          <cell r="AR6" t="str">
            <v>2QA</v>
          </cell>
          <cell r="AS6" t="str">
            <v>3QA</v>
          </cell>
          <cell r="AT6" t="str">
            <v>4QA</v>
          </cell>
          <cell r="AU6">
            <v>2006</v>
          </cell>
          <cell r="AV6" t="str">
            <v>1QA</v>
          </cell>
          <cell r="AW6" t="str">
            <v>2QA</v>
          </cell>
          <cell r="AX6" t="str">
            <v>3QA</v>
          </cell>
          <cell r="AY6" t="str">
            <v>4QA</v>
          </cell>
          <cell r="AZ6">
            <v>2007</v>
          </cell>
          <cell r="BA6" t="str">
            <v>1QE</v>
          </cell>
          <cell r="BB6" t="str">
            <v>2QE</v>
          </cell>
          <cell r="BC6" t="str">
            <v>3QE</v>
          </cell>
          <cell r="BD6" t="str">
            <v>4QE</v>
          </cell>
          <cell r="BE6">
            <v>2008</v>
          </cell>
          <cell r="BF6" t="str">
            <v>1QE</v>
          </cell>
          <cell r="BG6" t="str">
            <v>2QE</v>
          </cell>
          <cell r="BH6" t="str">
            <v>3QE</v>
          </cell>
          <cell r="BI6" t="str">
            <v>4QE</v>
          </cell>
          <cell r="BJ6">
            <v>2009</v>
          </cell>
          <cell r="BK6" t="str">
            <v>1QE</v>
          </cell>
          <cell r="BL6" t="str">
            <v>2QE</v>
          </cell>
          <cell r="BM6" t="str">
            <v>3QE</v>
          </cell>
          <cell r="BN6" t="str">
            <v>4QE</v>
          </cell>
          <cell r="BO6">
            <v>2010</v>
          </cell>
          <cell r="BP6" t="str">
            <v>1QE</v>
          </cell>
          <cell r="BQ6" t="str">
            <v>2QE</v>
          </cell>
          <cell r="BR6" t="str">
            <v>3QE</v>
          </cell>
          <cell r="BS6" t="str">
            <v>4QE</v>
          </cell>
          <cell r="BT6">
            <v>2011</v>
          </cell>
          <cell r="BU6" t="str">
            <v>1QE</v>
          </cell>
          <cell r="BV6" t="str">
            <v>2QE</v>
          </cell>
          <cell r="BW6" t="str">
            <v>3QE</v>
          </cell>
          <cell r="BX6" t="str">
            <v>4QE</v>
          </cell>
          <cell r="BY6">
            <v>2012</v>
          </cell>
        </row>
        <row r="8">
          <cell r="A8" t="str">
            <v>Cash Flow from Operations</v>
          </cell>
        </row>
        <row r="9">
          <cell r="A9" t="str">
            <v>Net Income</v>
          </cell>
          <cell r="H9">
            <v>30000</v>
          </cell>
          <cell r="I9">
            <v>32000</v>
          </cell>
          <cell r="J9">
            <v>36000</v>
          </cell>
          <cell r="K9">
            <v>46000</v>
          </cell>
          <cell r="L9">
            <v>144000</v>
          </cell>
          <cell r="M9">
            <v>36000</v>
          </cell>
          <cell r="N9">
            <v>50000</v>
          </cell>
          <cell r="O9">
            <v>39000</v>
          </cell>
          <cell r="P9">
            <v>46000</v>
          </cell>
          <cell r="Q9">
            <v>171000</v>
          </cell>
          <cell r="R9">
            <v>60000</v>
          </cell>
          <cell r="S9">
            <v>74000</v>
          </cell>
          <cell r="T9">
            <v>53000</v>
          </cell>
          <cell r="U9">
            <v>54000</v>
          </cell>
          <cell r="V9">
            <v>241000</v>
          </cell>
          <cell r="W9">
            <v>80000</v>
          </cell>
          <cell r="X9">
            <v>60000</v>
          </cell>
          <cell r="Y9">
            <v>74000</v>
          </cell>
          <cell r="Z9">
            <v>66000</v>
          </cell>
          <cell r="AA9">
            <v>280000</v>
          </cell>
          <cell r="AB9">
            <v>50000</v>
          </cell>
          <cell r="AC9">
            <v>53000</v>
          </cell>
          <cell r="AD9">
            <v>50000</v>
          </cell>
          <cell r="AE9">
            <v>126000</v>
          </cell>
          <cell r="AF9">
            <v>279000</v>
          </cell>
          <cell r="AG9">
            <v>52000</v>
          </cell>
          <cell r="AH9">
            <v>80000</v>
          </cell>
          <cell r="AI9">
            <v>50000</v>
          </cell>
          <cell r="AJ9">
            <v>56000</v>
          </cell>
          <cell r="AK9">
            <v>238000</v>
          </cell>
          <cell r="AL9">
            <v>43000</v>
          </cell>
          <cell r="AM9">
            <v>41000</v>
          </cell>
          <cell r="AN9">
            <v>33000</v>
          </cell>
          <cell r="AO9">
            <v>47000</v>
          </cell>
          <cell r="AP9">
            <v>164000</v>
          </cell>
          <cell r="AQ9">
            <v>49000</v>
          </cell>
          <cell r="AR9">
            <v>30000</v>
          </cell>
          <cell r="AS9">
            <v>35000</v>
          </cell>
          <cell r="AT9">
            <v>21000</v>
          </cell>
          <cell r="AU9">
            <v>135000</v>
          </cell>
          <cell r="AV9">
            <v>53000</v>
          </cell>
          <cell r="AW9">
            <v>79000</v>
          </cell>
          <cell r="AX9">
            <v>3000</v>
          </cell>
          <cell r="AY9">
            <v>105000</v>
          </cell>
          <cell r="AZ9">
            <v>240000</v>
          </cell>
          <cell r="BA9">
            <v>44935.799051021007</v>
          </cell>
          <cell r="BB9">
            <v>57515.112914773003</v>
          </cell>
          <cell r="BC9">
            <v>49692.537575606642</v>
          </cell>
          <cell r="BD9">
            <v>59442.018073707928</v>
          </cell>
          <cell r="BE9">
            <v>211585.46761510859</v>
          </cell>
          <cell r="BF9">
            <v>52765.237841486596</v>
          </cell>
          <cell r="BG9">
            <v>65429.952330396081</v>
          </cell>
          <cell r="BH9">
            <v>57789.796555539186</v>
          </cell>
          <cell r="BI9">
            <v>65647.936391209078</v>
          </cell>
          <cell r="BJ9">
            <v>241632.92311863095</v>
          </cell>
          <cell r="BK9">
            <v>58731.081267591253</v>
          </cell>
          <cell r="BL9">
            <v>70268.849759431789</v>
          </cell>
          <cell r="BM9">
            <v>63349.085156912632</v>
          </cell>
          <cell r="BN9">
            <v>69999.775705989494</v>
          </cell>
          <cell r="BO9">
            <v>262348.79188992514</v>
          </cell>
          <cell r="BP9">
            <v>77047.628168218187</v>
          </cell>
          <cell r="BQ9">
            <v>75363.30096101643</v>
          </cell>
          <cell r="BR9">
            <v>68064.121888731475</v>
          </cell>
          <cell r="BS9">
            <v>74904.825959330818</v>
          </cell>
          <cell r="BT9">
            <v>295379.87697729695</v>
          </cell>
          <cell r="BU9">
            <v>82570.051841671157</v>
          </cell>
          <cell r="BV9">
            <v>84184.35946731038</v>
          </cell>
          <cell r="BW9">
            <v>76203.051365682215</v>
          </cell>
          <cell r="BX9">
            <v>83825.487161686993</v>
          </cell>
          <cell r="BY9">
            <v>326782.94983635074</v>
          </cell>
          <cell r="CA9" t="str">
            <v>mstag:netIncomeReported</v>
          </cell>
          <cell r="CB9">
            <v>3</v>
          </cell>
          <cell r="CC9" t="str">
            <v>ISO4217:USD</v>
          </cell>
          <cell r="CD9" t="b">
            <v>0</v>
          </cell>
          <cell r="CE9" t="b">
            <v>0</v>
          </cell>
        </row>
        <row r="10">
          <cell r="A10" t="str">
            <v>Depreciation and amortization</v>
          </cell>
          <cell r="H10">
            <v>13000</v>
          </cell>
          <cell r="I10">
            <v>16000</v>
          </cell>
          <cell r="J10">
            <v>13000</v>
          </cell>
          <cell r="K10">
            <v>19000</v>
          </cell>
          <cell r="L10">
            <v>61000</v>
          </cell>
          <cell r="M10">
            <v>14000</v>
          </cell>
          <cell r="N10">
            <v>16000</v>
          </cell>
          <cell r="O10">
            <v>17000</v>
          </cell>
          <cell r="P10">
            <v>19000</v>
          </cell>
          <cell r="Q10">
            <v>66000</v>
          </cell>
          <cell r="R10">
            <v>18000</v>
          </cell>
          <cell r="S10">
            <v>19000</v>
          </cell>
          <cell r="T10">
            <v>19000</v>
          </cell>
          <cell r="U10">
            <v>20000</v>
          </cell>
          <cell r="V10">
            <v>76000</v>
          </cell>
          <cell r="W10">
            <v>19000</v>
          </cell>
          <cell r="X10">
            <v>19000</v>
          </cell>
          <cell r="Y10">
            <v>20000</v>
          </cell>
          <cell r="Z10">
            <v>22000</v>
          </cell>
          <cell r="AA10">
            <v>80000</v>
          </cell>
          <cell r="AB10">
            <v>18000</v>
          </cell>
          <cell r="AC10">
            <v>20000</v>
          </cell>
          <cell r="AD10">
            <v>20000</v>
          </cell>
          <cell r="AE10">
            <v>21000</v>
          </cell>
          <cell r="AF10">
            <v>79000</v>
          </cell>
          <cell r="AG10">
            <v>34000</v>
          </cell>
          <cell r="AH10">
            <v>35000</v>
          </cell>
          <cell r="AI10">
            <v>36000</v>
          </cell>
          <cell r="AJ10">
            <v>38000</v>
          </cell>
          <cell r="AK10">
            <v>143000</v>
          </cell>
          <cell r="AL10">
            <v>36000</v>
          </cell>
          <cell r="AM10">
            <v>41000</v>
          </cell>
          <cell r="AN10">
            <v>42000</v>
          </cell>
          <cell r="AO10">
            <v>49000</v>
          </cell>
          <cell r="AP10">
            <v>168000</v>
          </cell>
          <cell r="AQ10">
            <v>45000</v>
          </cell>
          <cell r="AR10">
            <v>51000</v>
          </cell>
          <cell r="AS10">
            <v>51000</v>
          </cell>
          <cell r="AT10">
            <v>137000</v>
          </cell>
          <cell r="AU10">
            <v>284000</v>
          </cell>
          <cell r="AV10">
            <v>126000</v>
          </cell>
          <cell r="AW10">
            <v>133000</v>
          </cell>
          <cell r="AX10">
            <v>136000</v>
          </cell>
          <cell r="AY10">
            <v>138000</v>
          </cell>
          <cell r="AZ10">
            <v>533000</v>
          </cell>
          <cell r="BA10">
            <v>141921.16504854368</v>
          </cell>
          <cell r="BB10">
            <v>142977.51866377215</v>
          </cell>
          <cell r="BC10">
            <v>142153.30517474425</v>
          </cell>
          <cell r="BD10">
            <v>142136.42090939495</v>
          </cell>
          <cell r="BE10">
            <v>569188.40979645506</v>
          </cell>
          <cell r="BF10">
            <v>141309.7054386184</v>
          </cell>
          <cell r="BG10">
            <v>141265.94482930657</v>
          </cell>
          <cell r="BH10">
            <v>141226.46813633441</v>
          </cell>
          <cell r="BI10">
            <v>140774.48466794248</v>
          </cell>
          <cell r="BJ10">
            <v>564576.60307220195</v>
          </cell>
          <cell r="BK10">
            <v>140926.48048678366</v>
          </cell>
          <cell r="BL10">
            <v>142149.43955055217</v>
          </cell>
          <cell r="BM10">
            <v>143369.12048031646</v>
          </cell>
          <cell r="BN10">
            <v>144580.37243726623</v>
          </cell>
          <cell r="BO10">
            <v>571025.41295491857</v>
          </cell>
          <cell r="BP10">
            <v>145777.52861316266</v>
          </cell>
          <cell r="BQ10">
            <v>149532.1068885779</v>
          </cell>
          <cell r="BR10">
            <v>148928.70821847414</v>
          </cell>
          <cell r="BS10">
            <v>148327.59613412007</v>
          </cell>
          <cell r="BT10">
            <v>592565.93985433481</v>
          </cell>
          <cell r="BU10">
            <v>147722.95016200081</v>
          </cell>
          <cell r="BV10">
            <v>147138.1217266919</v>
          </cell>
          <cell r="BW10">
            <v>146560.34176283333</v>
          </cell>
          <cell r="BX10">
            <v>145984.28315048953</v>
          </cell>
          <cell r="BY10">
            <v>587405.69680201553</v>
          </cell>
          <cell r="CA10" t="str">
            <v>mstag:depreciation</v>
          </cell>
          <cell r="CB10">
            <v>3</v>
          </cell>
          <cell r="CC10" t="str">
            <v>ISO4217:USD</v>
          </cell>
          <cell r="CD10" t="b">
            <v>0</v>
          </cell>
          <cell r="CE10" t="b">
            <v>0</v>
          </cell>
        </row>
        <row r="11">
          <cell r="A11" t="str">
            <v>Amort. of value of acq operating leases to rental rev, net</v>
          </cell>
          <cell r="AT11">
            <v>-52000</v>
          </cell>
          <cell r="AU11">
            <v>-52000</v>
          </cell>
          <cell r="AV11">
            <v>-33000</v>
          </cell>
          <cell r="AW11">
            <v>-35000</v>
          </cell>
          <cell r="AX11">
            <v>-36000</v>
          </cell>
          <cell r="AY11">
            <v>-33000</v>
          </cell>
          <cell r="AZ11">
            <v>-137000</v>
          </cell>
          <cell r="CA11" t="str">
            <v>mstag:netDecreaseInOtherAssets</v>
          </cell>
          <cell r="CB11">
            <v>3</v>
          </cell>
          <cell r="CC11" t="str">
            <v>ISO4217:USD</v>
          </cell>
          <cell r="CD11" t="b">
            <v>0</v>
          </cell>
          <cell r="CE11" t="b">
            <v>0</v>
          </cell>
        </row>
        <row r="12">
          <cell r="A12" t="str">
            <v>Cashflow retained from (distributed to) non-controlling interests, net</v>
          </cell>
          <cell r="AT12">
            <v>-49000</v>
          </cell>
          <cell r="AU12">
            <v>-49000</v>
          </cell>
          <cell r="AV12">
            <v>-10000</v>
          </cell>
          <cell r="AW12">
            <v>1000</v>
          </cell>
          <cell r="AX12">
            <v>-6000</v>
          </cell>
          <cell r="AY12">
            <v>-13000</v>
          </cell>
          <cell r="AZ12">
            <v>-28000</v>
          </cell>
          <cell r="BA12">
            <v>-45000</v>
          </cell>
          <cell r="BB12">
            <v>-45000</v>
          </cell>
          <cell r="BC12">
            <v>-45000</v>
          </cell>
          <cell r="BD12">
            <v>-45000</v>
          </cell>
          <cell r="BE12">
            <v>-180000</v>
          </cell>
          <cell r="BF12">
            <v>-45000</v>
          </cell>
          <cell r="BG12">
            <v>-45000</v>
          </cell>
          <cell r="BH12">
            <v>-45000</v>
          </cell>
          <cell r="BI12">
            <v>-45000</v>
          </cell>
          <cell r="BJ12">
            <v>-180000</v>
          </cell>
          <cell r="BK12">
            <v>-45000</v>
          </cell>
          <cell r="BL12">
            <v>-45000</v>
          </cell>
          <cell r="BM12">
            <v>-45000</v>
          </cell>
          <cell r="BN12">
            <v>-45000</v>
          </cell>
          <cell r="BO12">
            <v>-180000</v>
          </cell>
          <cell r="BP12">
            <v>-45000</v>
          </cell>
          <cell r="BQ12">
            <v>-45000</v>
          </cell>
          <cell r="BR12">
            <v>-45000</v>
          </cell>
          <cell r="BS12">
            <v>-45000</v>
          </cell>
          <cell r="BT12">
            <v>-180000</v>
          </cell>
          <cell r="BU12">
            <v>-45000</v>
          </cell>
          <cell r="BV12">
            <v>-45000</v>
          </cell>
          <cell r="BW12">
            <v>-45000</v>
          </cell>
          <cell r="BX12">
            <v>-45000</v>
          </cell>
          <cell r="BY12">
            <v>-180000</v>
          </cell>
          <cell r="CA12" t="str">
            <v>mstag:netIncreaseInMinorityInterestsInShareholdersEquity</v>
          </cell>
          <cell r="CB12">
            <v>3</v>
          </cell>
          <cell r="CC12" t="str">
            <v>ISO4217:USD</v>
          </cell>
          <cell r="CD12" t="b">
            <v>0</v>
          </cell>
          <cell r="CE12" t="b">
            <v>0</v>
          </cell>
        </row>
        <row r="13">
          <cell r="A13" t="str">
            <v>Unrealized foreign exchange on preferred share restatement</v>
          </cell>
          <cell r="H13">
            <v>0</v>
          </cell>
          <cell r="I13">
            <v>0</v>
          </cell>
          <cell r="J13">
            <v>0</v>
          </cell>
          <cell r="K13">
            <v>0</v>
          </cell>
          <cell r="L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-4000</v>
          </cell>
          <cell r="AH13">
            <v>0</v>
          </cell>
          <cell r="AI13">
            <v>22000</v>
          </cell>
          <cell r="AJ13">
            <v>0</v>
          </cell>
          <cell r="AK13">
            <v>18000</v>
          </cell>
          <cell r="AL13">
            <v>0</v>
          </cell>
          <cell r="AP13">
            <v>0</v>
          </cell>
          <cell r="AT13">
            <v>0</v>
          </cell>
          <cell r="AU13">
            <v>0</v>
          </cell>
          <cell r="AW13">
            <v>0</v>
          </cell>
          <cell r="AZ13">
            <v>0</v>
          </cell>
          <cell r="BE13">
            <v>0</v>
          </cell>
          <cell r="BJ13">
            <v>0</v>
          </cell>
          <cell r="BO13">
            <v>0</v>
          </cell>
          <cell r="BT13">
            <v>0</v>
          </cell>
          <cell r="BY13">
            <v>0</v>
          </cell>
          <cell r="CA13" t="str">
            <v>mstag:unrealizedForeignCurrencyExchangeGainLossCashFlowStatement</v>
          </cell>
          <cell r="CB13">
            <v>3</v>
          </cell>
          <cell r="CC13" t="str">
            <v>ISO4217:USD</v>
          </cell>
          <cell r="CD13" t="b">
            <v>1</v>
          </cell>
          <cell r="CE13" t="b">
            <v>0</v>
          </cell>
        </row>
        <row r="14">
          <cell r="A14" t="str">
            <v>Taxes and other non-cash items</v>
          </cell>
          <cell r="H14">
            <v>11000</v>
          </cell>
          <cell r="I14">
            <v>11000</v>
          </cell>
          <cell r="J14">
            <v>14000</v>
          </cell>
          <cell r="K14">
            <v>19000</v>
          </cell>
          <cell r="L14">
            <v>55000</v>
          </cell>
          <cell r="M14">
            <v>18000</v>
          </cell>
          <cell r="N14">
            <v>24000</v>
          </cell>
          <cell r="O14">
            <v>21000</v>
          </cell>
          <cell r="P14">
            <v>19000</v>
          </cell>
          <cell r="Q14">
            <v>82000</v>
          </cell>
          <cell r="R14">
            <v>27000</v>
          </cell>
          <cell r="S14">
            <v>20000</v>
          </cell>
          <cell r="T14">
            <v>17000</v>
          </cell>
          <cell r="U14">
            <v>18000</v>
          </cell>
          <cell r="V14">
            <v>82000</v>
          </cell>
          <cell r="W14">
            <v>26000</v>
          </cell>
          <cell r="X14">
            <v>19000</v>
          </cell>
          <cell r="Y14">
            <v>23000</v>
          </cell>
          <cell r="Z14">
            <v>19000</v>
          </cell>
          <cell r="AA14">
            <v>87000</v>
          </cell>
          <cell r="AB14">
            <v>18000</v>
          </cell>
          <cell r="AC14">
            <v>17000</v>
          </cell>
          <cell r="AD14">
            <v>21000</v>
          </cell>
          <cell r="AE14">
            <v>46000</v>
          </cell>
          <cell r="AF14">
            <v>102000</v>
          </cell>
          <cell r="AG14">
            <v>30000</v>
          </cell>
          <cell r="AH14">
            <v>47000</v>
          </cell>
          <cell r="AI14">
            <v>0</v>
          </cell>
          <cell r="AJ14">
            <v>17000</v>
          </cell>
          <cell r="AK14">
            <v>94000</v>
          </cell>
          <cell r="AL14">
            <v>20000</v>
          </cell>
          <cell r="AM14">
            <v>19000</v>
          </cell>
          <cell r="AN14">
            <v>22000</v>
          </cell>
          <cell r="AO14">
            <v>42000</v>
          </cell>
          <cell r="AP14">
            <v>103000</v>
          </cell>
          <cell r="AQ14">
            <v>39000</v>
          </cell>
          <cell r="AR14">
            <v>39000</v>
          </cell>
          <cell r="AS14">
            <v>23000</v>
          </cell>
          <cell r="AT14">
            <v>6000</v>
          </cell>
          <cell r="AU14">
            <v>107000</v>
          </cell>
          <cell r="AV14">
            <v>26000</v>
          </cell>
          <cell r="AW14">
            <v>47000</v>
          </cell>
          <cell r="AX14">
            <v>22000</v>
          </cell>
          <cell r="AY14">
            <v>9000</v>
          </cell>
          <cell r="AZ14">
            <v>104000</v>
          </cell>
          <cell r="BA14">
            <v>-169.40676703008768</v>
          </cell>
          <cell r="BB14">
            <v>1661.0511921254165</v>
          </cell>
          <cell r="BC14">
            <v>522.76213711333526</v>
          </cell>
          <cell r="BD14">
            <v>1941.4415952040642</v>
          </cell>
          <cell r="BE14">
            <v>3955.8481574127281</v>
          </cell>
          <cell r="BF14">
            <v>969.88101169570496</v>
          </cell>
          <cell r="BG14">
            <v>2812.7659009468834</v>
          </cell>
          <cell r="BH14">
            <v>1701.021325785815</v>
          </cell>
          <cell r="BI14">
            <v>2844.4854894241175</v>
          </cell>
          <cell r="BJ14">
            <v>8328.1537278525211</v>
          </cell>
          <cell r="BK14">
            <v>1837.9908069251621</v>
          </cell>
          <cell r="BL14">
            <v>3516.8900215826361</v>
          </cell>
          <cell r="BM14">
            <v>2509.9719710948052</v>
          </cell>
          <cell r="BN14">
            <v>3477.7361577025936</v>
          </cell>
          <cell r="BO14">
            <v>11342.588957305197</v>
          </cell>
          <cell r="BP14">
            <v>4503.292700306607</v>
          </cell>
          <cell r="BQ14">
            <v>4258.2006248851712</v>
          </cell>
          <cell r="BR14">
            <v>3196.0727081420091</v>
          </cell>
          <cell r="BS14">
            <v>4191.4863966689945</v>
          </cell>
          <cell r="BT14">
            <v>16149.052430002783</v>
          </cell>
          <cell r="BU14">
            <v>5306.8790068721164</v>
          </cell>
          <cell r="BV14">
            <v>5541.7822992044212</v>
          </cell>
          <cell r="BW14">
            <v>4380.3955099618433</v>
          </cell>
          <cell r="BX14">
            <v>5489.5615918380436</v>
          </cell>
          <cell r="BY14">
            <v>20718.618407876424</v>
          </cell>
          <cell r="CA14" t="str">
            <v>mstag:otherProvisionsRecurringCashFlowStatement</v>
          </cell>
          <cell r="CB14">
            <v>3</v>
          </cell>
          <cell r="CC14" t="str">
            <v>ISO4217:USD</v>
          </cell>
          <cell r="CD14" t="b">
            <v>0</v>
          </cell>
          <cell r="CE14" t="b">
            <v>0</v>
          </cell>
        </row>
        <row r="15">
          <cell r="A15" t="str">
            <v>Gains on Dispositions</v>
          </cell>
          <cell r="L15">
            <v>0</v>
          </cell>
          <cell r="P15">
            <v>0</v>
          </cell>
          <cell r="Q15">
            <v>0</v>
          </cell>
          <cell r="R15">
            <v>-24000</v>
          </cell>
          <cell r="S15">
            <v>-30000</v>
          </cell>
          <cell r="T15">
            <v>0</v>
          </cell>
          <cell r="U15">
            <v>0</v>
          </cell>
          <cell r="V15">
            <v>-54000</v>
          </cell>
          <cell r="W15">
            <v>-40000</v>
          </cell>
          <cell r="X15">
            <v>0</v>
          </cell>
          <cell r="Y15">
            <v>-20000</v>
          </cell>
          <cell r="Z15">
            <v>0</v>
          </cell>
          <cell r="AA15">
            <v>-60000</v>
          </cell>
          <cell r="AB15">
            <v>0</v>
          </cell>
          <cell r="AC15">
            <v>0</v>
          </cell>
          <cell r="AD15">
            <v>0</v>
          </cell>
          <cell r="AE15">
            <v>-100000</v>
          </cell>
          <cell r="AF15">
            <v>-100000</v>
          </cell>
          <cell r="AG15">
            <v>0</v>
          </cell>
          <cell r="AH15">
            <v>0</v>
          </cell>
          <cell r="AI15">
            <v>0</v>
          </cell>
          <cell r="AJ15">
            <v>0</v>
          </cell>
          <cell r="AK15">
            <v>0</v>
          </cell>
          <cell r="AL15">
            <v>0</v>
          </cell>
          <cell r="AM15">
            <v>0</v>
          </cell>
          <cell r="AN15">
            <v>0</v>
          </cell>
          <cell r="AO15">
            <v>0</v>
          </cell>
          <cell r="AP15">
            <v>0</v>
          </cell>
          <cell r="AQ15">
            <v>-30000</v>
          </cell>
          <cell r="AR15">
            <v>-14000</v>
          </cell>
          <cell r="AS15">
            <v>0</v>
          </cell>
          <cell r="AT15">
            <v>0</v>
          </cell>
          <cell r="AU15">
            <v>-44000</v>
          </cell>
          <cell r="AV15">
            <v>-47000</v>
          </cell>
          <cell r="AW15">
            <v>-62000</v>
          </cell>
          <cell r="AX15">
            <v>-7000</v>
          </cell>
          <cell r="AY15">
            <v>-28000</v>
          </cell>
          <cell r="AZ15">
            <v>-144000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CA15" t="str">
            <v>mstag:gainsLossesFromSaleOfOperatingAssetsOneTime</v>
          </cell>
          <cell r="CB15">
            <v>3</v>
          </cell>
          <cell r="CC15" t="str">
            <v>ISO4217:USD</v>
          </cell>
          <cell r="CD15" t="b">
            <v>1</v>
          </cell>
          <cell r="CE15" t="b">
            <v>0</v>
          </cell>
        </row>
        <row r="16">
          <cell r="A16" t="str">
            <v>Income from Discontinued Operations</v>
          </cell>
          <cell r="L16">
            <v>0</v>
          </cell>
          <cell r="O16">
            <v>0</v>
          </cell>
          <cell r="P16">
            <v>-24000</v>
          </cell>
          <cell r="Q16">
            <v>-50000</v>
          </cell>
          <cell r="R16">
            <v>-9000</v>
          </cell>
          <cell r="S16">
            <v>-15000</v>
          </cell>
          <cell r="T16">
            <v>-16000</v>
          </cell>
          <cell r="U16">
            <v>-25000</v>
          </cell>
          <cell r="V16">
            <v>-65000</v>
          </cell>
          <cell r="W16">
            <v>-13000</v>
          </cell>
          <cell r="X16">
            <v>-16000</v>
          </cell>
          <cell r="Y16">
            <v>-18000</v>
          </cell>
          <cell r="Z16">
            <v>-26000</v>
          </cell>
          <cell r="AA16">
            <v>-73000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CA16" t="str">
            <v>mstag:netCashFlowFromDiscontinuedOperations</v>
          </cell>
          <cell r="CB16">
            <v>3</v>
          </cell>
          <cell r="CC16" t="str">
            <v>ISO4217:USD</v>
          </cell>
          <cell r="CD16" t="b">
            <v>0</v>
          </cell>
          <cell r="CE16" t="b">
            <v>0</v>
          </cell>
        </row>
        <row r="17">
          <cell r="A17" t="str">
            <v>Discontinued Operations</v>
          </cell>
          <cell r="L17">
            <v>0</v>
          </cell>
          <cell r="P17">
            <v>78000</v>
          </cell>
          <cell r="Q17">
            <v>25000</v>
          </cell>
          <cell r="R17">
            <v>14000</v>
          </cell>
          <cell r="S17">
            <v>-66000</v>
          </cell>
          <cell r="T17">
            <v>11000</v>
          </cell>
          <cell r="U17">
            <v>71000</v>
          </cell>
          <cell r="V17">
            <v>30000</v>
          </cell>
          <cell r="W17">
            <v>-18000</v>
          </cell>
          <cell r="X17">
            <v>-9000</v>
          </cell>
          <cell r="Y17">
            <v>-14000</v>
          </cell>
          <cell r="Z17">
            <v>55000</v>
          </cell>
          <cell r="AA17">
            <v>14000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CA17" t="str">
            <v>mstag:netCashFlowFromDiscontinuedOperations</v>
          </cell>
          <cell r="CB17">
            <v>3</v>
          </cell>
          <cell r="CC17" t="str">
            <v>ISO4217:USD</v>
          </cell>
          <cell r="CD17" t="b">
            <v>0</v>
          </cell>
          <cell r="CE17" t="b">
            <v>0</v>
          </cell>
        </row>
        <row r="18">
          <cell r="A18" t="str">
            <v>Amortization of straight-line rent, net</v>
          </cell>
          <cell r="AP18">
            <v>0</v>
          </cell>
          <cell r="AU18">
            <v>0</v>
          </cell>
          <cell r="AV18">
            <v>-15000</v>
          </cell>
          <cell r="AW18">
            <v>-12000</v>
          </cell>
          <cell r="AX18">
            <v>-11000</v>
          </cell>
          <cell r="AY18">
            <v>-9000</v>
          </cell>
          <cell r="AZ18">
            <v>-47000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CA18" t="str">
            <v>mstag:otherCashFlow</v>
          </cell>
          <cell r="CB18">
            <v>3</v>
          </cell>
          <cell r="CC18" t="str">
            <v>ISO4217:USD</v>
          </cell>
          <cell r="CD18" t="b">
            <v>0</v>
          </cell>
          <cell r="CE18" t="b">
            <v>0</v>
          </cell>
        </row>
        <row r="19">
          <cell r="A19" t="str">
            <v>Stock option and DSU grant expense</v>
          </cell>
          <cell r="AP19">
            <v>0</v>
          </cell>
          <cell r="AU19">
            <v>0</v>
          </cell>
          <cell r="AV19">
            <v>3000</v>
          </cell>
          <cell r="AW19">
            <v>-3000</v>
          </cell>
          <cell r="AX19">
            <v>1000</v>
          </cell>
          <cell r="AY19">
            <v>2000</v>
          </cell>
          <cell r="AZ19">
            <v>3000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CA19" t="str">
            <v>mstag:otherCashFlow</v>
          </cell>
          <cell r="CB19">
            <v>3</v>
          </cell>
          <cell r="CC19" t="str">
            <v>ISO4217:USD</v>
          </cell>
          <cell r="CD19" t="b">
            <v>0</v>
          </cell>
          <cell r="CE19" t="b">
            <v>0</v>
          </cell>
        </row>
        <row r="20">
          <cell r="A20" t="str">
            <v>Non-cash component of capital securities - fund subsidiaries</v>
          </cell>
          <cell r="AP20">
            <v>0</v>
          </cell>
          <cell r="AU20">
            <v>0</v>
          </cell>
          <cell r="AV20">
            <v>-14000</v>
          </cell>
          <cell r="AW20">
            <v>-21000</v>
          </cell>
          <cell r="AX20">
            <v>-21000</v>
          </cell>
          <cell r="AY20">
            <v>-18000</v>
          </cell>
          <cell r="AZ20">
            <v>-74000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CA20" t="str">
            <v>mstag:otherCashFlow</v>
          </cell>
          <cell r="CB20">
            <v>3</v>
          </cell>
          <cell r="CC20" t="str">
            <v>ISO4217:USD</v>
          </cell>
          <cell r="CD20" t="b">
            <v>0</v>
          </cell>
          <cell r="CE20" t="b">
            <v>0</v>
          </cell>
        </row>
        <row r="21">
          <cell r="A21" t="str">
            <v>Income from equity-accounting investments</v>
          </cell>
          <cell r="AP21">
            <v>0</v>
          </cell>
          <cell r="AU21">
            <v>0</v>
          </cell>
          <cell r="AV21">
            <v>0</v>
          </cell>
          <cell r="AW21">
            <v>-1000</v>
          </cell>
          <cell r="AX21">
            <v>-1000</v>
          </cell>
          <cell r="AY21">
            <v>-1000</v>
          </cell>
          <cell r="AZ21">
            <v>-3000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CA21" t="str">
            <v>mstag:otherCashFlow</v>
          </cell>
          <cell r="CB21">
            <v>3</v>
          </cell>
          <cell r="CC21" t="str">
            <v>ISO4217:USD</v>
          </cell>
          <cell r="CD21" t="b">
            <v>0</v>
          </cell>
          <cell r="CE21" t="b">
            <v>0</v>
          </cell>
        </row>
        <row r="22">
          <cell r="A22" t="str">
            <v>Distributions received from equity-accounting investments</v>
          </cell>
          <cell r="AP22">
            <v>0</v>
          </cell>
          <cell r="AU22">
            <v>0</v>
          </cell>
          <cell r="AV22">
            <v>0</v>
          </cell>
          <cell r="AW22">
            <v>1000</v>
          </cell>
          <cell r="AX22">
            <v>2000</v>
          </cell>
          <cell r="AY22">
            <v>0</v>
          </cell>
          <cell r="AZ22">
            <v>3000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CA22" t="str">
            <v>mstag:otherCashFlow</v>
          </cell>
          <cell r="CB22">
            <v>3</v>
          </cell>
          <cell r="CC22" t="str">
            <v>ISO4217:USD</v>
          </cell>
          <cell r="CD22" t="b">
            <v>0</v>
          </cell>
          <cell r="CE22" t="b">
            <v>0</v>
          </cell>
        </row>
        <row r="23">
          <cell r="A23" t="str">
            <v>Deferred leasing costs</v>
          </cell>
          <cell r="AP23">
            <v>0</v>
          </cell>
          <cell r="AU23">
            <v>0</v>
          </cell>
          <cell r="AV23">
            <v>-7000</v>
          </cell>
          <cell r="AW23">
            <v>-9000</v>
          </cell>
          <cell r="AX23">
            <v>-10000</v>
          </cell>
          <cell r="AY23">
            <v>-15000</v>
          </cell>
          <cell r="AZ23">
            <v>-41000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CA23" t="str">
            <v>mstag:otherCashFlow</v>
          </cell>
          <cell r="CB23">
            <v>3</v>
          </cell>
          <cell r="CC23" t="str">
            <v>ISO4217:USD</v>
          </cell>
          <cell r="CD23" t="b">
            <v>0</v>
          </cell>
          <cell r="CE23" t="b">
            <v>0</v>
          </cell>
        </row>
        <row r="24">
          <cell r="A24" t="str">
            <v>Increasing in housing and land inventory and related working capital</v>
          </cell>
          <cell r="AP24">
            <v>0</v>
          </cell>
          <cell r="AU24">
            <v>0</v>
          </cell>
          <cell r="AV24">
            <v>-42000</v>
          </cell>
          <cell r="AW24">
            <v>-61000</v>
          </cell>
          <cell r="AX24">
            <v>-139000</v>
          </cell>
          <cell r="AY24">
            <v>-114000</v>
          </cell>
          <cell r="AZ24">
            <v>-356000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CA24" t="str">
            <v>mstag:otherCashFlow</v>
          </cell>
          <cell r="CB24">
            <v>3</v>
          </cell>
          <cell r="CC24" t="str">
            <v>ISO4217:USD</v>
          </cell>
          <cell r="CD24" t="b">
            <v>0</v>
          </cell>
          <cell r="CE24" t="b">
            <v>0</v>
          </cell>
        </row>
        <row r="25">
          <cell r="A25" t="str">
            <v>Working capital and other</v>
          </cell>
          <cell r="AP25">
            <v>0</v>
          </cell>
          <cell r="AU25">
            <v>0</v>
          </cell>
          <cell r="AV25">
            <v>-37000</v>
          </cell>
          <cell r="AW25">
            <v>3000</v>
          </cell>
          <cell r="AX25">
            <v>-62000</v>
          </cell>
          <cell r="AY25">
            <v>-28000</v>
          </cell>
          <cell r="AZ25">
            <v>-124000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CA25" t="str">
            <v>mstag:otherCashFlow</v>
          </cell>
          <cell r="CB25">
            <v>3</v>
          </cell>
          <cell r="CC25" t="str">
            <v>ISO4217:USD</v>
          </cell>
          <cell r="CD25" t="b">
            <v>0</v>
          </cell>
          <cell r="CE25" t="b">
            <v>0</v>
          </cell>
        </row>
        <row r="26">
          <cell r="A26" t="str">
            <v>Other</v>
          </cell>
          <cell r="H26">
            <v>12000</v>
          </cell>
          <cell r="I26">
            <v>5000</v>
          </cell>
          <cell r="J26">
            <v>21000</v>
          </cell>
          <cell r="K26">
            <v>19000</v>
          </cell>
          <cell r="L26">
            <v>57000</v>
          </cell>
          <cell r="M26">
            <v>3000</v>
          </cell>
          <cell r="P26">
            <v>1000</v>
          </cell>
          <cell r="Q26">
            <v>34000</v>
          </cell>
          <cell r="R26">
            <v>28000</v>
          </cell>
          <cell r="S26">
            <v>1000</v>
          </cell>
          <cell r="T26">
            <v>-19000</v>
          </cell>
          <cell r="U26">
            <v>78000</v>
          </cell>
          <cell r="V26">
            <v>88000</v>
          </cell>
          <cell r="W26">
            <v>-18000</v>
          </cell>
          <cell r="X26">
            <v>-29000</v>
          </cell>
          <cell r="Y26">
            <v>55000</v>
          </cell>
          <cell r="Z26">
            <v>-23000</v>
          </cell>
          <cell r="AA26">
            <v>-15000</v>
          </cell>
          <cell r="AB26">
            <v>-29000</v>
          </cell>
          <cell r="AC26">
            <v>22000</v>
          </cell>
          <cell r="AD26">
            <v>22000</v>
          </cell>
          <cell r="AE26">
            <v>-15000</v>
          </cell>
          <cell r="AF26">
            <v>0</v>
          </cell>
          <cell r="AG26">
            <v>185000</v>
          </cell>
          <cell r="AH26">
            <v>-96000</v>
          </cell>
          <cell r="AI26">
            <v>-40000</v>
          </cell>
          <cell r="AJ26">
            <v>-8000</v>
          </cell>
          <cell r="AK26">
            <v>41000</v>
          </cell>
          <cell r="AL26">
            <v>-75000</v>
          </cell>
          <cell r="AM26">
            <v>-94000</v>
          </cell>
          <cell r="AN26">
            <v>1000</v>
          </cell>
          <cell r="AO26">
            <v>-57000</v>
          </cell>
          <cell r="AP26">
            <v>-225000</v>
          </cell>
          <cell r="AQ26">
            <v>-86000</v>
          </cell>
          <cell r="AR26">
            <v>-74000</v>
          </cell>
          <cell r="AS26">
            <v>-85000</v>
          </cell>
          <cell r="AT26">
            <v>-262000</v>
          </cell>
          <cell r="AU26">
            <v>-507000</v>
          </cell>
          <cell r="AV26">
            <v>0</v>
          </cell>
          <cell r="AW26">
            <v>0</v>
          </cell>
          <cell r="AX26">
            <v>0</v>
          </cell>
          <cell r="AY26">
            <v>0</v>
          </cell>
          <cell r="AZ26">
            <v>0</v>
          </cell>
          <cell r="BA26">
            <v>-267722.79923393484</v>
          </cell>
          <cell r="BB26">
            <v>40522.452292793081</v>
          </cell>
          <cell r="BC26">
            <v>-9734.4959198284196</v>
          </cell>
          <cell r="BD26">
            <v>85247.582452488015</v>
          </cell>
          <cell r="BE26">
            <v>-151687.26040848217</v>
          </cell>
          <cell r="BF26">
            <v>-125721.42333926645</v>
          </cell>
          <cell r="BG26">
            <v>35002.589955010917</v>
          </cell>
          <cell r="BH26">
            <v>-6521.231776143075</v>
          </cell>
          <cell r="BI26">
            <v>77977.774657895905</v>
          </cell>
          <cell r="BJ26">
            <v>-19262.290502502699</v>
          </cell>
          <cell r="BK26">
            <v>-106632.32828515314</v>
          </cell>
          <cell r="BL26">
            <v>32172.030726889963</v>
          </cell>
          <cell r="BM26">
            <v>-4702.2151216366328</v>
          </cell>
          <cell r="BN26">
            <v>74753.288394264411</v>
          </cell>
          <cell r="BO26">
            <v>-4409.2242856353987</v>
          </cell>
          <cell r="BP26">
            <v>-77594.922068945365</v>
          </cell>
          <cell r="BQ26">
            <v>-3824.199243250885</v>
          </cell>
          <cell r="BR26">
            <v>-1052.7764784831088</v>
          </cell>
          <cell r="BS26">
            <v>67503.938590817968</v>
          </cell>
          <cell r="BT26">
            <v>-14967.959199861391</v>
          </cell>
          <cell r="BU26">
            <v>-53591.361208391376</v>
          </cell>
          <cell r="BV26">
            <v>-2091.4679616923677</v>
          </cell>
          <cell r="BW26">
            <v>-2243.0829660948366</v>
          </cell>
          <cell r="BX26">
            <v>70419.017474792199</v>
          </cell>
          <cell r="BY26">
            <v>12493.105338613619</v>
          </cell>
          <cell r="CA26" t="str">
            <v>mstag:otherCashFlow</v>
          </cell>
          <cell r="CB26">
            <v>3</v>
          </cell>
          <cell r="CC26" t="str">
            <v>ISO4217:USD</v>
          </cell>
          <cell r="CD26" t="b">
            <v>0</v>
          </cell>
          <cell r="CE26" t="b">
            <v>0</v>
          </cell>
        </row>
        <row r="27">
          <cell r="A27" t="str">
            <v>Cash from Operations</v>
          </cell>
          <cell r="H27">
            <v>66000</v>
          </cell>
          <cell r="I27">
            <v>64000</v>
          </cell>
          <cell r="J27">
            <v>84000</v>
          </cell>
          <cell r="K27">
            <v>103000</v>
          </cell>
          <cell r="L27">
            <v>317000</v>
          </cell>
          <cell r="M27">
            <v>71000</v>
          </cell>
          <cell r="N27">
            <v>90000</v>
          </cell>
          <cell r="O27">
            <v>77000</v>
          </cell>
          <cell r="P27">
            <v>139000</v>
          </cell>
          <cell r="Q27">
            <v>328000</v>
          </cell>
          <cell r="R27">
            <v>114000</v>
          </cell>
          <cell r="S27">
            <v>3000</v>
          </cell>
          <cell r="T27">
            <v>65000</v>
          </cell>
          <cell r="U27">
            <v>216000</v>
          </cell>
          <cell r="V27">
            <v>398000</v>
          </cell>
          <cell r="W27">
            <v>36000</v>
          </cell>
          <cell r="X27">
            <v>44000</v>
          </cell>
          <cell r="Y27">
            <v>120000</v>
          </cell>
          <cell r="Z27">
            <v>113000</v>
          </cell>
          <cell r="AA27">
            <v>313000</v>
          </cell>
          <cell r="AB27">
            <v>57000</v>
          </cell>
          <cell r="AC27">
            <v>112000</v>
          </cell>
          <cell r="AD27">
            <v>113000</v>
          </cell>
          <cell r="AE27">
            <v>78000</v>
          </cell>
          <cell r="AF27">
            <v>360000</v>
          </cell>
          <cell r="AG27">
            <v>297000</v>
          </cell>
          <cell r="AH27">
            <v>66000</v>
          </cell>
          <cell r="AI27">
            <v>68000</v>
          </cell>
          <cell r="AJ27">
            <v>103000</v>
          </cell>
          <cell r="AK27">
            <v>534000</v>
          </cell>
          <cell r="AL27">
            <v>24000</v>
          </cell>
          <cell r="AM27">
            <v>7000</v>
          </cell>
          <cell r="AN27">
            <v>98000</v>
          </cell>
          <cell r="AO27">
            <v>81000</v>
          </cell>
          <cell r="AP27">
            <v>210000</v>
          </cell>
          <cell r="AQ27">
            <v>17000</v>
          </cell>
          <cell r="AR27">
            <v>32000</v>
          </cell>
          <cell r="AS27">
            <v>24000</v>
          </cell>
          <cell r="AT27">
            <v>-199000</v>
          </cell>
          <cell r="AU27">
            <v>-126000</v>
          </cell>
          <cell r="AV27">
            <v>3000</v>
          </cell>
          <cell r="AW27">
            <v>60000</v>
          </cell>
          <cell r="AX27">
            <v>-129000</v>
          </cell>
          <cell r="AY27">
            <v>-5000</v>
          </cell>
          <cell r="AZ27">
            <v>-71000</v>
          </cell>
          <cell r="BA27">
            <v>-126035.24190140024</v>
          </cell>
          <cell r="BB27">
            <v>197676.13506346365</v>
          </cell>
          <cell r="BC27">
            <v>137634.10896763581</v>
          </cell>
          <cell r="BD27">
            <v>243767.46303079496</v>
          </cell>
          <cell r="BE27">
            <v>453042.4651604942</v>
          </cell>
          <cell r="BF27">
            <v>24323.400952534284</v>
          </cell>
          <cell r="BG27">
            <v>199511.25301566045</v>
          </cell>
          <cell r="BH27">
            <v>149196.05424151634</v>
          </cell>
          <cell r="BI27">
            <v>242244.68120647158</v>
          </cell>
          <cell r="BJ27">
            <v>615275.38941618276</v>
          </cell>
          <cell r="BK27">
            <v>49863.224276146939</v>
          </cell>
          <cell r="BL27">
            <v>203107.21005845655</v>
          </cell>
          <cell r="BM27">
            <v>159525.96248668726</v>
          </cell>
          <cell r="BN27">
            <v>247811.17269522275</v>
          </cell>
          <cell r="BO27">
            <v>660307.5695165135</v>
          </cell>
          <cell r="BP27">
            <v>104733.52741274209</v>
          </cell>
          <cell r="BQ27">
            <v>180329.40923122861</v>
          </cell>
          <cell r="BR27">
            <v>174136.12633686452</v>
          </cell>
          <cell r="BS27">
            <v>249927.84708093788</v>
          </cell>
          <cell r="BT27">
            <v>709126.91006177326</v>
          </cell>
          <cell r="BU27">
            <v>137008.5198021527</v>
          </cell>
          <cell r="BV27">
            <v>189772.7955315143</v>
          </cell>
          <cell r="BW27">
            <v>179900.70567238255</v>
          </cell>
          <cell r="BX27">
            <v>260718.34937880677</v>
          </cell>
          <cell r="BY27">
            <v>767400.37038485636</v>
          </cell>
        </row>
        <row r="29">
          <cell r="A29" t="str">
            <v>Cash Flow from Investments</v>
          </cell>
        </row>
        <row r="30">
          <cell r="A30" t="str">
            <v>Commercial property tenant improvements</v>
          </cell>
          <cell r="H30">
            <v>-29000</v>
          </cell>
          <cell r="I30">
            <v>-18000</v>
          </cell>
          <cell r="J30">
            <v>-1000</v>
          </cell>
          <cell r="K30">
            <v>-15000</v>
          </cell>
          <cell r="L30">
            <v>-48000</v>
          </cell>
          <cell r="M30">
            <v>-23000</v>
          </cell>
          <cell r="N30">
            <v>-14000</v>
          </cell>
          <cell r="O30">
            <v>-21000</v>
          </cell>
          <cell r="P30">
            <v>-39000</v>
          </cell>
          <cell r="Q30">
            <v>-97000</v>
          </cell>
          <cell r="R30">
            <v>-22000</v>
          </cell>
          <cell r="S30">
            <v>-4000</v>
          </cell>
          <cell r="T30">
            <v>-10000</v>
          </cell>
          <cell r="U30">
            <v>-14000</v>
          </cell>
          <cell r="V30">
            <v>-50000</v>
          </cell>
          <cell r="W30">
            <v>-5000</v>
          </cell>
          <cell r="X30">
            <v>-24000</v>
          </cell>
          <cell r="Y30">
            <v>-9000</v>
          </cell>
          <cell r="Z30">
            <v>-11000</v>
          </cell>
          <cell r="AA30">
            <v>-49000</v>
          </cell>
          <cell r="AB30">
            <v>-6000</v>
          </cell>
          <cell r="AC30">
            <v>-2000</v>
          </cell>
          <cell r="AD30">
            <v>-5000</v>
          </cell>
          <cell r="AE30">
            <v>-13000</v>
          </cell>
          <cell r="AF30">
            <v>-26000</v>
          </cell>
          <cell r="AG30">
            <v>-8000</v>
          </cell>
          <cell r="AH30">
            <v>-11000</v>
          </cell>
          <cell r="AI30">
            <v>-15000</v>
          </cell>
          <cell r="AJ30">
            <v>-31000</v>
          </cell>
          <cell r="AK30">
            <v>-65000</v>
          </cell>
          <cell r="AL30">
            <v>-34000</v>
          </cell>
          <cell r="AM30">
            <v>-47000</v>
          </cell>
          <cell r="AN30">
            <v>-22000</v>
          </cell>
          <cell r="AO30">
            <v>-20000</v>
          </cell>
          <cell r="AP30">
            <v>-123000</v>
          </cell>
          <cell r="AQ30">
            <v>-22000</v>
          </cell>
          <cell r="AR30">
            <v>-16000</v>
          </cell>
          <cell r="AS30">
            <v>-16000</v>
          </cell>
          <cell r="AT30">
            <v>-28000</v>
          </cell>
          <cell r="AU30">
            <v>-82000</v>
          </cell>
          <cell r="AV30">
            <v>-33000</v>
          </cell>
          <cell r="AW30">
            <v>-20000</v>
          </cell>
          <cell r="AX30">
            <v>-11000</v>
          </cell>
          <cell r="AY30">
            <v>-32000</v>
          </cell>
          <cell r="AZ30">
            <v>-96000</v>
          </cell>
          <cell r="BA30">
            <v>-34841.824792287094</v>
          </cell>
          <cell r="BB30">
            <v>-35132.008191323854</v>
          </cell>
          <cell r="BC30">
            <v>-34992.194110076671</v>
          </cell>
          <cell r="BD30">
            <v>-34499.758468828892</v>
          </cell>
          <cell r="BE30">
            <v>-139465.78556251651</v>
          </cell>
          <cell r="BF30">
            <v>-35531.799370431079</v>
          </cell>
          <cell r="BG30">
            <v>-35777.575744476264</v>
          </cell>
          <cell r="BH30">
            <v>-35652.220735573537</v>
          </cell>
          <cell r="BI30">
            <v>-35182.739140834943</v>
          </cell>
          <cell r="BJ30">
            <v>-142144.33499131582</v>
          </cell>
          <cell r="BK30">
            <v>-36340.601774198338</v>
          </cell>
          <cell r="BL30">
            <v>-36823.271452820831</v>
          </cell>
          <cell r="BM30">
            <v>-36978.90895957443</v>
          </cell>
          <cell r="BN30">
            <v>-36772.035471528055</v>
          </cell>
          <cell r="BO30">
            <v>-146914.81765812164</v>
          </cell>
          <cell r="BP30">
            <v>-38191.504061061336</v>
          </cell>
          <cell r="BQ30">
            <v>-38671.177774140582</v>
          </cell>
          <cell r="BR30">
            <v>-38475.278988862075</v>
          </cell>
          <cell r="BS30">
            <v>-37913.21047910332</v>
          </cell>
          <cell r="BT30">
            <v>-153251.1713031673</v>
          </cell>
          <cell r="BU30">
            <v>-38823.375337581238</v>
          </cell>
          <cell r="BV30">
            <v>-38938.576470394473</v>
          </cell>
          <cell r="BW30">
            <v>-38721.439583733969</v>
          </cell>
          <cell r="BX30">
            <v>-38136.718928699425</v>
          </cell>
          <cell r="BY30">
            <v>-154620.11032040912</v>
          </cell>
          <cell r="CA30" t="str">
            <v>mstag:capitalExpendituresMaintenance</v>
          </cell>
          <cell r="CB30">
            <v>3</v>
          </cell>
          <cell r="CC30" t="str">
            <v>ISO4217:USD</v>
          </cell>
          <cell r="CD30" t="b">
            <v>1</v>
          </cell>
          <cell r="CE30" t="b">
            <v>0</v>
          </cell>
        </row>
        <row r="31">
          <cell r="A31" t="str">
            <v>Restricted cash and deposits</v>
          </cell>
          <cell r="AT31">
            <v>-20000</v>
          </cell>
          <cell r="AU31">
            <v>-20000</v>
          </cell>
          <cell r="AV31">
            <v>78000</v>
          </cell>
          <cell r="AW31">
            <v>-51000</v>
          </cell>
          <cell r="AX31">
            <v>64000</v>
          </cell>
          <cell r="AY31">
            <v>274000</v>
          </cell>
          <cell r="AZ31">
            <v>365000</v>
          </cell>
          <cell r="CA31" t="str">
            <v>mstag:otherCashFlow</v>
          </cell>
          <cell r="CB31">
            <v>3</v>
          </cell>
          <cell r="CC31" t="str">
            <v>ISO4217:USD</v>
          </cell>
          <cell r="CD31" t="b">
            <v>0</v>
          </cell>
          <cell r="CE31" t="b">
            <v>0</v>
          </cell>
        </row>
        <row r="32">
          <cell r="A32" t="str">
            <v>Marketable securities</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-267000</v>
          </cell>
          <cell r="AF32">
            <v>-267000</v>
          </cell>
          <cell r="AG32">
            <v>-50000</v>
          </cell>
          <cell r="AH32">
            <v>5000</v>
          </cell>
          <cell r="AI32">
            <v>26000</v>
          </cell>
          <cell r="AJ32">
            <v>1000</v>
          </cell>
          <cell r="AK32">
            <v>-18000</v>
          </cell>
          <cell r="AL32">
            <v>-26000</v>
          </cell>
          <cell r="AM32">
            <v>61000</v>
          </cell>
          <cell r="AN32">
            <v>43000</v>
          </cell>
          <cell r="AO32">
            <v>149000</v>
          </cell>
          <cell r="AP32">
            <v>227000</v>
          </cell>
          <cell r="AQ32">
            <v>58000</v>
          </cell>
          <cell r="AR32">
            <v>57000</v>
          </cell>
          <cell r="AT32">
            <v>0</v>
          </cell>
          <cell r="AU32">
            <v>115000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CA32" t="str">
            <v>mstag:netDecreaseInInvestmentsNonOperating</v>
          </cell>
          <cell r="CB32">
            <v>3</v>
          </cell>
          <cell r="CC32" t="str">
            <v>ISO4217:USD</v>
          </cell>
          <cell r="CD32" t="b">
            <v>0</v>
          </cell>
          <cell r="CE32" t="b">
            <v>0</v>
          </cell>
        </row>
        <row r="33">
          <cell r="A33" t="str">
            <v>Acquisitions of real estate, net</v>
          </cell>
          <cell r="I33">
            <v>-33000</v>
          </cell>
          <cell r="K33">
            <v>-48000</v>
          </cell>
          <cell r="L33">
            <v>-58000</v>
          </cell>
          <cell r="M33">
            <v>-25000</v>
          </cell>
          <cell r="N33">
            <v>-204000</v>
          </cell>
          <cell r="O33">
            <v>0</v>
          </cell>
          <cell r="P33">
            <v>0</v>
          </cell>
          <cell r="Q33">
            <v>-162000</v>
          </cell>
          <cell r="R33">
            <v>0</v>
          </cell>
          <cell r="S33">
            <v>0</v>
          </cell>
          <cell r="T33">
            <v>0</v>
          </cell>
          <cell r="U33">
            <v>-33000</v>
          </cell>
          <cell r="V33">
            <v>-33000</v>
          </cell>
          <cell r="W33">
            <v>0</v>
          </cell>
          <cell r="X33">
            <v>0</v>
          </cell>
          <cell r="Y33">
            <v>0</v>
          </cell>
          <cell r="Z33">
            <v>0</v>
          </cell>
          <cell r="AA33">
            <v>0</v>
          </cell>
          <cell r="AB33">
            <v>0</v>
          </cell>
          <cell r="AC33">
            <v>0</v>
          </cell>
          <cell r="AD33">
            <v>0</v>
          </cell>
          <cell r="AE33">
            <v>0</v>
          </cell>
          <cell r="AF33">
            <v>0</v>
          </cell>
          <cell r="AG33">
            <v>-79000</v>
          </cell>
          <cell r="AH33">
            <v>0</v>
          </cell>
          <cell r="AI33">
            <v>-114000</v>
          </cell>
          <cell r="AJ33">
            <v>0</v>
          </cell>
          <cell r="AK33">
            <v>-193000</v>
          </cell>
          <cell r="AL33">
            <v>0</v>
          </cell>
          <cell r="AM33">
            <v>0</v>
          </cell>
          <cell r="AN33">
            <v>0</v>
          </cell>
          <cell r="AO33">
            <v>-254000</v>
          </cell>
          <cell r="AP33">
            <v>-254000</v>
          </cell>
          <cell r="AQ33">
            <v>-90000</v>
          </cell>
          <cell r="AR33">
            <v>-243000</v>
          </cell>
          <cell r="AS33">
            <v>-148000</v>
          </cell>
          <cell r="AT33">
            <v>-5274000</v>
          </cell>
          <cell r="AU33">
            <v>-5755000</v>
          </cell>
          <cell r="AV33">
            <v>0</v>
          </cell>
          <cell r="AW33">
            <v>-60000</v>
          </cell>
          <cell r="AX33">
            <v>0</v>
          </cell>
          <cell r="AY33">
            <v>-257000</v>
          </cell>
          <cell r="AZ33">
            <v>-317000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CA33" t="str">
            <v>mstag:capitalExpendituresAcquisitions</v>
          </cell>
          <cell r="CB33">
            <v>3</v>
          </cell>
          <cell r="CC33" t="str">
            <v>ISO4217:USD</v>
          </cell>
          <cell r="CD33" t="b">
            <v>1</v>
          </cell>
          <cell r="CE33" t="b">
            <v>0</v>
          </cell>
        </row>
        <row r="34">
          <cell r="A34" t="str">
            <v>Dispositions of real estate, net</v>
          </cell>
          <cell r="H34">
            <v>67000</v>
          </cell>
          <cell r="J34">
            <v>34000</v>
          </cell>
          <cell r="K34">
            <v>0</v>
          </cell>
          <cell r="L34">
            <v>0</v>
          </cell>
          <cell r="M34">
            <v>0</v>
          </cell>
          <cell r="N34">
            <v>0</v>
          </cell>
          <cell r="O34">
            <v>-66000</v>
          </cell>
          <cell r="P34">
            <v>33000</v>
          </cell>
          <cell r="Q34">
            <v>0</v>
          </cell>
          <cell r="R34">
            <v>57000</v>
          </cell>
          <cell r="S34">
            <v>35000</v>
          </cell>
          <cell r="T34">
            <v>78000</v>
          </cell>
          <cell r="U34">
            <v>0</v>
          </cell>
          <cell r="V34">
            <v>170000</v>
          </cell>
          <cell r="W34">
            <v>34000</v>
          </cell>
          <cell r="X34">
            <v>13000</v>
          </cell>
          <cell r="Y34">
            <v>86000</v>
          </cell>
          <cell r="Z34">
            <v>-19000</v>
          </cell>
          <cell r="AA34">
            <v>114000</v>
          </cell>
          <cell r="AB34">
            <v>4000</v>
          </cell>
          <cell r="AC34">
            <v>0</v>
          </cell>
          <cell r="AD34">
            <v>23000</v>
          </cell>
          <cell r="AE34">
            <v>23000</v>
          </cell>
          <cell r="AF34">
            <v>50000</v>
          </cell>
          <cell r="AG34">
            <v>19000</v>
          </cell>
          <cell r="AH34">
            <v>0</v>
          </cell>
          <cell r="AI34">
            <v>0</v>
          </cell>
          <cell r="AJ34">
            <v>30000</v>
          </cell>
          <cell r="AK34">
            <v>49000</v>
          </cell>
          <cell r="AL34">
            <v>0</v>
          </cell>
          <cell r="AM34">
            <v>0</v>
          </cell>
          <cell r="AN34">
            <v>0</v>
          </cell>
          <cell r="AO34">
            <v>7000</v>
          </cell>
          <cell r="AP34">
            <v>7000</v>
          </cell>
          <cell r="AQ34">
            <v>65000</v>
          </cell>
          <cell r="AR34">
            <v>21000</v>
          </cell>
          <cell r="AS34">
            <v>0</v>
          </cell>
          <cell r="AT34">
            <v>-4000</v>
          </cell>
          <cell r="AU34">
            <v>82000</v>
          </cell>
          <cell r="AV34">
            <v>75000</v>
          </cell>
          <cell r="AW34">
            <v>63000</v>
          </cell>
          <cell r="AX34">
            <v>21000</v>
          </cell>
          <cell r="AY34">
            <v>65000</v>
          </cell>
          <cell r="AZ34">
            <v>224000</v>
          </cell>
          <cell r="BA34">
            <v>0</v>
          </cell>
          <cell r="BB34">
            <v>0</v>
          </cell>
          <cell r="BC34">
            <v>0</v>
          </cell>
          <cell r="BD34">
            <v>0</v>
          </cell>
          <cell r="BE34">
            <v>0</v>
          </cell>
          <cell r="BF34">
            <v>25000</v>
          </cell>
          <cell r="BG34">
            <v>25000</v>
          </cell>
          <cell r="BH34">
            <v>25000</v>
          </cell>
          <cell r="BI34">
            <v>25000</v>
          </cell>
          <cell r="BJ34">
            <v>100000</v>
          </cell>
          <cell r="BK34">
            <v>25000</v>
          </cell>
          <cell r="BL34">
            <v>25000</v>
          </cell>
          <cell r="BM34">
            <v>25000</v>
          </cell>
          <cell r="BN34">
            <v>25000</v>
          </cell>
          <cell r="BO34">
            <v>100000</v>
          </cell>
          <cell r="BP34">
            <v>25000</v>
          </cell>
          <cell r="BQ34">
            <v>25000</v>
          </cell>
          <cell r="BR34">
            <v>25000</v>
          </cell>
          <cell r="BS34">
            <v>25000</v>
          </cell>
          <cell r="BT34">
            <v>100000</v>
          </cell>
          <cell r="BU34">
            <v>25000</v>
          </cell>
          <cell r="BV34">
            <v>25000</v>
          </cell>
          <cell r="BW34">
            <v>25000</v>
          </cell>
          <cell r="BX34">
            <v>25000</v>
          </cell>
          <cell r="BY34">
            <v>100000</v>
          </cell>
          <cell r="CA34" t="str">
            <v>mstag:capitalExpendituresDisposals</v>
          </cell>
          <cell r="CB34">
            <v>3</v>
          </cell>
          <cell r="CC34" t="str">
            <v>ISO4217:USD</v>
          </cell>
          <cell r="CD34" t="b">
            <v>0</v>
          </cell>
          <cell r="CE34" t="b">
            <v>0</v>
          </cell>
        </row>
        <row r="35">
          <cell r="A35" t="str">
            <v>Development and redevelopment investments</v>
          </cell>
          <cell r="H35">
            <v>-22000</v>
          </cell>
          <cell r="I35">
            <v>-7000</v>
          </cell>
          <cell r="J35">
            <v>-1000</v>
          </cell>
          <cell r="K35">
            <v>-30000</v>
          </cell>
          <cell r="L35">
            <v>-42000</v>
          </cell>
          <cell r="M35">
            <v>-10000</v>
          </cell>
          <cell r="N35">
            <v>-10000</v>
          </cell>
          <cell r="O35">
            <v>-20000</v>
          </cell>
          <cell r="P35">
            <v>-7000</v>
          </cell>
          <cell r="Q35">
            <v>-47000</v>
          </cell>
          <cell r="R35">
            <v>-20000</v>
          </cell>
          <cell r="S35">
            <v>-15000</v>
          </cell>
          <cell r="T35">
            <v>-32000</v>
          </cell>
          <cell r="U35">
            <v>-34000</v>
          </cell>
          <cell r="V35">
            <v>-101000</v>
          </cell>
          <cell r="W35">
            <v>-22000</v>
          </cell>
          <cell r="X35">
            <v>-55000</v>
          </cell>
          <cell r="Y35">
            <v>-58000</v>
          </cell>
          <cell r="Z35">
            <v>-71000</v>
          </cell>
          <cell r="AA35">
            <v>-206000</v>
          </cell>
          <cell r="AB35">
            <v>-52000</v>
          </cell>
          <cell r="AC35">
            <v>-43000</v>
          </cell>
          <cell r="AD35">
            <v>-44000</v>
          </cell>
          <cell r="AE35">
            <v>-35000</v>
          </cell>
          <cell r="AF35">
            <v>-174000</v>
          </cell>
          <cell r="AG35">
            <v>-14000</v>
          </cell>
          <cell r="AH35">
            <v>-17000</v>
          </cell>
          <cell r="AI35">
            <v>-15000</v>
          </cell>
          <cell r="AJ35">
            <v>-9000</v>
          </cell>
          <cell r="AK35">
            <v>-55000</v>
          </cell>
          <cell r="AL35">
            <v>-19000</v>
          </cell>
          <cell r="AM35">
            <v>-7000</v>
          </cell>
          <cell r="AN35">
            <v>-12000</v>
          </cell>
          <cell r="AO35">
            <v>-12000</v>
          </cell>
          <cell r="AP35">
            <v>-50000</v>
          </cell>
          <cell r="AQ35">
            <v>-7000</v>
          </cell>
          <cell r="AR35">
            <v>-7000</v>
          </cell>
          <cell r="AS35">
            <v>-30000</v>
          </cell>
          <cell r="AT35">
            <v>-35000</v>
          </cell>
          <cell r="AU35">
            <v>-79000</v>
          </cell>
          <cell r="AV35">
            <v>-75000</v>
          </cell>
          <cell r="AW35">
            <v>-56000</v>
          </cell>
          <cell r="AX35">
            <v>-91000</v>
          </cell>
          <cell r="AY35">
            <v>-91000</v>
          </cell>
          <cell r="AZ35">
            <v>-313000</v>
          </cell>
          <cell r="BA35">
            <v>-210000</v>
          </cell>
          <cell r="BB35">
            <v>0</v>
          </cell>
          <cell r="BC35">
            <v>-89809.5</v>
          </cell>
          <cell r="BD35">
            <v>0</v>
          </cell>
          <cell r="BE35">
            <v>-299809.5</v>
          </cell>
          <cell r="BF35">
            <v>-110000</v>
          </cell>
          <cell r="BG35">
            <v>-110000</v>
          </cell>
          <cell r="BH35">
            <v>-64000</v>
          </cell>
          <cell r="BI35">
            <v>-132000</v>
          </cell>
          <cell r="BJ35">
            <v>-416000</v>
          </cell>
          <cell r="BK35">
            <v>-250000</v>
          </cell>
          <cell r="BL35">
            <v>-250000</v>
          </cell>
          <cell r="BM35">
            <v>-250000</v>
          </cell>
          <cell r="BN35">
            <v>-250000</v>
          </cell>
          <cell r="BO35">
            <v>-1000000</v>
          </cell>
          <cell r="BP35">
            <v>-535000</v>
          </cell>
          <cell r="BQ35">
            <v>-50000</v>
          </cell>
          <cell r="BR35">
            <v>-50000</v>
          </cell>
          <cell r="BS35">
            <v>-50000</v>
          </cell>
          <cell r="BT35">
            <v>-685000</v>
          </cell>
          <cell r="BU35">
            <v>-50000</v>
          </cell>
          <cell r="BV35">
            <v>-50000</v>
          </cell>
          <cell r="BW35">
            <v>-50000</v>
          </cell>
          <cell r="BX35">
            <v>-50000</v>
          </cell>
          <cell r="BY35">
            <v>-200000</v>
          </cell>
          <cell r="CA35" t="str">
            <v>mstag:capitalExpendituresDevelopment</v>
          </cell>
          <cell r="CB35">
            <v>3</v>
          </cell>
          <cell r="CC35" t="str">
            <v>ISO4217:USD</v>
          </cell>
          <cell r="CD35" t="b">
            <v>1</v>
          </cell>
          <cell r="CE35" t="b">
            <v>0</v>
          </cell>
        </row>
        <row r="36">
          <cell r="A36" t="str">
            <v>Capital expenditures</v>
          </cell>
          <cell r="I36">
            <v>-3000</v>
          </cell>
          <cell r="J36">
            <v>-12000</v>
          </cell>
          <cell r="K36">
            <v>-3000</v>
          </cell>
          <cell r="L36">
            <v>-10000</v>
          </cell>
          <cell r="M36">
            <v>-2000</v>
          </cell>
          <cell r="N36">
            <v>-3000</v>
          </cell>
          <cell r="O36">
            <v>-3000</v>
          </cell>
          <cell r="P36">
            <v>-4000</v>
          </cell>
          <cell r="Q36">
            <v>-12000</v>
          </cell>
          <cell r="R36">
            <v>-2000</v>
          </cell>
          <cell r="S36">
            <v>-6000</v>
          </cell>
          <cell r="T36">
            <v>-1000</v>
          </cell>
          <cell r="U36">
            <v>-5000</v>
          </cell>
          <cell r="V36">
            <v>-14000</v>
          </cell>
          <cell r="W36">
            <v>-3000</v>
          </cell>
          <cell r="X36">
            <v>-3000</v>
          </cell>
          <cell r="Y36">
            <v>-3000</v>
          </cell>
          <cell r="Z36">
            <v>-7000</v>
          </cell>
          <cell r="AA36">
            <v>-16000</v>
          </cell>
          <cell r="AB36">
            <v>-2000</v>
          </cell>
          <cell r="AC36">
            <v>-4000</v>
          </cell>
          <cell r="AD36">
            <v>-5000</v>
          </cell>
          <cell r="AE36">
            <v>-5000</v>
          </cell>
          <cell r="AF36">
            <v>-16000</v>
          </cell>
          <cell r="AG36">
            <v>-3000</v>
          </cell>
          <cell r="AH36">
            <v>-4000</v>
          </cell>
          <cell r="AI36">
            <v>-10000</v>
          </cell>
          <cell r="AJ36">
            <v>-9000</v>
          </cell>
          <cell r="AK36">
            <v>-26000</v>
          </cell>
          <cell r="AL36">
            <v>-2000</v>
          </cell>
          <cell r="AM36">
            <v>-5000</v>
          </cell>
          <cell r="AN36">
            <v>-6000</v>
          </cell>
          <cell r="AO36">
            <v>-8000</v>
          </cell>
          <cell r="AP36">
            <v>-21000</v>
          </cell>
          <cell r="AQ36">
            <v>-3000</v>
          </cell>
          <cell r="AR36">
            <v>-6000</v>
          </cell>
          <cell r="AS36">
            <v>-5000</v>
          </cell>
          <cell r="AT36">
            <v>-11000</v>
          </cell>
          <cell r="AU36">
            <v>-25000</v>
          </cell>
          <cell r="AV36">
            <v>-6000</v>
          </cell>
          <cell r="AW36">
            <v>-9000</v>
          </cell>
          <cell r="AX36">
            <v>-19000</v>
          </cell>
          <cell r="AY36">
            <v>-24000</v>
          </cell>
          <cell r="AZ36">
            <v>-58000</v>
          </cell>
          <cell r="BA36">
            <v>-15345.016743790538</v>
          </cell>
          <cell r="BB36">
            <v>-15569.435070411389</v>
          </cell>
          <cell r="BC36">
            <v>-15461.30744403553</v>
          </cell>
          <cell r="BD36">
            <v>-15080.473864498841</v>
          </cell>
          <cell r="BE36">
            <v>-61456.233122736303</v>
          </cell>
          <cell r="BF36">
            <v>-15878.620460446928</v>
          </cell>
          <cell r="BG36">
            <v>-16068.695849904934</v>
          </cell>
          <cell r="BH36">
            <v>-15971.750396013111</v>
          </cell>
          <cell r="BI36">
            <v>-15608.668723456174</v>
          </cell>
          <cell r="BJ36">
            <v>-63527.73542982115</v>
          </cell>
          <cell r="BK36">
            <v>-16504.121721452473</v>
          </cell>
          <cell r="BL36">
            <v>-16877.40262568973</v>
          </cell>
          <cell r="BM36">
            <v>-16997.767570552271</v>
          </cell>
          <cell r="BN36">
            <v>-16837.77839762338</v>
          </cell>
          <cell r="BO36">
            <v>-67217.070315317847</v>
          </cell>
          <cell r="BP36">
            <v>-17935.54886489108</v>
          </cell>
          <cell r="BQ36">
            <v>-18306.512787605407</v>
          </cell>
          <cell r="BR36">
            <v>-18155.01108997146</v>
          </cell>
          <cell r="BS36">
            <v>-17720.325732969504</v>
          </cell>
          <cell r="BT36">
            <v>-72117.398475437454</v>
          </cell>
          <cell r="BU36">
            <v>-18424.217393094561</v>
          </cell>
          <cell r="BV36">
            <v>-18513.310172132198</v>
          </cell>
          <cell r="BW36">
            <v>-18345.383623219452</v>
          </cell>
          <cell r="BX36">
            <v>-17893.17983975328</v>
          </cell>
          <cell r="BY36">
            <v>-73176.091028199487</v>
          </cell>
          <cell r="CA36" t="str">
            <v>mstag:capitalExpendituresMaintenance</v>
          </cell>
          <cell r="CB36">
            <v>3</v>
          </cell>
          <cell r="CC36" t="str">
            <v>ISO4217:USD</v>
          </cell>
          <cell r="CD36" t="b">
            <v>1</v>
          </cell>
          <cell r="CE36" t="b">
            <v>0</v>
          </cell>
        </row>
        <row r="37">
          <cell r="A37" t="str">
            <v>Other investments and liabilities</v>
          </cell>
          <cell r="H37">
            <v>-96000</v>
          </cell>
          <cell r="J37">
            <v>-28000</v>
          </cell>
          <cell r="K37">
            <v>24000</v>
          </cell>
          <cell r="L37">
            <v>-38000</v>
          </cell>
          <cell r="M37">
            <v>31000</v>
          </cell>
          <cell r="N37">
            <v>-42000</v>
          </cell>
          <cell r="O37">
            <v>0</v>
          </cell>
          <cell r="P37">
            <v>49000</v>
          </cell>
          <cell r="Q37">
            <v>-10000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-25000</v>
          </cell>
          <cell r="AR37">
            <v>0</v>
          </cell>
          <cell r="AS37">
            <v>-108000</v>
          </cell>
          <cell r="AT37">
            <v>0</v>
          </cell>
          <cell r="AU37">
            <v>-133000</v>
          </cell>
          <cell r="AV37">
            <v>65000</v>
          </cell>
          <cell r="AW37">
            <v>-4000</v>
          </cell>
          <cell r="AX37">
            <v>-67000</v>
          </cell>
          <cell r="AY37">
            <v>46000</v>
          </cell>
          <cell r="AZ37">
            <v>40000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CA37" t="str">
            <v>mstag:netDecreaseInInvestmentsNonOperating</v>
          </cell>
          <cell r="CB37">
            <v>3</v>
          </cell>
          <cell r="CC37" t="str">
            <v>ISO4217:USD</v>
          </cell>
          <cell r="CD37" t="b">
            <v>0</v>
          </cell>
          <cell r="CE37" t="b">
            <v>0</v>
          </cell>
        </row>
        <row r="38">
          <cell r="A38" t="str">
            <v>Cash from Investing Activity</v>
          </cell>
          <cell r="H38">
            <v>-80000</v>
          </cell>
          <cell r="I38">
            <v>-61000</v>
          </cell>
          <cell r="J38">
            <v>-8000</v>
          </cell>
          <cell r="K38">
            <v>-72000</v>
          </cell>
          <cell r="L38">
            <v>-196000</v>
          </cell>
          <cell r="M38">
            <v>-29000</v>
          </cell>
          <cell r="N38">
            <v>-273000</v>
          </cell>
          <cell r="O38">
            <v>-110000</v>
          </cell>
          <cell r="P38">
            <v>32000</v>
          </cell>
          <cell r="Q38">
            <v>-328000</v>
          </cell>
          <cell r="R38">
            <v>13000</v>
          </cell>
          <cell r="S38">
            <v>10000</v>
          </cell>
          <cell r="T38">
            <v>35000</v>
          </cell>
          <cell r="U38">
            <v>-86000</v>
          </cell>
          <cell r="V38">
            <v>-28000</v>
          </cell>
          <cell r="W38">
            <v>4000</v>
          </cell>
          <cell r="X38">
            <v>-69000</v>
          </cell>
          <cell r="Y38">
            <v>16000</v>
          </cell>
          <cell r="Z38">
            <v>-108000</v>
          </cell>
          <cell r="AA38">
            <v>-157000</v>
          </cell>
          <cell r="AB38">
            <v>-56000</v>
          </cell>
          <cell r="AC38">
            <v>-49000</v>
          </cell>
          <cell r="AD38">
            <v>-31000</v>
          </cell>
          <cell r="AE38">
            <v>-297000</v>
          </cell>
          <cell r="AF38">
            <v>-433000</v>
          </cell>
          <cell r="AG38">
            <v>-135000</v>
          </cell>
          <cell r="AH38">
            <v>-27000</v>
          </cell>
          <cell r="AI38">
            <v>-128000</v>
          </cell>
          <cell r="AJ38">
            <v>-18000</v>
          </cell>
          <cell r="AK38">
            <v>-308000</v>
          </cell>
          <cell r="AL38">
            <v>-81000</v>
          </cell>
          <cell r="AM38">
            <v>2000</v>
          </cell>
          <cell r="AN38">
            <v>3000</v>
          </cell>
          <cell r="AO38">
            <v>-138000</v>
          </cell>
          <cell r="AP38">
            <v>-214000</v>
          </cell>
          <cell r="AQ38">
            <v>-24000</v>
          </cell>
          <cell r="AR38">
            <v>-194000</v>
          </cell>
          <cell r="AS38">
            <v>-307000</v>
          </cell>
          <cell r="AT38">
            <v>-5372000</v>
          </cell>
          <cell r="AU38">
            <v>-5897000</v>
          </cell>
          <cell r="AV38">
            <v>104000</v>
          </cell>
          <cell r="AW38">
            <v>-137000</v>
          </cell>
          <cell r="AX38">
            <v>-103000</v>
          </cell>
          <cell r="AY38">
            <v>-19000</v>
          </cell>
          <cell r="AZ38">
            <v>-155000</v>
          </cell>
          <cell r="BA38">
            <v>-260186.84153607761</v>
          </cell>
          <cell r="BB38">
            <v>-50701.443261735243</v>
          </cell>
          <cell r="BC38">
            <v>-140263.00155411221</v>
          </cell>
          <cell r="BD38">
            <v>-49580.232333327731</v>
          </cell>
          <cell r="BE38">
            <v>-500731.51868525287</v>
          </cell>
          <cell r="BF38">
            <v>-136410.419830878</v>
          </cell>
          <cell r="BG38">
            <v>-136846.27159438119</v>
          </cell>
          <cell r="BH38">
            <v>-90623.971131586644</v>
          </cell>
          <cell r="BI38">
            <v>-157791.40786429113</v>
          </cell>
          <cell r="BJ38">
            <v>-521672.07042113697</v>
          </cell>
          <cell r="BK38">
            <v>-277844.7234956508</v>
          </cell>
          <cell r="BL38">
            <v>-278700.67407851055</v>
          </cell>
          <cell r="BM38">
            <v>-278976.67653012672</v>
          </cell>
          <cell r="BN38">
            <v>-278609.81386915146</v>
          </cell>
          <cell r="BO38">
            <v>-1114131.8879734396</v>
          </cell>
          <cell r="BP38">
            <v>-566127.05292595236</v>
          </cell>
          <cell r="BQ38">
            <v>-81977.690561745985</v>
          </cell>
          <cell r="BR38">
            <v>-81630.290078833539</v>
          </cell>
          <cell r="BS38">
            <v>-80633.536212072824</v>
          </cell>
          <cell r="BT38">
            <v>-810368.56977860467</v>
          </cell>
          <cell r="BU38">
            <v>-82247.592730675795</v>
          </cell>
          <cell r="BV38">
            <v>-82451.886642526675</v>
          </cell>
          <cell r="BW38">
            <v>-82066.823206953413</v>
          </cell>
          <cell r="BX38">
            <v>-81029.898768452709</v>
          </cell>
          <cell r="BY38">
            <v>-327796.20134860859</v>
          </cell>
        </row>
        <row r="40">
          <cell r="A40" t="str">
            <v>Cash Flow from Financing</v>
          </cell>
        </row>
        <row r="41">
          <cell r="A41" t="str">
            <v>Commercial property debt arranged</v>
          </cell>
          <cell r="H41">
            <v>51000</v>
          </cell>
          <cell r="I41">
            <v>60000</v>
          </cell>
          <cell r="J41">
            <v>-60000</v>
          </cell>
          <cell r="K41">
            <v>-19000</v>
          </cell>
          <cell r="L41">
            <v>112000</v>
          </cell>
          <cell r="M41">
            <v>0</v>
          </cell>
          <cell r="N41">
            <v>78000</v>
          </cell>
          <cell r="O41">
            <v>82000</v>
          </cell>
          <cell r="P41">
            <v>23000</v>
          </cell>
          <cell r="Q41">
            <v>183000</v>
          </cell>
          <cell r="R41">
            <v>951000</v>
          </cell>
          <cell r="S41">
            <v>53000</v>
          </cell>
          <cell r="T41">
            <v>105000</v>
          </cell>
          <cell r="U41">
            <v>232000</v>
          </cell>
          <cell r="V41">
            <v>1341000</v>
          </cell>
          <cell r="W41">
            <v>38000</v>
          </cell>
          <cell r="X41">
            <v>272000</v>
          </cell>
          <cell r="Y41">
            <v>125000</v>
          </cell>
          <cell r="Z41">
            <v>122000</v>
          </cell>
          <cell r="AA41">
            <v>557000</v>
          </cell>
          <cell r="AB41">
            <v>467000</v>
          </cell>
          <cell r="AC41">
            <v>25000</v>
          </cell>
          <cell r="AD41">
            <v>52000</v>
          </cell>
          <cell r="AE41">
            <v>191000</v>
          </cell>
          <cell r="AF41">
            <v>735000</v>
          </cell>
          <cell r="AG41">
            <v>205000</v>
          </cell>
          <cell r="AH41">
            <v>0</v>
          </cell>
          <cell r="AI41">
            <v>117000</v>
          </cell>
          <cell r="AJ41">
            <v>130000</v>
          </cell>
          <cell r="AK41">
            <v>452000</v>
          </cell>
          <cell r="AL41">
            <v>98000</v>
          </cell>
          <cell r="AM41">
            <v>418000</v>
          </cell>
          <cell r="AN41">
            <v>34000</v>
          </cell>
          <cell r="AO41">
            <v>90000</v>
          </cell>
          <cell r="AP41">
            <v>640000</v>
          </cell>
          <cell r="AQ41">
            <v>120000</v>
          </cell>
          <cell r="AR41">
            <v>230000</v>
          </cell>
          <cell r="AS41">
            <v>436000</v>
          </cell>
          <cell r="AT41">
            <v>37000</v>
          </cell>
          <cell r="AU41">
            <v>823000</v>
          </cell>
          <cell r="AV41">
            <v>316000</v>
          </cell>
          <cell r="AW41">
            <v>16000</v>
          </cell>
          <cell r="AX41">
            <v>966000</v>
          </cell>
          <cell r="AY41">
            <v>547000</v>
          </cell>
          <cell r="AZ41">
            <v>1845000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CA41" t="str">
            <v>mstag:proceedsFromIssuanceAndCashUsedToRepayLongTermDebt</v>
          </cell>
          <cell r="CB41">
            <v>3</v>
          </cell>
          <cell r="CC41" t="str">
            <v>ISO4217:USD</v>
          </cell>
          <cell r="CD41" t="b">
            <v>0</v>
          </cell>
          <cell r="CE41" t="b">
            <v>0</v>
          </cell>
        </row>
        <row r="42">
          <cell r="A42" t="str">
            <v>Corporate credit facilities arranged</v>
          </cell>
          <cell r="AS42">
            <v>332000</v>
          </cell>
          <cell r="AT42">
            <v>470000</v>
          </cell>
          <cell r="AU42">
            <v>802000</v>
          </cell>
          <cell r="AW42">
            <v>206000</v>
          </cell>
          <cell r="AX42">
            <v>398000</v>
          </cell>
          <cell r="AY42">
            <v>186000</v>
          </cell>
          <cell r="AZ42">
            <v>790000</v>
          </cell>
          <cell r="CA42" t="str">
            <v>mstag:proceedsFromIssuanceAndCashUsedToRepayLongTermDebt</v>
          </cell>
          <cell r="CB42">
            <v>3</v>
          </cell>
          <cell r="CC42" t="str">
            <v>ISO4217:USD</v>
          </cell>
          <cell r="CD42" t="b">
            <v>0</v>
          </cell>
          <cell r="CE42" t="b">
            <v>0</v>
          </cell>
        </row>
        <row r="43">
          <cell r="A43" t="str">
            <v>Land Development Debt</v>
          </cell>
          <cell r="AQ43">
            <v>21000</v>
          </cell>
          <cell r="AR43">
            <v>28000</v>
          </cell>
          <cell r="AS43">
            <v>4000</v>
          </cell>
          <cell r="AT43">
            <v>25000</v>
          </cell>
          <cell r="AU43">
            <v>78000</v>
          </cell>
          <cell r="AV43">
            <v>-3000</v>
          </cell>
          <cell r="AW43">
            <v>25000</v>
          </cell>
          <cell r="AX43">
            <v>145000</v>
          </cell>
          <cell r="AY43">
            <v>52000</v>
          </cell>
          <cell r="AZ43">
            <v>219000</v>
          </cell>
          <cell r="CA43" t="str">
            <v>mstag:proceedsFromIssuanceAndCashUsedToRepayLongTermDebt</v>
          </cell>
          <cell r="CB43">
            <v>3</v>
          </cell>
          <cell r="CC43" t="str">
            <v>ISO4217:USD</v>
          </cell>
          <cell r="CD43" t="b">
            <v>0</v>
          </cell>
          <cell r="CE43" t="b">
            <v>0</v>
          </cell>
        </row>
        <row r="44">
          <cell r="A44" t="str">
            <v>Capital Securities</v>
          </cell>
          <cell r="AT44">
            <v>764000</v>
          </cell>
          <cell r="AU44">
            <v>764000</v>
          </cell>
          <cell r="AZ44">
            <v>0</v>
          </cell>
          <cell r="CA44" t="str">
            <v>mstag:proceedsFromIssuanceAndCashUsedToRepayLongTermDebt</v>
          </cell>
          <cell r="CB44">
            <v>3</v>
          </cell>
          <cell r="CC44" t="str">
            <v>ISO4217:USD</v>
          </cell>
          <cell r="CD44" t="b">
            <v>0</v>
          </cell>
          <cell r="CE44" t="b">
            <v>0</v>
          </cell>
        </row>
        <row r="45">
          <cell r="A45" t="str">
            <v>Minority Interest - fund partners</v>
          </cell>
          <cell r="AT45">
            <v>278000</v>
          </cell>
          <cell r="AU45">
            <v>278000</v>
          </cell>
          <cell r="AX45">
            <v>9000</v>
          </cell>
          <cell r="AZ45">
            <v>9000</v>
          </cell>
          <cell r="CA45" t="str">
            <v>mstag:minorityInterestCashFlowStatement</v>
          </cell>
          <cell r="CB45">
            <v>3</v>
          </cell>
          <cell r="CC45" t="str">
            <v>ISO4217:USD</v>
          </cell>
          <cell r="CD45" t="b">
            <v>0</v>
          </cell>
          <cell r="CE45" t="b">
            <v>0</v>
          </cell>
        </row>
        <row r="46">
          <cell r="A46" t="str">
            <v>Trizec acquisition financing arranged</v>
          </cell>
          <cell r="AT46">
            <v>3702000</v>
          </cell>
          <cell r="AU46">
            <v>3702000</v>
          </cell>
          <cell r="AZ46">
            <v>0</v>
          </cell>
          <cell r="CA46" t="str">
            <v>mstag:proceedsFromIssuanceAndCashUsedToRepayLongTermDebt</v>
          </cell>
          <cell r="CB46">
            <v>3</v>
          </cell>
          <cell r="CC46" t="str">
            <v>ISO4217:USD</v>
          </cell>
          <cell r="CD46" t="b">
            <v>0</v>
          </cell>
          <cell r="CE46" t="b">
            <v>0</v>
          </cell>
        </row>
        <row r="47">
          <cell r="A47" t="str">
            <v>Commercial property debt repayments</v>
          </cell>
          <cell r="H47">
            <v>-61000</v>
          </cell>
          <cell r="L47">
            <v>-85000</v>
          </cell>
          <cell r="M47">
            <v>-49000</v>
          </cell>
          <cell r="N47">
            <v>-56000</v>
          </cell>
          <cell r="O47">
            <v>13000</v>
          </cell>
          <cell r="P47">
            <v>-17000</v>
          </cell>
          <cell r="Q47">
            <v>-74000</v>
          </cell>
          <cell r="R47">
            <v>-555000</v>
          </cell>
          <cell r="S47">
            <v>-28000</v>
          </cell>
          <cell r="T47">
            <v>-155000</v>
          </cell>
          <cell r="U47">
            <v>-312000</v>
          </cell>
          <cell r="V47">
            <v>-1050000</v>
          </cell>
          <cell r="W47">
            <v>-11000</v>
          </cell>
          <cell r="X47">
            <v>-336000</v>
          </cell>
          <cell r="Y47">
            <v>-133000</v>
          </cell>
          <cell r="Z47">
            <v>-152000</v>
          </cell>
          <cell r="AA47">
            <v>-632000</v>
          </cell>
          <cell r="AB47">
            <v>-416000</v>
          </cell>
          <cell r="AC47">
            <v>-73000</v>
          </cell>
          <cell r="AD47">
            <v>-125000</v>
          </cell>
          <cell r="AE47">
            <v>-113000</v>
          </cell>
          <cell r="AF47">
            <v>-727000</v>
          </cell>
          <cell r="AG47">
            <v>-291000</v>
          </cell>
          <cell r="AH47">
            <v>-173000</v>
          </cell>
          <cell r="AI47">
            <v>-27000</v>
          </cell>
          <cell r="AJ47">
            <v>-135000</v>
          </cell>
          <cell r="AK47">
            <v>-626000</v>
          </cell>
          <cell r="AL47">
            <v>-24000</v>
          </cell>
          <cell r="AM47">
            <v>-338000</v>
          </cell>
          <cell r="AN47">
            <v>-31000</v>
          </cell>
          <cell r="AO47">
            <v>-77000</v>
          </cell>
          <cell r="AP47">
            <v>-470000</v>
          </cell>
          <cell r="AQ47">
            <v>-29000</v>
          </cell>
          <cell r="AR47">
            <v>-68000</v>
          </cell>
          <cell r="AS47">
            <v>-107000</v>
          </cell>
          <cell r="AT47">
            <v>-50000</v>
          </cell>
          <cell r="AU47">
            <v>-254000</v>
          </cell>
          <cell r="AV47">
            <v>-377000</v>
          </cell>
          <cell r="AW47">
            <v>-107000</v>
          </cell>
          <cell r="AX47">
            <v>-560000</v>
          </cell>
          <cell r="AY47">
            <v>-491000</v>
          </cell>
          <cell r="AZ47">
            <v>-1535000</v>
          </cell>
          <cell r="BA47">
            <v>449186.35988414451</v>
          </cell>
          <cell r="BB47">
            <v>-84828.937366395083</v>
          </cell>
          <cell r="BC47">
            <v>66961.021236916393</v>
          </cell>
          <cell r="BD47">
            <v>-131663.73368095176</v>
          </cell>
          <cell r="BE47">
            <v>299654.71007371403</v>
          </cell>
          <cell r="BF47">
            <v>175806.97829492282</v>
          </cell>
          <cell r="BG47">
            <v>2726.9884940314369</v>
          </cell>
          <cell r="BH47">
            <v>9023.6782864072084</v>
          </cell>
          <cell r="BI47">
            <v>-18648.314635196803</v>
          </cell>
          <cell r="BJ47">
            <v>168909.33044016466</v>
          </cell>
          <cell r="BK47">
            <v>295001.1691833472</v>
          </cell>
          <cell r="BL47">
            <v>144414.03925909419</v>
          </cell>
          <cell r="BM47">
            <v>190494.03647411644</v>
          </cell>
          <cell r="BN47">
            <v>100070.56224007522</v>
          </cell>
          <cell r="BO47">
            <v>729979.807156633</v>
          </cell>
          <cell r="BP47">
            <v>531900.01368753577</v>
          </cell>
          <cell r="BQ47">
            <v>-25908.942261954653</v>
          </cell>
          <cell r="BR47">
            <v>-17819.686551153638</v>
          </cell>
          <cell r="BS47">
            <v>-96358.454071651358</v>
          </cell>
          <cell r="BT47">
            <v>391812.93080277613</v>
          </cell>
          <cell r="BU47">
            <v>19431.097282879859</v>
          </cell>
          <cell r="BV47">
            <v>-31050.375604341927</v>
          </cell>
          <cell r="BW47">
            <v>-19297.53629033178</v>
          </cell>
          <cell r="BX47">
            <v>-102879.43564574601</v>
          </cell>
          <cell r="BY47">
            <v>-133796.25025753985</v>
          </cell>
          <cell r="CA47" t="str">
            <v>mstag:proceedsFromIssuanceAndCashUsedToRepayLongTermDebt</v>
          </cell>
          <cell r="CB47">
            <v>3</v>
          </cell>
          <cell r="CC47" t="str">
            <v>ISO4217:USD</v>
          </cell>
          <cell r="CD47" t="b">
            <v>0</v>
          </cell>
          <cell r="CE47" t="b">
            <v>0</v>
          </cell>
        </row>
        <row r="48">
          <cell r="A48" t="str">
            <v>Corporate credit facilities repayments</v>
          </cell>
          <cell r="AS48">
            <v>-327000</v>
          </cell>
          <cell r="AT48">
            <v>-777000</v>
          </cell>
          <cell r="AU48">
            <v>-1104000</v>
          </cell>
          <cell r="AV48">
            <v>47000</v>
          </cell>
          <cell r="AX48">
            <v>-437000</v>
          </cell>
          <cell r="AY48">
            <v>-297000</v>
          </cell>
          <cell r="AZ48">
            <v>-687000</v>
          </cell>
          <cell r="CA48" t="str">
            <v>mstag:proceedsFromIssuanceAndCashUsedToRepayLongTermDebt</v>
          </cell>
          <cell r="CB48">
            <v>3</v>
          </cell>
          <cell r="CC48" t="str">
            <v>ISO4217:USD</v>
          </cell>
          <cell r="CD48" t="b">
            <v>0</v>
          </cell>
          <cell r="CE48" t="b">
            <v>0</v>
          </cell>
        </row>
        <row r="49">
          <cell r="A49" t="str">
            <v>Subordinated Note Receivable</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34000</v>
          </cell>
          <cell r="AC49">
            <v>24000</v>
          </cell>
          <cell r="AD49">
            <v>40000</v>
          </cell>
          <cell r="AE49">
            <v>0</v>
          </cell>
          <cell r="AF49">
            <v>98000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CA49" t="str">
            <v>mstag:proceedsFromIssuanceAndCashUsedToRepayLongTermDebt</v>
          </cell>
          <cell r="CB49">
            <v>3</v>
          </cell>
          <cell r="CC49" t="str">
            <v>ISO4217:USD</v>
          </cell>
          <cell r="CD49" t="b">
            <v>0</v>
          </cell>
          <cell r="CE49" t="b">
            <v>0</v>
          </cell>
        </row>
        <row r="50">
          <cell r="A50" t="str">
            <v>Other advances</v>
          </cell>
          <cell r="K50">
            <v>55000</v>
          </cell>
          <cell r="L50">
            <v>-1000</v>
          </cell>
          <cell r="M50">
            <v>0</v>
          </cell>
          <cell r="N50">
            <v>175000</v>
          </cell>
          <cell r="O50">
            <v>-68000</v>
          </cell>
          <cell r="P50">
            <v>-88000</v>
          </cell>
          <cell r="Q50">
            <v>-16000</v>
          </cell>
          <cell r="R50">
            <v>-491000</v>
          </cell>
          <cell r="S50">
            <v>75000</v>
          </cell>
          <cell r="T50">
            <v>-66000</v>
          </cell>
          <cell r="U50">
            <v>-48000</v>
          </cell>
          <cell r="V50">
            <v>-530000</v>
          </cell>
          <cell r="W50">
            <v>-28000</v>
          </cell>
          <cell r="X50">
            <v>51000</v>
          </cell>
          <cell r="Y50">
            <v>-67000</v>
          </cell>
          <cell r="Z50">
            <v>-15000</v>
          </cell>
          <cell r="AA50">
            <v>-59000</v>
          </cell>
          <cell r="AB50">
            <v>4000</v>
          </cell>
          <cell r="AC50">
            <v>-3000</v>
          </cell>
          <cell r="AD50">
            <v>-15000</v>
          </cell>
          <cell r="AE50">
            <v>-85000</v>
          </cell>
          <cell r="AF50">
            <v>-99000</v>
          </cell>
          <cell r="AG50">
            <v>1000</v>
          </cell>
          <cell r="AH50">
            <v>1000</v>
          </cell>
          <cell r="AI50">
            <v>0</v>
          </cell>
          <cell r="AJ50">
            <v>-6000</v>
          </cell>
          <cell r="AK50">
            <v>-4000</v>
          </cell>
          <cell r="AL50">
            <v>1000</v>
          </cell>
          <cell r="AM50">
            <v>0</v>
          </cell>
          <cell r="AN50">
            <v>0</v>
          </cell>
          <cell r="AO50">
            <v>0</v>
          </cell>
          <cell r="AP50">
            <v>1000</v>
          </cell>
          <cell r="AQ50">
            <v>0</v>
          </cell>
          <cell r="AR50">
            <v>0</v>
          </cell>
          <cell r="AS50">
            <v>0</v>
          </cell>
          <cell r="AT50">
            <v>0</v>
          </cell>
          <cell r="AU50">
            <v>0</v>
          </cell>
          <cell r="AV50">
            <v>-4000</v>
          </cell>
          <cell r="AW50">
            <v>-5000</v>
          </cell>
          <cell r="AX50">
            <v>-4000</v>
          </cell>
          <cell r="AY50">
            <v>124000</v>
          </cell>
          <cell r="AZ50">
            <v>111000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CA50" t="str">
            <v>mstag:otherCashFlow</v>
          </cell>
          <cell r="CB50">
            <v>3</v>
          </cell>
          <cell r="CC50" t="str">
            <v>ISO4217:USD</v>
          </cell>
          <cell r="CD50" t="b">
            <v>0</v>
          </cell>
          <cell r="CE50" t="b">
            <v>0</v>
          </cell>
        </row>
        <row r="51">
          <cell r="A51" t="str">
            <v>Common shares issued</v>
          </cell>
          <cell r="L51">
            <v>0</v>
          </cell>
          <cell r="M51">
            <v>0</v>
          </cell>
          <cell r="N51">
            <v>1000</v>
          </cell>
          <cell r="O51">
            <v>3000</v>
          </cell>
          <cell r="P51">
            <v>0</v>
          </cell>
          <cell r="Q51">
            <v>4000</v>
          </cell>
          <cell r="R51">
            <v>1000</v>
          </cell>
          <cell r="S51">
            <v>0</v>
          </cell>
          <cell r="T51">
            <v>24000</v>
          </cell>
          <cell r="U51">
            <v>0</v>
          </cell>
          <cell r="V51">
            <v>25000</v>
          </cell>
          <cell r="W51">
            <v>0</v>
          </cell>
          <cell r="X51">
            <v>0</v>
          </cell>
          <cell r="Y51">
            <v>-3000</v>
          </cell>
          <cell r="Z51">
            <v>0</v>
          </cell>
          <cell r="AA51">
            <v>-3000</v>
          </cell>
          <cell r="AB51">
            <v>1000</v>
          </cell>
          <cell r="AC51">
            <v>1000</v>
          </cell>
          <cell r="AD51">
            <v>-6000</v>
          </cell>
          <cell r="AE51">
            <v>4000</v>
          </cell>
          <cell r="AF51">
            <v>0</v>
          </cell>
          <cell r="AG51">
            <v>7000</v>
          </cell>
          <cell r="AH51">
            <v>1000</v>
          </cell>
          <cell r="AI51">
            <v>-4000</v>
          </cell>
          <cell r="AJ51">
            <v>1000</v>
          </cell>
          <cell r="AK51">
            <v>5000</v>
          </cell>
          <cell r="AL51">
            <v>1000</v>
          </cell>
          <cell r="AM51">
            <v>3000</v>
          </cell>
          <cell r="AN51">
            <v>2000</v>
          </cell>
          <cell r="AO51">
            <v>2000</v>
          </cell>
          <cell r="AP51">
            <v>8000</v>
          </cell>
          <cell r="AQ51">
            <v>2000</v>
          </cell>
          <cell r="AR51">
            <v>0</v>
          </cell>
          <cell r="AS51">
            <v>0</v>
          </cell>
          <cell r="AT51">
            <v>1232000</v>
          </cell>
          <cell r="AU51">
            <v>1234000</v>
          </cell>
          <cell r="AV51">
            <v>3000</v>
          </cell>
          <cell r="AW51">
            <v>1000</v>
          </cell>
          <cell r="AX51">
            <v>0</v>
          </cell>
          <cell r="AY51">
            <v>1000</v>
          </cell>
          <cell r="AZ51">
            <v>5000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CA51" t="str">
            <v>mstag:proceedsFromIssuanceFundsUsedToRepurchaseCommonStock</v>
          </cell>
          <cell r="CB51">
            <v>3</v>
          </cell>
          <cell r="CC51" t="str">
            <v>ISO4217:USD</v>
          </cell>
          <cell r="CD51" t="b">
            <v>0</v>
          </cell>
          <cell r="CE51" t="b">
            <v>0</v>
          </cell>
        </row>
        <row r="52">
          <cell r="A52" t="str">
            <v>Common shares of Brookfield repurchased</v>
          </cell>
          <cell r="J52">
            <v>-57000</v>
          </cell>
          <cell r="K52">
            <v>-5000</v>
          </cell>
          <cell r="L52">
            <v>-62000</v>
          </cell>
          <cell r="M52">
            <v>-46000</v>
          </cell>
          <cell r="N52">
            <v>-13000</v>
          </cell>
          <cell r="O52">
            <v>-8000</v>
          </cell>
          <cell r="P52">
            <v>0</v>
          </cell>
          <cell r="Q52">
            <v>-67000</v>
          </cell>
          <cell r="R52">
            <v>-8000</v>
          </cell>
          <cell r="S52">
            <v>-63000</v>
          </cell>
          <cell r="T52">
            <v>-9000</v>
          </cell>
          <cell r="U52">
            <v>-22000</v>
          </cell>
          <cell r="V52">
            <v>-102000</v>
          </cell>
          <cell r="W52">
            <v>-10000</v>
          </cell>
          <cell r="X52">
            <v>-1000</v>
          </cell>
          <cell r="Y52">
            <v>1000</v>
          </cell>
          <cell r="Z52">
            <v>-12000</v>
          </cell>
          <cell r="AA52">
            <v>-22000</v>
          </cell>
          <cell r="AB52">
            <v>-33000</v>
          </cell>
          <cell r="AC52">
            <v>-54000</v>
          </cell>
          <cell r="AD52">
            <v>2000</v>
          </cell>
          <cell r="AE52">
            <v>-13000</v>
          </cell>
          <cell r="AF52">
            <v>-98000</v>
          </cell>
          <cell r="AG52">
            <v>-11000</v>
          </cell>
          <cell r="AH52">
            <v>-20000</v>
          </cell>
          <cell r="AI52">
            <v>-1000</v>
          </cell>
          <cell r="AJ52">
            <v>-11000</v>
          </cell>
          <cell r="AK52">
            <v>-43000</v>
          </cell>
          <cell r="AL52">
            <v>-31000</v>
          </cell>
          <cell r="AM52">
            <v>-14000</v>
          </cell>
          <cell r="AN52">
            <v>-14000</v>
          </cell>
          <cell r="AO52">
            <v>-15000</v>
          </cell>
          <cell r="AP52">
            <v>-74000</v>
          </cell>
          <cell r="AQ52">
            <v>0</v>
          </cell>
          <cell r="AR52">
            <v>0</v>
          </cell>
          <cell r="AS52">
            <v>0</v>
          </cell>
          <cell r="AT52">
            <v>0</v>
          </cell>
          <cell r="AU52">
            <v>0</v>
          </cell>
          <cell r="AV52">
            <v>0</v>
          </cell>
          <cell r="AW52">
            <v>-25000</v>
          </cell>
          <cell r="AX52">
            <v>-49000</v>
          </cell>
          <cell r="AY52">
            <v>-31000</v>
          </cell>
          <cell r="AZ52">
            <v>-105000</v>
          </cell>
          <cell r="BA52">
            <v>-12240.5661</v>
          </cell>
          <cell r="BB52">
            <v>-12485.377422000001</v>
          </cell>
          <cell r="BC52">
            <v>-12735.084970440003</v>
          </cell>
          <cell r="BD52">
            <v>-12989.786669848803</v>
          </cell>
          <cell r="BE52">
            <v>-50450.815162288811</v>
          </cell>
          <cell r="BF52">
            <v>-13249.582403245779</v>
          </cell>
          <cell r="BG52">
            <v>-13514.574051310696</v>
          </cell>
          <cell r="BH52">
            <v>-13784.865532336911</v>
          </cell>
          <cell r="BI52">
            <v>-14060.562842983651</v>
          </cell>
          <cell r="BJ52">
            <v>-54609.584829877036</v>
          </cell>
          <cell r="BK52">
            <v>-14341.774099843322</v>
          </cell>
          <cell r="BL52">
            <v>-14628.609581840188</v>
          </cell>
          <cell r="BM52">
            <v>-14921.181773476994</v>
          </cell>
          <cell r="BN52">
            <v>-15219.605408946534</v>
          </cell>
          <cell r="BO52">
            <v>-59111.170864107036</v>
          </cell>
          <cell r="BP52">
            <v>-15523.997517125466</v>
          </cell>
          <cell r="BQ52">
            <v>-15834.477467467977</v>
          </cell>
          <cell r="BR52">
            <v>-16151.167016817337</v>
          </cell>
          <cell r="BS52">
            <v>-16474.190357153682</v>
          </cell>
          <cell r="BT52">
            <v>-63983.832358564461</v>
          </cell>
          <cell r="BU52">
            <v>-16803.674164296757</v>
          </cell>
          <cell r="BV52">
            <v>-17139.747647582695</v>
          </cell>
          <cell r="BW52">
            <v>-17482.542600534347</v>
          </cell>
          <cell r="BX52">
            <v>-17832.193452545038</v>
          </cell>
          <cell r="BY52">
            <v>-69258.157864958834</v>
          </cell>
          <cell r="CA52" t="str">
            <v>mstag:proceedsFromIssuanceFundsUsedToRepurchaseCommonStock</v>
          </cell>
          <cell r="CB52">
            <v>3</v>
          </cell>
          <cell r="CC52" t="str">
            <v>ISO4217:USD</v>
          </cell>
          <cell r="CD52" t="b">
            <v>0</v>
          </cell>
          <cell r="CE52" t="b">
            <v>0</v>
          </cell>
        </row>
        <row r="53">
          <cell r="A53" t="str">
            <v>Preferred shares issued</v>
          </cell>
          <cell r="L53">
            <v>0</v>
          </cell>
          <cell r="M53">
            <v>0</v>
          </cell>
          <cell r="N53">
            <v>0</v>
          </cell>
          <cell r="O53">
            <v>0</v>
          </cell>
          <cell r="P53">
            <v>0</v>
          </cell>
          <cell r="Q53">
            <v>0</v>
          </cell>
          <cell r="R53">
            <v>0</v>
          </cell>
          <cell r="S53">
            <v>0</v>
          </cell>
          <cell r="T53">
            <v>0</v>
          </cell>
          <cell r="U53">
            <v>0</v>
          </cell>
          <cell r="V53">
            <v>0</v>
          </cell>
          <cell r="W53">
            <v>0</v>
          </cell>
          <cell r="X53">
            <v>0</v>
          </cell>
          <cell r="Y53">
            <v>123000</v>
          </cell>
          <cell r="Z53">
            <v>0</v>
          </cell>
          <cell r="AA53">
            <v>123000</v>
          </cell>
          <cell r="AB53">
            <v>0</v>
          </cell>
          <cell r="AC53">
            <v>107000</v>
          </cell>
          <cell r="AD53">
            <v>0</v>
          </cell>
          <cell r="AE53">
            <v>301000</v>
          </cell>
          <cell r="AF53">
            <v>408000</v>
          </cell>
          <cell r="AG53">
            <v>0</v>
          </cell>
          <cell r="AH53">
            <v>143000</v>
          </cell>
          <cell r="AI53">
            <v>1000</v>
          </cell>
          <cell r="AJ53">
            <v>118000</v>
          </cell>
          <cell r="AK53">
            <v>262000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CA53" t="str">
            <v>mstag:netIssuanceOfPreferredStock</v>
          </cell>
          <cell r="CB53">
            <v>3</v>
          </cell>
          <cell r="CC53" t="str">
            <v>ISO4217:USD</v>
          </cell>
          <cell r="CD53" t="b">
            <v>0</v>
          </cell>
          <cell r="CE53" t="b">
            <v>0</v>
          </cell>
        </row>
        <row r="54">
          <cell r="A54" t="str">
            <v>Preferred shares redeemed</v>
          </cell>
          <cell r="L54">
            <v>-3000</v>
          </cell>
          <cell r="M54">
            <v>0</v>
          </cell>
          <cell r="N54">
            <v>0</v>
          </cell>
          <cell r="O54">
            <v>0</v>
          </cell>
          <cell r="P54">
            <v>0</v>
          </cell>
          <cell r="Q54">
            <v>0</v>
          </cell>
          <cell r="R54">
            <v>0</v>
          </cell>
          <cell r="S54">
            <v>0</v>
          </cell>
          <cell r="T54">
            <v>0</v>
          </cell>
          <cell r="U54">
            <v>0</v>
          </cell>
          <cell r="V54">
            <v>0</v>
          </cell>
          <cell r="W54">
            <v>0</v>
          </cell>
          <cell r="X54">
            <v>0</v>
          </cell>
          <cell r="Y54">
            <v>-126000</v>
          </cell>
          <cell r="Z54">
            <v>0</v>
          </cell>
          <cell r="AA54">
            <v>-126000</v>
          </cell>
          <cell r="AB54">
            <v>0</v>
          </cell>
          <cell r="AC54">
            <v>-74000</v>
          </cell>
          <cell r="AD54">
            <v>0</v>
          </cell>
          <cell r="AE54">
            <v>0</v>
          </cell>
          <cell r="AF54">
            <v>-74000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-181000</v>
          </cell>
          <cell r="AY54">
            <v>0</v>
          </cell>
          <cell r="AZ54">
            <v>-181000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CA54" t="str">
            <v>mstag:netIssuanceOfPreferredStock</v>
          </cell>
          <cell r="CB54">
            <v>3</v>
          </cell>
          <cell r="CC54" t="str">
            <v>ISO4217:USD</v>
          </cell>
          <cell r="CD54" t="b">
            <v>0</v>
          </cell>
          <cell r="CE54" t="b">
            <v>0</v>
          </cell>
        </row>
        <row r="55">
          <cell r="A55" t="str">
            <v>Cashflow retained from (distributed to) other shareholders of subsidiaries</v>
          </cell>
          <cell r="H55">
            <v>5000</v>
          </cell>
          <cell r="I55">
            <v>-48000</v>
          </cell>
          <cell r="J55">
            <v>71000</v>
          </cell>
          <cell r="K55">
            <v>31000</v>
          </cell>
          <cell r="L55">
            <v>59000</v>
          </cell>
          <cell r="M55">
            <v>1000</v>
          </cell>
          <cell r="N55">
            <v>16000</v>
          </cell>
          <cell r="O55">
            <v>19000</v>
          </cell>
          <cell r="P55">
            <v>-12000</v>
          </cell>
          <cell r="Q55">
            <v>24000</v>
          </cell>
          <cell r="R55">
            <v>4000</v>
          </cell>
          <cell r="S55">
            <v>3000</v>
          </cell>
          <cell r="T55">
            <v>4000</v>
          </cell>
          <cell r="U55">
            <v>3000</v>
          </cell>
          <cell r="V55">
            <v>14000</v>
          </cell>
          <cell r="W55">
            <v>7000</v>
          </cell>
          <cell r="X55">
            <v>4000</v>
          </cell>
          <cell r="Y55">
            <v>5000</v>
          </cell>
          <cell r="Z55">
            <v>-46000</v>
          </cell>
          <cell r="AA55">
            <v>-30000</v>
          </cell>
          <cell r="AB55">
            <v>2000</v>
          </cell>
          <cell r="AC55">
            <v>-16000</v>
          </cell>
          <cell r="AD55">
            <v>1000</v>
          </cell>
          <cell r="AE55">
            <v>-2000</v>
          </cell>
          <cell r="AF55">
            <v>-15000</v>
          </cell>
          <cell r="AG55">
            <v>-33000</v>
          </cell>
          <cell r="AH55">
            <v>2000</v>
          </cell>
          <cell r="AI55">
            <v>-2000</v>
          </cell>
          <cell r="AJ55">
            <v>-130000</v>
          </cell>
          <cell r="AK55">
            <v>-163000</v>
          </cell>
          <cell r="AL55">
            <v>2000</v>
          </cell>
          <cell r="AM55">
            <v>1000</v>
          </cell>
          <cell r="AN55">
            <v>1000</v>
          </cell>
          <cell r="AO55">
            <v>-1000</v>
          </cell>
          <cell r="AP55">
            <v>3000</v>
          </cell>
          <cell r="AQ55">
            <v>1000</v>
          </cell>
          <cell r="AR55">
            <v>0</v>
          </cell>
          <cell r="AS55">
            <v>-1000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CA55" t="str">
            <v>mstag:dividendsFromInvestmentsAccountedForUnderTheEquityMethodOperating</v>
          </cell>
          <cell r="CB55">
            <v>3</v>
          </cell>
          <cell r="CC55" t="str">
            <v>ISO4217:USD</v>
          </cell>
          <cell r="CD55" t="b">
            <v>0</v>
          </cell>
          <cell r="CE55" t="b">
            <v>0</v>
          </cell>
        </row>
        <row r="56">
          <cell r="A56" t="str">
            <v>Preferred share dividends</v>
          </cell>
          <cell r="H56">
            <v>-9000</v>
          </cell>
          <cell r="I56">
            <v>-8000</v>
          </cell>
          <cell r="J56">
            <v>-9000</v>
          </cell>
          <cell r="K56">
            <v>-8000</v>
          </cell>
          <cell r="L56">
            <v>-34000</v>
          </cell>
          <cell r="M56">
            <v>-9000</v>
          </cell>
          <cell r="N56">
            <v>-9000</v>
          </cell>
          <cell r="O56">
            <v>-6000</v>
          </cell>
          <cell r="P56">
            <v>-5000</v>
          </cell>
          <cell r="Q56">
            <v>-29000</v>
          </cell>
          <cell r="R56">
            <v>-6000</v>
          </cell>
          <cell r="S56">
            <v>-6000</v>
          </cell>
          <cell r="T56">
            <v>-4000</v>
          </cell>
          <cell r="U56">
            <v>-5000</v>
          </cell>
          <cell r="V56">
            <v>-21000</v>
          </cell>
          <cell r="W56">
            <v>-5000</v>
          </cell>
          <cell r="X56">
            <v>-4000</v>
          </cell>
          <cell r="Y56">
            <v>-5000</v>
          </cell>
          <cell r="Z56">
            <v>-5000</v>
          </cell>
          <cell r="AA56">
            <v>-19000</v>
          </cell>
          <cell r="AB56">
            <v>-4000</v>
          </cell>
          <cell r="AC56">
            <v>-5000</v>
          </cell>
          <cell r="AD56">
            <v>-5000</v>
          </cell>
          <cell r="AE56">
            <v>-6000</v>
          </cell>
          <cell r="AF56">
            <v>-20000</v>
          </cell>
          <cell r="AG56">
            <v>-1000</v>
          </cell>
          <cell r="AH56">
            <v>-9000</v>
          </cell>
          <cell r="AI56">
            <v>-11000</v>
          </cell>
          <cell r="AJ56">
            <v>-12000</v>
          </cell>
          <cell r="AK56">
            <v>-33000</v>
          </cell>
          <cell r="AL56">
            <v>-1000</v>
          </cell>
          <cell r="AM56">
            <v>0</v>
          </cell>
          <cell r="AN56">
            <v>-1000</v>
          </cell>
          <cell r="AO56">
            <v>0</v>
          </cell>
          <cell r="AP56">
            <v>-2000</v>
          </cell>
          <cell r="AQ56">
            <v>-1000</v>
          </cell>
          <cell r="AR56">
            <v>0</v>
          </cell>
          <cell r="AS56">
            <v>-1000</v>
          </cell>
          <cell r="AT56">
            <v>-1000</v>
          </cell>
          <cell r="AU56">
            <v>-3000</v>
          </cell>
          <cell r="AV56">
            <v>-1000</v>
          </cell>
          <cell r="AW56">
            <v>0</v>
          </cell>
          <cell r="AX56">
            <v>-2000</v>
          </cell>
          <cell r="AY56">
            <v>0</v>
          </cell>
          <cell r="AZ56">
            <v>-3000</v>
          </cell>
          <cell r="BA56">
            <v>-1000</v>
          </cell>
          <cell r="BB56">
            <v>0</v>
          </cell>
          <cell r="BC56">
            <v>-2000</v>
          </cell>
          <cell r="BD56">
            <v>0</v>
          </cell>
          <cell r="BE56">
            <v>-3000</v>
          </cell>
          <cell r="BF56">
            <v>-1000</v>
          </cell>
          <cell r="BG56">
            <v>0</v>
          </cell>
          <cell r="BH56">
            <v>-2000</v>
          </cell>
          <cell r="BI56">
            <v>0</v>
          </cell>
          <cell r="BJ56">
            <v>-3000</v>
          </cell>
          <cell r="BK56">
            <v>-1000</v>
          </cell>
          <cell r="BL56">
            <v>0</v>
          </cell>
          <cell r="BM56">
            <v>-2000</v>
          </cell>
          <cell r="BN56">
            <v>0</v>
          </cell>
          <cell r="BO56">
            <v>-3000</v>
          </cell>
          <cell r="BP56">
            <v>-1000</v>
          </cell>
          <cell r="BQ56">
            <v>0</v>
          </cell>
          <cell r="BR56">
            <v>-2000</v>
          </cell>
          <cell r="BS56">
            <v>0</v>
          </cell>
          <cell r="BT56">
            <v>-3000</v>
          </cell>
          <cell r="BU56">
            <v>-1000</v>
          </cell>
          <cell r="BV56">
            <v>0</v>
          </cell>
          <cell r="BW56">
            <v>-2000</v>
          </cell>
          <cell r="BX56">
            <v>0</v>
          </cell>
          <cell r="BY56">
            <v>-3000</v>
          </cell>
          <cell r="CA56" t="str">
            <v>mstag:cashDividendsPaid</v>
          </cell>
          <cell r="CB56">
            <v>3</v>
          </cell>
          <cell r="CC56" t="str">
            <v>ISO4217:USD</v>
          </cell>
          <cell r="CD56" t="b">
            <v>1</v>
          </cell>
          <cell r="CE56" t="b">
            <v>0</v>
          </cell>
        </row>
        <row r="57">
          <cell r="A57" t="str">
            <v>Common share dividends</v>
          </cell>
          <cell r="I57">
            <v>-12000</v>
          </cell>
          <cell r="K57">
            <v>-16000</v>
          </cell>
          <cell r="L57">
            <v>-28000</v>
          </cell>
          <cell r="M57">
            <v>0</v>
          </cell>
          <cell r="N57">
            <v>-16000</v>
          </cell>
          <cell r="O57">
            <v>0</v>
          </cell>
          <cell r="P57">
            <v>-21000</v>
          </cell>
          <cell r="Q57">
            <v>-37000</v>
          </cell>
          <cell r="R57">
            <v>0</v>
          </cell>
          <cell r="S57">
            <v>-20000</v>
          </cell>
          <cell r="T57">
            <v>-17000</v>
          </cell>
          <cell r="U57">
            <v>-16000</v>
          </cell>
          <cell r="V57">
            <v>-53000</v>
          </cell>
          <cell r="W57">
            <v>-16000</v>
          </cell>
          <cell r="X57">
            <v>-16000</v>
          </cell>
          <cell r="Y57">
            <v>-16000</v>
          </cell>
          <cell r="Z57">
            <v>-16000</v>
          </cell>
          <cell r="AA57">
            <v>-64000</v>
          </cell>
          <cell r="AB57">
            <v>-16000</v>
          </cell>
          <cell r="AC57">
            <v>-16000</v>
          </cell>
          <cell r="AD57">
            <v>-23000</v>
          </cell>
          <cell r="AE57">
            <v>-24000</v>
          </cell>
          <cell r="AF57">
            <v>-79000</v>
          </cell>
          <cell r="AG57">
            <v>-23000</v>
          </cell>
          <cell r="AH57">
            <v>-24000</v>
          </cell>
          <cell r="AI57">
            <v>-25000</v>
          </cell>
          <cell r="AJ57">
            <v>-24000</v>
          </cell>
          <cell r="AK57">
            <v>-96000</v>
          </cell>
          <cell r="AL57">
            <v>-25000</v>
          </cell>
          <cell r="AM57">
            <v>-42000</v>
          </cell>
          <cell r="AN57">
            <v>-41000</v>
          </cell>
          <cell r="AO57">
            <v>-42000</v>
          </cell>
          <cell r="AP57">
            <v>-150000</v>
          </cell>
          <cell r="AQ57">
            <v>-42000</v>
          </cell>
          <cell r="AR57">
            <v>-43000</v>
          </cell>
          <cell r="AS57">
            <v>-44000</v>
          </cell>
          <cell r="AT57">
            <v>-44000</v>
          </cell>
          <cell r="AU57">
            <v>-173000</v>
          </cell>
          <cell r="AV57">
            <v>-50000</v>
          </cell>
          <cell r="AW57">
            <v>-55000</v>
          </cell>
          <cell r="AX57">
            <v>-56000</v>
          </cell>
          <cell r="AY57">
            <v>-55000</v>
          </cell>
          <cell r="AZ57">
            <v>-216000</v>
          </cell>
          <cell r="BA57">
            <v>-49723.710346666659</v>
          </cell>
          <cell r="BB57">
            <v>-49660.377013333331</v>
          </cell>
          <cell r="BC57">
            <v>-49597.043679999995</v>
          </cell>
          <cell r="BD57">
            <v>-49533.710346666659</v>
          </cell>
          <cell r="BE57">
            <v>-198514.84138666664</v>
          </cell>
          <cell r="BF57">
            <v>-49470.377013333331</v>
          </cell>
          <cell r="BG57">
            <v>-51877.395863999991</v>
          </cell>
          <cell r="BH57">
            <v>-51810.895863999991</v>
          </cell>
          <cell r="BI57">
            <v>-51744.395863999991</v>
          </cell>
          <cell r="BJ57">
            <v>-204903.06460533329</v>
          </cell>
          <cell r="BK57">
            <v>-51677.895863999991</v>
          </cell>
          <cell r="BL57">
            <v>-54191.965657200002</v>
          </cell>
          <cell r="BM57">
            <v>-54122.140657199998</v>
          </cell>
          <cell r="BN57">
            <v>-54052.315657200001</v>
          </cell>
          <cell r="BO57">
            <v>-214044.3178356</v>
          </cell>
          <cell r="BP57">
            <v>-53982.490657199996</v>
          </cell>
          <cell r="BQ57">
            <v>-56608.298940059998</v>
          </cell>
          <cell r="BR57">
            <v>-56534.982690060002</v>
          </cell>
          <cell r="BS57">
            <v>-56461.666440059998</v>
          </cell>
          <cell r="BT57">
            <v>-223587.43872738001</v>
          </cell>
          <cell r="BU57">
            <v>-56388.350190060002</v>
          </cell>
          <cell r="BV57">
            <v>-59130.785637063003</v>
          </cell>
          <cell r="BW57">
            <v>-59053.803574563004</v>
          </cell>
          <cell r="BX57">
            <v>-58976.821512063005</v>
          </cell>
          <cell r="BY57">
            <v>-233549.76091374902</v>
          </cell>
          <cell r="CA57" t="str">
            <v>mstag:cashDividendsPaid</v>
          </cell>
          <cell r="CB57">
            <v>3</v>
          </cell>
          <cell r="CC57" t="str">
            <v>ISO4217:USD</v>
          </cell>
          <cell r="CD57" t="b">
            <v>1</v>
          </cell>
          <cell r="CE57" t="b">
            <v>0</v>
          </cell>
        </row>
        <row r="58">
          <cell r="A58" t="str">
            <v>Cash from Financing Activity</v>
          </cell>
          <cell r="H58">
            <v>-14000</v>
          </cell>
          <cell r="I58">
            <v>-8000</v>
          </cell>
          <cell r="J58">
            <v>-55000</v>
          </cell>
          <cell r="K58">
            <v>38000</v>
          </cell>
          <cell r="L58">
            <v>-42000</v>
          </cell>
          <cell r="M58">
            <v>-103000</v>
          </cell>
          <cell r="N58">
            <v>176000</v>
          </cell>
          <cell r="O58">
            <v>35000</v>
          </cell>
          <cell r="P58">
            <v>-120000</v>
          </cell>
          <cell r="Q58">
            <v>-12000</v>
          </cell>
          <cell r="R58">
            <v>-104000</v>
          </cell>
          <cell r="S58">
            <v>14000</v>
          </cell>
          <cell r="T58">
            <v>-118000</v>
          </cell>
          <cell r="U58">
            <v>-168000</v>
          </cell>
          <cell r="V58">
            <v>-376000</v>
          </cell>
          <cell r="W58">
            <v>-25000</v>
          </cell>
          <cell r="X58">
            <v>-30000</v>
          </cell>
          <cell r="Y58">
            <v>-96000</v>
          </cell>
          <cell r="Z58">
            <v>-124000</v>
          </cell>
          <cell r="AA58">
            <v>-275000</v>
          </cell>
          <cell r="AB58">
            <v>39000</v>
          </cell>
          <cell r="AC58">
            <v>-84000</v>
          </cell>
          <cell r="AD58">
            <v>-79000</v>
          </cell>
          <cell r="AE58">
            <v>253000</v>
          </cell>
          <cell r="AF58">
            <v>129000</v>
          </cell>
          <cell r="AG58">
            <v>-146000</v>
          </cell>
          <cell r="AH58">
            <v>-79000</v>
          </cell>
          <cell r="AI58">
            <v>48000</v>
          </cell>
          <cell r="AJ58">
            <v>-69000</v>
          </cell>
          <cell r="AK58">
            <v>-246000</v>
          </cell>
          <cell r="AL58">
            <v>21000</v>
          </cell>
          <cell r="AM58">
            <v>28000</v>
          </cell>
          <cell r="AN58">
            <v>-50000</v>
          </cell>
          <cell r="AO58">
            <v>-43000</v>
          </cell>
          <cell r="AP58">
            <v>-44000</v>
          </cell>
          <cell r="AQ58">
            <v>72000</v>
          </cell>
          <cell r="AR58">
            <v>147000</v>
          </cell>
          <cell r="AS58">
            <v>292000</v>
          </cell>
          <cell r="AT58">
            <v>5636000</v>
          </cell>
          <cell r="AU58">
            <v>6147000</v>
          </cell>
          <cell r="AV58">
            <v>-69000</v>
          </cell>
          <cell r="AW58">
            <v>56000</v>
          </cell>
          <cell r="AX58">
            <v>229000</v>
          </cell>
          <cell r="AY58">
            <v>36000</v>
          </cell>
          <cell r="AZ58">
            <v>252000</v>
          </cell>
          <cell r="BA58">
            <v>386222.08343747782</v>
          </cell>
          <cell r="BB58">
            <v>-146974.69180172842</v>
          </cell>
          <cell r="BC58">
            <v>2628.8925864763951</v>
          </cell>
          <cell r="BD58">
            <v>-194187.23069746722</v>
          </cell>
          <cell r="BE58">
            <v>47689.053524758579</v>
          </cell>
          <cell r="BF58">
            <v>112087.0188783437</v>
          </cell>
          <cell r="BG58">
            <v>-62664.981421279248</v>
          </cell>
          <cell r="BH58">
            <v>-58572.083109929692</v>
          </cell>
          <cell r="BI58">
            <v>-84453.273342180444</v>
          </cell>
          <cell r="BJ58">
            <v>-93603.318995045673</v>
          </cell>
          <cell r="BK58">
            <v>227981.49921950386</v>
          </cell>
          <cell r="BL58">
            <v>75593.464020054002</v>
          </cell>
          <cell r="BM58">
            <v>119450.71404343944</v>
          </cell>
          <cell r="BN58">
            <v>30798.641173928685</v>
          </cell>
          <cell r="BO58">
            <v>453824.31845692592</v>
          </cell>
          <cell r="BP58">
            <v>461393.52551321033</v>
          </cell>
          <cell r="BQ58">
            <v>-98351.718669482623</v>
          </cell>
          <cell r="BR58">
            <v>-92505.836258030977</v>
          </cell>
          <cell r="BS58">
            <v>-169294.31086886505</v>
          </cell>
          <cell r="BT58">
            <v>101241.65971683164</v>
          </cell>
          <cell r="BU58">
            <v>-54760.927071476901</v>
          </cell>
          <cell r="BV58">
            <v>-107320.90888898763</v>
          </cell>
          <cell r="BW58">
            <v>-97833.882465429138</v>
          </cell>
          <cell r="BX58">
            <v>-179688.45061035405</v>
          </cell>
          <cell r="BY58">
            <v>-439604.16903624771</v>
          </cell>
        </row>
        <row r="60">
          <cell r="A60" t="str">
            <v>Changes in Cash</v>
          </cell>
          <cell r="H60">
            <v>-28000</v>
          </cell>
          <cell r="I60">
            <v>-5000</v>
          </cell>
          <cell r="J60">
            <v>21000</v>
          </cell>
          <cell r="K60">
            <v>69000</v>
          </cell>
          <cell r="L60">
            <v>79000</v>
          </cell>
          <cell r="M60">
            <v>-61000</v>
          </cell>
          <cell r="N60">
            <v>-7000</v>
          </cell>
          <cell r="O60">
            <v>2000</v>
          </cell>
          <cell r="P60">
            <v>51000</v>
          </cell>
          <cell r="Q60">
            <v>-12000</v>
          </cell>
          <cell r="R60">
            <v>23000</v>
          </cell>
          <cell r="S60">
            <v>27000</v>
          </cell>
          <cell r="T60">
            <v>-18000</v>
          </cell>
          <cell r="U60">
            <v>-38000</v>
          </cell>
          <cell r="V60">
            <v>-6000</v>
          </cell>
          <cell r="W60">
            <v>15000</v>
          </cell>
          <cell r="X60">
            <v>-55000</v>
          </cell>
          <cell r="Y60">
            <v>40000</v>
          </cell>
          <cell r="Z60">
            <v>-119000</v>
          </cell>
          <cell r="AA60">
            <v>-119000</v>
          </cell>
          <cell r="AB60">
            <v>40000</v>
          </cell>
          <cell r="AC60">
            <v>-21000</v>
          </cell>
          <cell r="AD60">
            <v>3000</v>
          </cell>
          <cell r="AE60">
            <v>34000</v>
          </cell>
          <cell r="AF60">
            <v>56000</v>
          </cell>
          <cell r="AG60">
            <v>16000</v>
          </cell>
          <cell r="AH60">
            <v>-40000</v>
          </cell>
          <cell r="AI60">
            <v>-12000</v>
          </cell>
          <cell r="AJ60">
            <v>16000</v>
          </cell>
          <cell r="AK60">
            <v>-20000</v>
          </cell>
          <cell r="AL60">
            <v>-36000</v>
          </cell>
          <cell r="AM60">
            <v>37000</v>
          </cell>
          <cell r="AN60">
            <v>51000</v>
          </cell>
          <cell r="AO60">
            <v>-100000</v>
          </cell>
          <cell r="AP60">
            <v>-48000</v>
          </cell>
          <cell r="AQ60">
            <v>65000</v>
          </cell>
          <cell r="AR60">
            <v>-15000</v>
          </cell>
          <cell r="AS60">
            <v>9000</v>
          </cell>
          <cell r="AT60">
            <v>65000</v>
          </cell>
          <cell r="AU60">
            <v>124000</v>
          </cell>
          <cell r="AV60">
            <v>38000</v>
          </cell>
          <cell r="AW60">
            <v>-21000</v>
          </cell>
          <cell r="AX60">
            <v>-3000</v>
          </cell>
          <cell r="AY60">
            <v>12000</v>
          </cell>
          <cell r="AZ60">
            <v>26000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row>
        <row r="61">
          <cell r="A61" t="str">
            <v>Beginning Cash Balance</v>
          </cell>
          <cell r="H61">
            <v>134000</v>
          </cell>
          <cell r="I61">
            <v>130217</v>
          </cell>
          <cell r="J61">
            <v>127000</v>
          </cell>
          <cell r="K61">
            <v>150000</v>
          </cell>
          <cell r="L61">
            <v>134000</v>
          </cell>
          <cell r="M61">
            <v>217000</v>
          </cell>
          <cell r="N61">
            <v>160000</v>
          </cell>
          <cell r="O61">
            <v>149000</v>
          </cell>
          <cell r="P61">
            <v>150000</v>
          </cell>
          <cell r="Q61">
            <v>214000</v>
          </cell>
          <cell r="R61">
            <v>201000</v>
          </cell>
          <cell r="S61">
            <v>226000</v>
          </cell>
          <cell r="T61">
            <v>258000</v>
          </cell>
          <cell r="U61">
            <v>234000</v>
          </cell>
          <cell r="V61">
            <v>201000</v>
          </cell>
          <cell r="W61">
            <v>195000</v>
          </cell>
          <cell r="X61">
            <v>210000</v>
          </cell>
          <cell r="Y61">
            <v>159000</v>
          </cell>
          <cell r="Z61">
            <v>197000</v>
          </cell>
          <cell r="AA61">
            <v>195000</v>
          </cell>
          <cell r="AB61">
            <v>76000</v>
          </cell>
          <cell r="AC61">
            <v>116000</v>
          </cell>
          <cell r="AD61">
            <v>95000</v>
          </cell>
          <cell r="AE61">
            <v>98000</v>
          </cell>
          <cell r="AF61">
            <v>76000</v>
          </cell>
          <cell r="AG61">
            <v>132000</v>
          </cell>
          <cell r="AH61">
            <v>148000</v>
          </cell>
          <cell r="AI61">
            <v>108000</v>
          </cell>
          <cell r="AJ61">
            <v>96000</v>
          </cell>
          <cell r="AK61">
            <v>132000</v>
          </cell>
          <cell r="AL61">
            <v>112000</v>
          </cell>
          <cell r="AM61">
            <v>76000</v>
          </cell>
          <cell r="AN61">
            <v>113000</v>
          </cell>
          <cell r="AO61">
            <v>164000</v>
          </cell>
          <cell r="AP61">
            <v>112000</v>
          </cell>
          <cell r="AQ61">
            <v>64000</v>
          </cell>
          <cell r="AR61">
            <v>129000</v>
          </cell>
          <cell r="AS61">
            <v>114000</v>
          </cell>
          <cell r="AT61">
            <v>123000</v>
          </cell>
          <cell r="AU61">
            <v>64000</v>
          </cell>
          <cell r="AV61">
            <v>188000</v>
          </cell>
          <cell r="AW61">
            <v>226000</v>
          </cell>
          <cell r="AX61">
            <v>205000</v>
          </cell>
          <cell r="AY61">
            <v>202000</v>
          </cell>
          <cell r="AZ61">
            <v>188000</v>
          </cell>
          <cell r="BA61">
            <v>214000</v>
          </cell>
          <cell r="BB61">
            <v>214000</v>
          </cell>
          <cell r="BC61">
            <v>214000</v>
          </cell>
          <cell r="BD61">
            <v>214000</v>
          </cell>
          <cell r="BE61">
            <v>214000</v>
          </cell>
          <cell r="BF61">
            <v>214000</v>
          </cell>
          <cell r="BG61">
            <v>214000</v>
          </cell>
          <cell r="BH61">
            <v>214000</v>
          </cell>
          <cell r="BI61">
            <v>214000</v>
          </cell>
          <cell r="BJ61">
            <v>214000</v>
          </cell>
          <cell r="BK61">
            <v>214000</v>
          </cell>
          <cell r="BL61">
            <v>214000</v>
          </cell>
          <cell r="BM61">
            <v>214000</v>
          </cell>
          <cell r="BN61">
            <v>214000</v>
          </cell>
          <cell r="BO61">
            <v>214000</v>
          </cell>
          <cell r="BP61">
            <v>214000</v>
          </cell>
          <cell r="BQ61">
            <v>214000</v>
          </cell>
          <cell r="BR61">
            <v>214000</v>
          </cell>
          <cell r="BS61">
            <v>214000</v>
          </cell>
          <cell r="BT61">
            <v>214000</v>
          </cell>
          <cell r="BU61">
            <v>214000</v>
          </cell>
          <cell r="BV61">
            <v>214000</v>
          </cell>
          <cell r="BW61">
            <v>214000</v>
          </cell>
          <cell r="BX61">
            <v>214000</v>
          </cell>
          <cell r="BY61">
            <v>214000</v>
          </cell>
        </row>
        <row r="62">
          <cell r="A62" t="str">
            <v>Ending Cash Balance</v>
          </cell>
          <cell r="H62">
            <v>106000</v>
          </cell>
          <cell r="I62">
            <v>125217</v>
          </cell>
          <cell r="J62">
            <v>148000</v>
          </cell>
          <cell r="K62">
            <v>219000</v>
          </cell>
          <cell r="L62">
            <v>213000</v>
          </cell>
          <cell r="M62">
            <v>156000</v>
          </cell>
          <cell r="N62">
            <v>153000</v>
          </cell>
          <cell r="O62">
            <v>151000</v>
          </cell>
          <cell r="P62">
            <v>201000</v>
          </cell>
          <cell r="Q62">
            <v>202000</v>
          </cell>
          <cell r="R62">
            <v>224000</v>
          </cell>
          <cell r="S62">
            <v>253000</v>
          </cell>
          <cell r="T62">
            <v>240000</v>
          </cell>
          <cell r="U62">
            <v>196000</v>
          </cell>
          <cell r="V62">
            <v>195000</v>
          </cell>
          <cell r="W62">
            <v>210000</v>
          </cell>
          <cell r="X62">
            <v>155000</v>
          </cell>
          <cell r="Y62">
            <v>199000</v>
          </cell>
          <cell r="Z62">
            <v>78000</v>
          </cell>
          <cell r="AA62">
            <v>76000</v>
          </cell>
          <cell r="AB62">
            <v>116000</v>
          </cell>
          <cell r="AC62">
            <v>95000</v>
          </cell>
          <cell r="AD62">
            <v>98000</v>
          </cell>
          <cell r="AE62">
            <v>132000</v>
          </cell>
          <cell r="AF62">
            <v>132000</v>
          </cell>
          <cell r="AG62">
            <v>148000</v>
          </cell>
          <cell r="AH62">
            <v>108000</v>
          </cell>
          <cell r="AI62">
            <v>96000</v>
          </cell>
          <cell r="AJ62">
            <v>112000</v>
          </cell>
          <cell r="AK62">
            <v>112000</v>
          </cell>
          <cell r="AL62">
            <v>76000</v>
          </cell>
          <cell r="AM62">
            <v>113000</v>
          </cell>
          <cell r="AN62">
            <v>164000</v>
          </cell>
          <cell r="AO62">
            <v>64000</v>
          </cell>
          <cell r="AP62">
            <v>64000</v>
          </cell>
          <cell r="AQ62">
            <v>129000</v>
          </cell>
          <cell r="AR62">
            <v>114000</v>
          </cell>
          <cell r="AS62">
            <v>123000</v>
          </cell>
          <cell r="AT62">
            <v>188000</v>
          </cell>
          <cell r="AU62">
            <v>188000</v>
          </cell>
          <cell r="AV62">
            <v>226000</v>
          </cell>
          <cell r="AW62">
            <v>205000</v>
          </cell>
          <cell r="AX62">
            <v>202000</v>
          </cell>
          <cell r="AY62">
            <v>214000</v>
          </cell>
          <cell r="AZ62">
            <v>214000</v>
          </cell>
          <cell r="BA62">
            <v>214000</v>
          </cell>
          <cell r="BB62">
            <v>214000</v>
          </cell>
          <cell r="BC62">
            <v>214000</v>
          </cell>
          <cell r="BD62">
            <v>214000</v>
          </cell>
          <cell r="BE62">
            <v>214000</v>
          </cell>
          <cell r="BF62">
            <v>214000</v>
          </cell>
          <cell r="BG62">
            <v>214000</v>
          </cell>
          <cell r="BH62">
            <v>214000</v>
          </cell>
          <cell r="BI62">
            <v>214000</v>
          </cell>
          <cell r="BJ62">
            <v>214000</v>
          </cell>
          <cell r="BK62">
            <v>214000</v>
          </cell>
          <cell r="BL62">
            <v>214000</v>
          </cell>
          <cell r="BM62">
            <v>214000</v>
          </cell>
          <cell r="BN62">
            <v>214000</v>
          </cell>
          <cell r="BO62">
            <v>214000</v>
          </cell>
          <cell r="BP62">
            <v>214000</v>
          </cell>
          <cell r="BQ62">
            <v>214000</v>
          </cell>
          <cell r="BR62">
            <v>214000</v>
          </cell>
          <cell r="BS62">
            <v>214000</v>
          </cell>
          <cell r="BT62">
            <v>214000</v>
          </cell>
          <cell r="BU62">
            <v>214000</v>
          </cell>
          <cell r="BV62">
            <v>214000</v>
          </cell>
          <cell r="BW62">
            <v>214000</v>
          </cell>
          <cell r="BX62">
            <v>214000</v>
          </cell>
          <cell r="BY62">
            <v>214000</v>
          </cell>
        </row>
        <row r="64">
          <cell r="A64" t="str">
            <v>BS Cash</v>
          </cell>
          <cell r="M64">
            <v>160000</v>
          </cell>
          <cell r="N64">
            <v>149000</v>
          </cell>
          <cell r="O64">
            <v>150000</v>
          </cell>
          <cell r="P64">
            <v>201000</v>
          </cell>
          <cell r="Q64">
            <v>201000</v>
          </cell>
          <cell r="R64">
            <v>226000</v>
          </cell>
          <cell r="S64">
            <v>258000</v>
          </cell>
          <cell r="T64">
            <v>234000</v>
          </cell>
          <cell r="U64">
            <v>195000</v>
          </cell>
          <cell r="V64">
            <v>195000</v>
          </cell>
          <cell r="W64">
            <v>210000</v>
          </cell>
          <cell r="X64">
            <v>159000</v>
          </cell>
          <cell r="Y64">
            <v>197000</v>
          </cell>
          <cell r="Z64">
            <v>76000</v>
          </cell>
          <cell r="AA64">
            <v>76000</v>
          </cell>
          <cell r="AB64">
            <v>116000</v>
          </cell>
          <cell r="AC64">
            <v>95000</v>
          </cell>
          <cell r="AD64">
            <v>98000</v>
          </cell>
          <cell r="AE64">
            <v>132000</v>
          </cell>
          <cell r="AF64">
            <v>132000</v>
          </cell>
          <cell r="AG64">
            <v>148000</v>
          </cell>
          <cell r="AH64">
            <v>108000</v>
          </cell>
          <cell r="AI64">
            <v>96000</v>
          </cell>
          <cell r="AJ64">
            <v>112000</v>
          </cell>
          <cell r="AK64">
            <v>112000</v>
          </cell>
          <cell r="AL64">
            <v>76000</v>
          </cell>
          <cell r="AM64">
            <v>113000</v>
          </cell>
          <cell r="AN64">
            <v>164000</v>
          </cell>
          <cell r="AO64">
            <v>64000</v>
          </cell>
          <cell r="AP64">
            <v>64000</v>
          </cell>
          <cell r="AQ64">
            <v>129000</v>
          </cell>
          <cell r="AR64">
            <v>114000</v>
          </cell>
          <cell r="AS64">
            <v>123000</v>
          </cell>
          <cell r="AT64">
            <v>188000</v>
          </cell>
          <cell r="AU64">
            <v>188000</v>
          </cell>
          <cell r="AV64">
            <v>226000</v>
          </cell>
          <cell r="AW64">
            <v>205000</v>
          </cell>
          <cell r="AX64">
            <v>202000</v>
          </cell>
          <cell r="AY64">
            <v>214000</v>
          </cell>
          <cell r="AZ64">
            <v>214000</v>
          </cell>
          <cell r="BA64">
            <v>214000</v>
          </cell>
          <cell r="BB64">
            <v>214000</v>
          </cell>
          <cell r="BC64">
            <v>214000</v>
          </cell>
          <cell r="BD64">
            <v>214000</v>
          </cell>
          <cell r="BE64">
            <v>214000</v>
          </cell>
          <cell r="BF64">
            <v>214000</v>
          </cell>
          <cell r="BG64">
            <v>214000</v>
          </cell>
          <cell r="BH64">
            <v>214000</v>
          </cell>
          <cell r="BI64">
            <v>214000</v>
          </cell>
          <cell r="BJ64">
            <v>214000</v>
          </cell>
          <cell r="BK64">
            <v>214000</v>
          </cell>
          <cell r="BL64">
            <v>214000</v>
          </cell>
          <cell r="BM64">
            <v>214000</v>
          </cell>
          <cell r="BN64">
            <v>214000</v>
          </cell>
          <cell r="BO64">
            <v>214000</v>
          </cell>
          <cell r="BP64">
            <v>214000</v>
          </cell>
          <cell r="BQ64">
            <v>214000</v>
          </cell>
          <cell r="BR64">
            <v>214000</v>
          </cell>
          <cell r="BS64">
            <v>214000</v>
          </cell>
          <cell r="BT64">
            <v>214000</v>
          </cell>
          <cell r="BU64">
            <v>214000</v>
          </cell>
          <cell r="BV64">
            <v>214000</v>
          </cell>
          <cell r="BW64">
            <v>214000</v>
          </cell>
          <cell r="BX64">
            <v>214000</v>
          </cell>
          <cell r="BY64">
            <v>214000</v>
          </cell>
        </row>
        <row r="65">
          <cell r="A65" t="str">
            <v>A = Actual, E = Morgan Stanley Research Estimates</v>
          </cell>
        </row>
        <row r="68">
          <cell r="H68" t="str">
            <v>1999-Q1</v>
          </cell>
          <cell r="I68" t="str">
            <v>1999-Q2</v>
          </cell>
          <cell r="J68" t="str">
            <v>1999-Q3</v>
          </cell>
          <cell r="K68" t="str">
            <v>1999-Q4</v>
          </cell>
          <cell r="L68" t="str">
            <v>1999-FY</v>
          </cell>
          <cell r="M68" t="str">
            <v>2000-Q1</v>
          </cell>
          <cell r="N68" t="str">
            <v>2000-Q2</v>
          </cell>
          <cell r="O68" t="str">
            <v>2000-Q3</v>
          </cell>
          <cell r="P68" t="str">
            <v>2000-Q4</v>
          </cell>
          <cell r="Q68" t="str">
            <v>2000-FY</v>
          </cell>
          <cell r="R68" t="str">
            <v>2001-Q1</v>
          </cell>
          <cell r="S68" t="str">
            <v>2001-Q2</v>
          </cell>
          <cell r="T68" t="str">
            <v>2001-Q3</v>
          </cell>
          <cell r="U68" t="str">
            <v>2001-Q4</v>
          </cell>
          <cell r="V68" t="str">
            <v>2001-FY</v>
          </cell>
          <cell r="W68" t="str">
            <v>2002-Q1</v>
          </cell>
          <cell r="X68" t="str">
            <v>2002-Q2</v>
          </cell>
          <cell r="Y68" t="str">
            <v>2002-Q3</v>
          </cell>
          <cell r="Z68" t="str">
            <v>2002-Q4</v>
          </cell>
          <cell r="AA68" t="str">
            <v>2002-FY</v>
          </cell>
          <cell r="AB68" t="str">
            <v>2003-Q1</v>
          </cell>
          <cell r="AC68" t="str">
            <v>2003-Q2</v>
          </cell>
          <cell r="AD68" t="str">
            <v>2003-Q3</v>
          </cell>
          <cell r="AE68" t="str">
            <v>2003-Q4</v>
          </cell>
          <cell r="AF68" t="str">
            <v>2003-FY</v>
          </cell>
          <cell r="AG68" t="str">
            <v>2004-Q1</v>
          </cell>
          <cell r="AH68" t="str">
            <v>2004-Q2</v>
          </cell>
          <cell r="AI68" t="str">
            <v>2004-Q3</v>
          </cell>
          <cell r="AJ68" t="str">
            <v>2004-Q4</v>
          </cell>
          <cell r="AK68" t="str">
            <v>2004-FY</v>
          </cell>
          <cell r="AL68" t="str">
            <v>2005-Q1</v>
          </cell>
          <cell r="AM68" t="str">
            <v>2005-Q2</v>
          </cell>
          <cell r="AN68" t="str">
            <v>2005-Q3</v>
          </cell>
          <cell r="AO68" t="str">
            <v>2005-Q4</v>
          </cell>
          <cell r="AP68" t="str">
            <v>2005-FY</v>
          </cell>
          <cell r="AQ68" t="str">
            <v>2006-Q1</v>
          </cell>
          <cell r="AR68" t="str">
            <v>2006-Q2</v>
          </cell>
          <cell r="AS68" t="str">
            <v>2006-Q3</v>
          </cell>
          <cell r="AT68" t="str">
            <v>2006-Q4</v>
          </cell>
          <cell r="AU68" t="str">
            <v>2006-FY</v>
          </cell>
          <cell r="AV68" t="str">
            <v>2007-Q1</v>
          </cell>
          <cell r="AW68" t="str">
            <v>2007-Q2</v>
          </cell>
          <cell r="AX68" t="str">
            <v>2007-Q3</v>
          </cell>
          <cell r="AY68" t="str">
            <v>2007-Q4</v>
          </cell>
          <cell r="AZ68" t="str">
            <v>2007-FY</v>
          </cell>
          <cell r="BA68" t="str">
            <v>2008-Q1</v>
          </cell>
          <cell r="BB68" t="str">
            <v>2008-Q2</v>
          </cell>
          <cell r="BC68" t="str">
            <v>2008-Q3</v>
          </cell>
          <cell r="BD68" t="str">
            <v>2008-Q4</v>
          </cell>
          <cell r="BE68" t="str">
            <v>2008-FY</v>
          </cell>
          <cell r="BF68" t="str">
            <v>2009-Q1</v>
          </cell>
          <cell r="BG68" t="str">
            <v>2009-Q2</v>
          </cell>
          <cell r="BH68" t="str">
            <v>2009-Q3</v>
          </cell>
          <cell r="BI68" t="str">
            <v>2009-Q4</v>
          </cell>
          <cell r="BJ68" t="str">
            <v>2009-FY</v>
          </cell>
          <cell r="BK68" t="str">
            <v>2010-Q1</v>
          </cell>
          <cell r="BL68" t="str">
            <v>2010-Q2</v>
          </cell>
          <cell r="BM68" t="str">
            <v>2010-Q3</v>
          </cell>
          <cell r="BN68" t="str">
            <v>2010-Q4</v>
          </cell>
          <cell r="BO68" t="str">
            <v>2010-FY</v>
          </cell>
          <cell r="BP68" t="str">
            <v>2011-Q1</v>
          </cell>
          <cell r="BQ68" t="str">
            <v>2011-Q2</v>
          </cell>
          <cell r="BR68" t="str">
            <v>2011-Q3</v>
          </cell>
          <cell r="BS68" t="str">
            <v>2011-Q4</v>
          </cell>
          <cell r="BT68" t="str">
            <v>2011-FY</v>
          </cell>
          <cell r="BU68" t="str">
            <v>2012-Q1</v>
          </cell>
          <cell r="BV68" t="str">
            <v>2012-Q2</v>
          </cell>
          <cell r="BW68" t="str">
            <v>2012-Q3</v>
          </cell>
          <cell r="BX68" t="str">
            <v>2012-Q4</v>
          </cell>
          <cell r="BY68" t="str">
            <v>2012-FY</v>
          </cell>
        </row>
      </sheetData>
      <sheetData sheetId="9" refreshError="1">
        <row r="2">
          <cell r="AL2">
            <v>1.5691112920398322</v>
          </cell>
          <cell r="AQ2">
            <v>1.5205988724218078</v>
          </cell>
          <cell r="AV2">
            <v>1.6040318785903549</v>
          </cell>
        </row>
        <row r="4">
          <cell r="E4" t="str">
            <v>2001A</v>
          </cell>
          <cell r="J4" t="str">
            <v>2002A</v>
          </cell>
          <cell r="O4" t="str">
            <v>2003A</v>
          </cell>
          <cell r="T4" t="str">
            <v>2004A</v>
          </cell>
          <cell r="Y4" t="str">
            <v>2005A</v>
          </cell>
          <cell r="AD4" t="str">
            <v>2006A</v>
          </cell>
          <cell r="AI4" t="str">
            <v>2007E</v>
          </cell>
          <cell r="AN4" t="str">
            <v>2008E</v>
          </cell>
          <cell r="AS4" t="str">
            <v>2009E</v>
          </cell>
          <cell r="AX4" t="str">
            <v>2010E</v>
          </cell>
          <cell r="BC4" t="str">
            <v>2011E</v>
          </cell>
          <cell r="BH4" t="str">
            <v>2012E</v>
          </cell>
        </row>
        <row r="5">
          <cell r="E5" t="str">
            <v>1QA</v>
          </cell>
          <cell r="F5" t="str">
            <v>2QA</v>
          </cell>
          <cell r="G5" t="str">
            <v>3QA</v>
          </cell>
          <cell r="H5" t="str">
            <v xml:space="preserve">4QA </v>
          </cell>
          <cell r="I5">
            <v>0</v>
          </cell>
          <cell r="J5" t="str">
            <v>1QA</v>
          </cell>
          <cell r="K5" t="str">
            <v>2QA</v>
          </cell>
          <cell r="L5" t="str">
            <v>3QA</v>
          </cell>
          <cell r="M5" t="str">
            <v xml:space="preserve">4QA </v>
          </cell>
          <cell r="N5" t="str">
            <v>2002A</v>
          </cell>
          <cell r="O5" t="str">
            <v>1QA</v>
          </cell>
          <cell r="P5" t="str">
            <v>2QA</v>
          </cell>
          <cell r="Q5" t="str">
            <v>3QA</v>
          </cell>
          <cell r="R5" t="str">
            <v xml:space="preserve">4QA </v>
          </cell>
          <cell r="S5" t="str">
            <v>2003A</v>
          </cell>
          <cell r="T5" t="str">
            <v>1QA</v>
          </cell>
          <cell r="U5" t="str">
            <v>2QA</v>
          </cell>
          <cell r="V5" t="str">
            <v>3QA</v>
          </cell>
          <cell r="W5" t="str">
            <v xml:space="preserve">4QA </v>
          </cell>
          <cell r="X5" t="str">
            <v>2004A</v>
          </cell>
          <cell r="Y5" t="str">
            <v>1QA</v>
          </cell>
          <cell r="Z5" t="str">
            <v>2QA</v>
          </cell>
          <cell r="AA5" t="str">
            <v>3QA</v>
          </cell>
          <cell r="AB5" t="str">
            <v xml:space="preserve">4QA </v>
          </cell>
          <cell r="AC5" t="str">
            <v>2005A</v>
          </cell>
          <cell r="AD5" t="str">
            <v>1QA</v>
          </cell>
          <cell r="AE5" t="str">
            <v>2QA</v>
          </cell>
          <cell r="AF5" t="str">
            <v>3QA</v>
          </cell>
          <cell r="AG5" t="str">
            <v>4QA</v>
          </cell>
          <cell r="AH5" t="str">
            <v>2006A</v>
          </cell>
          <cell r="AI5" t="str">
            <v>1QA</v>
          </cell>
          <cell r="AJ5" t="str">
            <v>2QA</v>
          </cell>
          <cell r="AK5" t="str">
            <v>3QE</v>
          </cell>
          <cell r="AL5" t="str">
            <v xml:space="preserve">4QE </v>
          </cell>
          <cell r="AM5" t="str">
            <v>2007E</v>
          </cell>
          <cell r="AN5" t="str">
            <v>1QE</v>
          </cell>
          <cell r="AO5" t="str">
            <v>2QE</v>
          </cell>
          <cell r="AP5" t="str">
            <v>3QE</v>
          </cell>
          <cell r="AQ5" t="str">
            <v xml:space="preserve">4QE </v>
          </cell>
          <cell r="AR5" t="str">
            <v>2008E</v>
          </cell>
          <cell r="AS5" t="str">
            <v>1QE</v>
          </cell>
          <cell r="AT5" t="str">
            <v>2QE</v>
          </cell>
          <cell r="AU5" t="str">
            <v>3QE</v>
          </cell>
          <cell r="AV5" t="str">
            <v xml:space="preserve">4QE </v>
          </cell>
          <cell r="AW5" t="str">
            <v>2009E</v>
          </cell>
          <cell r="AX5" t="str">
            <v>1QE</v>
          </cell>
          <cell r="AY5" t="str">
            <v>2QE</v>
          </cell>
          <cell r="AZ5" t="str">
            <v>3QE</v>
          </cell>
          <cell r="BA5" t="str">
            <v xml:space="preserve">4QE </v>
          </cell>
          <cell r="BB5" t="str">
            <v>2010E</v>
          </cell>
          <cell r="BC5" t="str">
            <v>1QE</v>
          </cell>
          <cell r="BD5" t="str">
            <v>2QE</v>
          </cell>
          <cell r="BE5" t="str">
            <v>3QE</v>
          </cell>
          <cell r="BF5" t="str">
            <v xml:space="preserve">4QE </v>
          </cell>
          <cell r="BG5" t="str">
            <v>2011E</v>
          </cell>
          <cell r="BH5" t="str">
            <v>1QE</v>
          </cell>
          <cell r="BI5" t="str">
            <v>2QE</v>
          </cell>
          <cell r="BJ5" t="str">
            <v>3QE</v>
          </cell>
          <cell r="BK5" t="str">
            <v xml:space="preserve">4QE </v>
          </cell>
          <cell r="BL5" t="str">
            <v>2012E</v>
          </cell>
        </row>
        <row r="9">
          <cell r="A9" t="str">
            <v>OCCUPANCY ANALYSIS AND FORECAST</v>
          </cell>
        </row>
        <row r="10">
          <cell r="A10" t="str">
            <v>Assumed Revenue Growth (Q/Q)</v>
          </cell>
          <cell r="AN10">
            <v>1E-3</v>
          </cell>
          <cell r="AO10">
            <v>1E-3</v>
          </cell>
          <cell r="AP10">
            <v>1E-3</v>
          </cell>
          <cell r="AQ10">
            <v>1E-3</v>
          </cell>
          <cell r="AS10">
            <v>1E-3</v>
          </cell>
          <cell r="AT10">
            <v>1E-3</v>
          </cell>
          <cell r="AU10">
            <v>1E-3</v>
          </cell>
          <cell r="AV10">
            <v>1E-3</v>
          </cell>
          <cell r="AX10">
            <v>1E-3</v>
          </cell>
          <cell r="AY10">
            <v>1E-3</v>
          </cell>
          <cell r="AZ10">
            <v>1E-3</v>
          </cell>
          <cell r="BA10">
            <v>1E-3</v>
          </cell>
          <cell r="BC10">
            <v>1E-3</v>
          </cell>
          <cell r="BD10">
            <v>1E-3</v>
          </cell>
          <cell r="BE10">
            <v>1E-3</v>
          </cell>
          <cell r="BF10">
            <v>1E-3</v>
          </cell>
          <cell r="BH10">
            <v>1E-3</v>
          </cell>
          <cell r="BI10">
            <v>1E-3</v>
          </cell>
          <cell r="BJ10">
            <v>1E-3</v>
          </cell>
          <cell r="BK10">
            <v>1E-3</v>
          </cell>
        </row>
        <row r="11">
          <cell r="A11" t="str">
            <v xml:space="preserve"> </v>
          </cell>
        </row>
        <row r="12">
          <cell r="A12" t="str">
            <v>Current Occupancy</v>
          </cell>
          <cell r="Y12">
            <v>0.92700000000000005</v>
          </cell>
          <cell r="Z12">
            <v>0.93799999999999994</v>
          </cell>
          <cell r="AA12">
            <v>0.94</v>
          </cell>
          <cell r="AB12">
            <v>0.94</v>
          </cell>
          <cell r="AD12">
            <v>0.94599999999999995</v>
          </cell>
          <cell r="AE12">
            <v>0.94599999999999995</v>
          </cell>
          <cell r="AF12">
            <v>0.94899999999999995</v>
          </cell>
          <cell r="AG12">
            <v>0.96</v>
          </cell>
          <cell r="AI12">
            <v>0.95099999999999996</v>
          </cell>
          <cell r="AJ12">
            <v>0.95</v>
          </cell>
          <cell r="AK12">
            <v>0.94599999999999995</v>
          </cell>
          <cell r="AL12">
            <v>0.95</v>
          </cell>
          <cell r="AN12">
            <v>0.95199999999999996</v>
          </cell>
          <cell r="AO12">
            <v>0.95199999999999996</v>
          </cell>
          <cell r="AP12">
            <v>0.95199999999999996</v>
          </cell>
          <cell r="AQ12">
            <v>0.95199999999999996</v>
          </cell>
          <cell r="AS12">
            <v>0.95199999999999996</v>
          </cell>
          <cell r="AT12">
            <v>0.95099999999999996</v>
          </cell>
          <cell r="AU12">
            <v>0.95</v>
          </cell>
          <cell r="AV12">
            <v>0.94899999999999995</v>
          </cell>
          <cell r="AX12">
            <v>0.94799999999999995</v>
          </cell>
          <cell r="AY12">
            <v>0.94699999999999995</v>
          </cell>
          <cell r="AZ12">
            <v>0.94599999999999995</v>
          </cell>
          <cell r="BA12">
            <v>0.94499999999999995</v>
          </cell>
          <cell r="BC12">
            <v>0.94399999999999995</v>
          </cell>
          <cell r="BD12">
            <v>0.94299999999999995</v>
          </cell>
          <cell r="BE12">
            <v>0.94199999999999995</v>
          </cell>
          <cell r="BF12">
            <v>0.94099999999999995</v>
          </cell>
          <cell r="BH12">
            <v>0.94</v>
          </cell>
          <cell r="BI12">
            <v>0.93899999999999995</v>
          </cell>
          <cell r="BJ12">
            <v>0.93799999999999994</v>
          </cell>
          <cell r="BK12">
            <v>0.93699999999999994</v>
          </cell>
        </row>
        <row r="13">
          <cell r="A13" t="str">
            <v>Change in Occupancy</v>
          </cell>
          <cell r="AL13">
            <v>2E-3</v>
          </cell>
          <cell r="AN13">
            <v>0</v>
          </cell>
          <cell r="AO13">
            <v>0</v>
          </cell>
          <cell r="AP13">
            <v>0</v>
          </cell>
          <cell r="AQ13">
            <v>0</v>
          </cell>
          <cell r="AS13">
            <v>-1E-3</v>
          </cell>
          <cell r="AT13">
            <v>-1E-3</v>
          </cell>
          <cell r="AU13">
            <v>-1E-3</v>
          </cell>
          <cell r="AV13">
            <v>-1E-3</v>
          </cell>
          <cell r="AX13">
            <v>-1E-3</v>
          </cell>
          <cell r="AY13">
            <v>-1E-3</v>
          </cell>
          <cell r="AZ13">
            <v>-1E-3</v>
          </cell>
          <cell r="BA13">
            <v>-1E-3</v>
          </cell>
          <cell r="BC13">
            <v>-1E-3</v>
          </cell>
          <cell r="BD13">
            <v>-1E-3</v>
          </cell>
          <cell r="BE13">
            <v>-1E-3</v>
          </cell>
          <cell r="BF13">
            <v>-1E-3</v>
          </cell>
          <cell r="BH13">
            <v>-1E-3</v>
          </cell>
          <cell r="BI13">
            <v>-1E-3</v>
          </cell>
          <cell r="BJ13">
            <v>-1E-3</v>
          </cell>
          <cell r="BK13">
            <v>-1E-3</v>
          </cell>
        </row>
        <row r="14">
          <cell r="A14" t="str">
            <v>Actual/Anticipated Occ</v>
          </cell>
          <cell r="Y14">
            <v>0.93799999999999994</v>
          </cell>
          <cell r="Z14">
            <v>0.94</v>
          </cell>
          <cell r="AA14">
            <v>0.94</v>
          </cell>
          <cell r="AB14">
            <v>0.94599999999999995</v>
          </cell>
          <cell r="AC14">
            <v>1.8999999999999906E-2</v>
          </cell>
          <cell r="AD14">
            <v>0.94599999999999995</v>
          </cell>
          <cell r="AE14">
            <v>0.94899999999999995</v>
          </cell>
          <cell r="AF14">
            <v>0.96</v>
          </cell>
          <cell r="AG14">
            <v>0.95099999999999996</v>
          </cell>
          <cell r="AH14">
            <v>5.0000000000000044E-3</v>
          </cell>
          <cell r="AI14">
            <v>0.95</v>
          </cell>
          <cell r="AJ14">
            <v>0.94599999999999995</v>
          </cell>
          <cell r="AK14">
            <v>0.95</v>
          </cell>
          <cell r="AL14">
            <v>0.95199999999999996</v>
          </cell>
          <cell r="AM14">
            <v>1.0000000000000009E-3</v>
          </cell>
          <cell r="AN14">
            <v>0.95199999999999996</v>
          </cell>
          <cell r="AO14">
            <v>0.95199999999999996</v>
          </cell>
          <cell r="AP14">
            <v>0.95199999999999996</v>
          </cell>
          <cell r="AQ14">
            <v>0.95199999999999996</v>
          </cell>
          <cell r="AS14">
            <v>0.95099999999999996</v>
          </cell>
          <cell r="AT14">
            <v>0.95</v>
          </cell>
          <cell r="AU14">
            <v>0.94899999999999995</v>
          </cell>
          <cell r="AV14">
            <v>0.94799999999999995</v>
          </cell>
          <cell r="AX14">
            <v>0.94699999999999995</v>
          </cell>
          <cell r="AY14">
            <v>0.94599999999999995</v>
          </cell>
          <cell r="AZ14">
            <v>0.94499999999999995</v>
          </cell>
          <cell r="BA14">
            <v>0.94399999999999995</v>
          </cell>
          <cell r="BC14">
            <v>0.94299999999999995</v>
          </cell>
          <cell r="BD14">
            <v>0.94199999999999995</v>
          </cell>
          <cell r="BE14">
            <v>0.94099999999999995</v>
          </cell>
          <cell r="BF14">
            <v>0.94</v>
          </cell>
          <cell r="BH14">
            <v>0.93899999999999995</v>
          </cell>
          <cell r="BI14">
            <v>0.93799999999999994</v>
          </cell>
          <cell r="BJ14">
            <v>0.93699999999999994</v>
          </cell>
          <cell r="BK14">
            <v>0.93599999999999994</v>
          </cell>
        </row>
        <row r="16">
          <cell r="A16" t="str">
            <v>Office Square Feet</v>
          </cell>
          <cell r="Y16">
            <v>37337</v>
          </cell>
          <cell r="Z16">
            <v>37337</v>
          </cell>
          <cell r="AA16">
            <v>37337</v>
          </cell>
          <cell r="AB16">
            <v>37337</v>
          </cell>
          <cell r="AC16">
            <v>37337</v>
          </cell>
          <cell r="AD16">
            <v>36807</v>
          </cell>
          <cell r="AE16">
            <v>36516</v>
          </cell>
          <cell r="AF16">
            <v>37788</v>
          </cell>
          <cell r="AG16">
            <v>75795</v>
          </cell>
          <cell r="AH16">
            <v>75795</v>
          </cell>
          <cell r="AI16">
            <v>74395</v>
          </cell>
          <cell r="AJ16">
            <v>75036</v>
          </cell>
          <cell r="AK16">
            <v>74319</v>
          </cell>
          <cell r="AL16">
            <v>73178</v>
          </cell>
          <cell r="AM16">
            <v>73178</v>
          </cell>
          <cell r="AN16">
            <v>73178</v>
          </cell>
          <cell r="AO16">
            <v>73178</v>
          </cell>
          <cell r="AP16">
            <v>73178</v>
          </cell>
          <cell r="AQ16">
            <v>73178</v>
          </cell>
          <cell r="AR16">
            <v>73178</v>
          </cell>
          <cell r="AS16">
            <v>73178</v>
          </cell>
          <cell r="AT16">
            <v>73178</v>
          </cell>
          <cell r="AU16">
            <v>73178</v>
          </cell>
          <cell r="AV16">
            <v>73178</v>
          </cell>
          <cell r="AW16">
            <v>73178</v>
          </cell>
          <cell r="AX16">
            <v>73178</v>
          </cell>
          <cell r="AY16">
            <v>73178</v>
          </cell>
          <cell r="AZ16">
            <v>73178</v>
          </cell>
          <cell r="BA16">
            <v>73178</v>
          </cell>
          <cell r="BB16">
            <v>73178</v>
          </cell>
          <cell r="BC16">
            <v>73178</v>
          </cell>
          <cell r="BD16">
            <v>73178</v>
          </cell>
          <cell r="BE16">
            <v>73178</v>
          </cell>
          <cell r="BF16">
            <v>73178</v>
          </cell>
          <cell r="BG16">
            <v>73178</v>
          </cell>
          <cell r="BH16">
            <v>73178</v>
          </cell>
          <cell r="BI16">
            <v>73178</v>
          </cell>
          <cell r="BJ16">
            <v>73178</v>
          </cell>
          <cell r="BK16">
            <v>73178</v>
          </cell>
          <cell r="BL16">
            <v>73178</v>
          </cell>
        </row>
        <row r="17">
          <cell r="A17" t="str">
            <v>Square Feet Expiring</v>
          </cell>
          <cell r="AD17">
            <v>365.75</v>
          </cell>
          <cell r="AE17">
            <v>323.66666666666669</v>
          </cell>
          <cell r="AF17">
            <v>275.5</v>
          </cell>
          <cell r="AG17">
            <v>275.5</v>
          </cell>
          <cell r="AH17">
            <v>971</v>
          </cell>
          <cell r="AI17">
            <v>787.5</v>
          </cell>
          <cell r="AJ17">
            <v>694</v>
          </cell>
          <cell r="AK17">
            <v>629</v>
          </cell>
          <cell r="AL17">
            <v>507</v>
          </cell>
          <cell r="AM17">
            <v>507</v>
          </cell>
          <cell r="AN17">
            <v>743.75</v>
          </cell>
          <cell r="AO17">
            <v>743.75</v>
          </cell>
          <cell r="AP17">
            <v>743.75</v>
          </cell>
          <cell r="AQ17">
            <v>743.75</v>
          </cell>
          <cell r="AR17">
            <v>2975</v>
          </cell>
          <cell r="AS17">
            <v>812.5</v>
          </cell>
          <cell r="AT17">
            <v>812.5</v>
          </cell>
          <cell r="AU17">
            <v>812.5</v>
          </cell>
          <cell r="AV17">
            <v>812.5</v>
          </cell>
          <cell r="AW17">
            <v>3250</v>
          </cell>
          <cell r="AX17">
            <v>1066.5</v>
          </cell>
          <cell r="AY17">
            <v>1066.5</v>
          </cell>
          <cell r="AZ17">
            <v>1066.5</v>
          </cell>
          <cell r="BA17">
            <v>1066.5</v>
          </cell>
          <cell r="BB17">
            <v>4266</v>
          </cell>
          <cell r="BC17">
            <v>1318</v>
          </cell>
          <cell r="BD17">
            <v>1318</v>
          </cell>
          <cell r="BE17">
            <v>1318</v>
          </cell>
          <cell r="BF17">
            <v>1318</v>
          </cell>
          <cell r="BG17">
            <v>5272</v>
          </cell>
          <cell r="BH17">
            <v>1398.5</v>
          </cell>
          <cell r="BI17">
            <v>1398.5</v>
          </cell>
          <cell r="BJ17">
            <v>1398.5</v>
          </cell>
          <cell r="BK17">
            <v>1398.5</v>
          </cell>
          <cell r="BL17">
            <v>5594</v>
          </cell>
        </row>
        <row r="18">
          <cell r="A18" t="str">
            <v>Net Rent per sq. ft. for Expiring Leases</v>
          </cell>
          <cell r="Z18">
            <v>24</v>
          </cell>
          <cell r="AA18">
            <v>23</v>
          </cell>
          <cell r="AB18">
            <v>23</v>
          </cell>
          <cell r="AD18">
            <v>14</v>
          </cell>
          <cell r="AE18">
            <v>17</v>
          </cell>
          <cell r="AF18">
            <v>19</v>
          </cell>
          <cell r="AG18">
            <v>19</v>
          </cell>
          <cell r="AI18">
            <v>21</v>
          </cell>
          <cell r="AJ18">
            <v>21</v>
          </cell>
          <cell r="AK18">
            <v>20</v>
          </cell>
          <cell r="AL18">
            <v>18</v>
          </cell>
          <cell r="AN18">
            <v>22</v>
          </cell>
          <cell r="AO18">
            <v>22</v>
          </cell>
          <cell r="AP18">
            <v>22</v>
          </cell>
          <cell r="AQ18">
            <v>22</v>
          </cell>
          <cell r="AS18">
            <v>20</v>
          </cell>
          <cell r="AT18">
            <v>20</v>
          </cell>
          <cell r="AU18">
            <v>20</v>
          </cell>
          <cell r="AV18">
            <v>20</v>
          </cell>
          <cell r="AX18">
            <v>22</v>
          </cell>
          <cell r="AY18">
            <v>22</v>
          </cell>
          <cell r="AZ18">
            <v>22</v>
          </cell>
          <cell r="BA18">
            <v>22</v>
          </cell>
          <cell r="BC18">
            <v>25</v>
          </cell>
          <cell r="BD18">
            <v>25</v>
          </cell>
          <cell r="BE18">
            <v>25</v>
          </cell>
          <cell r="BF18">
            <v>25</v>
          </cell>
          <cell r="BH18">
            <v>22</v>
          </cell>
          <cell r="BI18">
            <v>22</v>
          </cell>
          <cell r="BJ18">
            <v>22</v>
          </cell>
          <cell r="BK18">
            <v>22</v>
          </cell>
        </row>
        <row r="19">
          <cell r="A19" t="str">
            <v>Operating Margin</v>
          </cell>
          <cell r="T19">
            <v>0.66051660516605171</v>
          </cell>
          <cell r="U19">
            <v>0.66135458167330674</v>
          </cell>
          <cell r="V19">
            <v>0.61538461538461542</v>
          </cell>
          <cell r="W19">
            <v>0.60931899641577059</v>
          </cell>
          <cell r="X19">
            <v>0.63594040968342647</v>
          </cell>
          <cell r="Y19">
            <v>0.62825278810408924</v>
          </cell>
          <cell r="Z19">
            <v>0.60885608856088558</v>
          </cell>
          <cell r="AA19">
            <v>0.59706959706959706</v>
          </cell>
          <cell r="AB19">
            <v>0.58148148148148149</v>
          </cell>
          <cell r="AC19">
            <v>0.60387811634349031</v>
          </cell>
          <cell r="AD19">
            <v>0.58041958041958042</v>
          </cell>
          <cell r="AE19">
            <v>0.57432432432432434</v>
          </cell>
          <cell r="AF19">
            <v>0.56578947368421051</v>
          </cell>
          <cell r="AG19">
            <v>0.60685483870967738</v>
          </cell>
          <cell r="AH19">
            <v>0.58538350217076696</v>
          </cell>
          <cell r="AI19">
            <v>0.60233918128654973</v>
          </cell>
          <cell r="AJ19">
            <v>0.60305343511450382</v>
          </cell>
          <cell r="AK19">
            <v>0.59409594095940954</v>
          </cell>
          <cell r="AL19">
            <v>0.57400722021660655</v>
          </cell>
          <cell r="AN19">
            <v>0.57400722021660655</v>
          </cell>
          <cell r="AO19">
            <v>0.57400722021660655</v>
          </cell>
          <cell r="AP19">
            <v>0.57400722021660655</v>
          </cell>
          <cell r="AQ19">
            <v>0.57400722021660655</v>
          </cell>
          <cell r="AS19">
            <v>0.57400722021660655</v>
          </cell>
          <cell r="AT19">
            <v>0.57400722021660655</v>
          </cell>
          <cell r="AU19">
            <v>0.57400722021660655</v>
          </cell>
          <cell r="AV19">
            <v>0.57400722021660655</v>
          </cell>
          <cell r="AX19">
            <v>0.58933918128654972</v>
          </cell>
          <cell r="AY19">
            <v>0.59005343511450381</v>
          </cell>
          <cell r="AZ19">
            <v>0.58109594095940953</v>
          </cell>
          <cell r="BA19">
            <v>0.56100722021660654</v>
          </cell>
          <cell r="BC19">
            <v>0.58633918128654972</v>
          </cell>
          <cell r="BD19">
            <v>0.58705343511450381</v>
          </cell>
          <cell r="BE19">
            <v>0.57809594095940953</v>
          </cell>
          <cell r="BF19">
            <v>0.55800722021660654</v>
          </cell>
          <cell r="BH19">
            <v>0.58333918128654971</v>
          </cell>
          <cell r="BI19">
            <v>0.58405343511450381</v>
          </cell>
          <cell r="BJ19">
            <v>0.57509594095940952</v>
          </cell>
          <cell r="BK19">
            <v>0.55500722021660653</v>
          </cell>
        </row>
        <row r="20">
          <cell r="A20" t="str">
            <v>Est. Gross Rent</v>
          </cell>
          <cell r="AD20">
            <v>24.120481927710845</v>
          </cell>
          <cell r="AE20">
            <v>29.599999999999998</v>
          </cell>
          <cell r="AF20">
            <v>33.581395348837212</v>
          </cell>
          <cell r="AG20">
            <v>31.308970099667775</v>
          </cell>
          <cell r="AI20">
            <v>34.864077669902912</v>
          </cell>
          <cell r="AJ20">
            <v>34.822784810126585</v>
          </cell>
          <cell r="AK20">
            <v>33.664596273291927</v>
          </cell>
          <cell r="AL20">
            <v>31.358490566037734</v>
          </cell>
          <cell r="AN20">
            <v>38.327044025157228</v>
          </cell>
          <cell r="AO20">
            <v>38.327044025157228</v>
          </cell>
          <cell r="AP20">
            <v>38.327044025157228</v>
          </cell>
          <cell r="AQ20">
            <v>38.327044025157228</v>
          </cell>
          <cell r="AS20">
            <v>34.842767295597483</v>
          </cell>
          <cell r="AT20">
            <v>34.842767295597483</v>
          </cell>
          <cell r="AU20">
            <v>34.842767295597483</v>
          </cell>
          <cell r="AV20">
            <v>34.842767295597483</v>
          </cell>
          <cell r="AX20">
            <v>37.329946317116011</v>
          </cell>
          <cell r="AY20">
            <v>37.284758787533796</v>
          </cell>
          <cell r="AZ20">
            <v>37.859496942410644</v>
          </cell>
          <cell r="BA20">
            <v>39.215181564874932</v>
          </cell>
          <cell r="BC20">
            <v>42.637437165882069</v>
          </cell>
          <cell r="BD20">
            <v>42.58556121918236</v>
          </cell>
          <cell r="BE20">
            <v>43.245416943267124</v>
          </cell>
          <cell r="BF20">
            <v>44.802287666269862</v>
          </cell>
          <cell r="BH20">
            <v>37.713907629998694</v>
          </cell>
          <cell r="BI20">
            <v>37.667786331377187</v>
          </cell>
          <cell r="BJ20">
            <v>38.254486657127643</v>
          </cell>
          <cell r="BK20">
            <v>39.639123958448515</v>
          </cell>
        </row>
        <row r="21">
          <cell r="A21" t="str">
            <v>New rent rate growth</v>
          </cell>
          <cell r="Z21">
            <v>0.05</v>
          </cell>
          <cell r="AA21">
            <v>0.05</v>
          </cell>
          <cell r="AB21">
            <v>0.05</v>
          </cell>
          <cell r="AD21">
            <v>0</v>
          </cell>
          <cell r="AE21">
            <v>0.41</v>
          </cell>
          <cell r="AF21">
            <v>0.1</v>
          </cell>
          <cell r="AG21">
            <v>0.1</v>
          </cell>
          <cell r="AI21">
            <v>0.3</v>
          </cell>
          <cell r="AJ21">
            <v>0.33</v>
          </cell>
          <cell r="AK21">
            <v>0.3</v>
          </cell>
          <cell r="AL21">
            <v>0.3</v>
          </cell>
          <cell r="AN21">
            <v>0.2</v>
          </cell>
          <cell r="AO21">
            <v>0.2</v>
          </cell>
          <cell r="AP21">
            <v>0.2</v>
          </cell>
          <cell r="AQ21">
            <v>0.2</v>
          </cell>
          <cell r="AS21">
            <v>0.25</v>
          </cell>
          <cell r="AT21">
            <v>0.25</v>
          </cell>
          <cell r="AU21">
            <v>0.25</v>
          </cell>
          <cell r="AV21">
            <v>0.25</v>
          </cell>
          <cell r="AX21">
            <v>0.15</v>
          </cell>
          <cell r="AY21">
            <v>0.15</v>
          </cell>
          <cell r="AZ21">
            <v>0.15</v>
          </cell>
          <cell r="BA21">
            <v>0.15</v>
          </cell>
          <cell r="BC21">
            <v>0.1</v>
          </cell>
          <cell r="BD21">
            <v>0.1</v>
          </cell>
          <cell r="BE21">
            <v>0.1</v>
          </cell>
          <cell r="BF21">
            <v>0.1</v>
          </cell>
          <cell r="BH21">
            <v>0.05</v>
          </cell>
          <cell r="BI21">
            <v>0.05</v>
          </cell>
          <cell r="BJ21">
            <v>0.05</v>
          </cell>
          <cell r="BK21">
            <v>0.05</v>
          </cell>
        </row>
        <row r="22">
          <cell r="A22" t="str">
            <v xml:space="preserve">New Rent per s. f. </v>
          </cell>
          <cell r="Z22">
            <v>25.200000000000003</v>
          </cell>
          <cell r="AA22">
            <v>24.150000000000002</v>
          </cell>
          <cell r="AB22">
            <v>24.150000000000002</v>
          </cell>
          <cell r="AD22">
            <v>24.120481927710845</v>
          </cell>
          <cell r="AE22">
            <v>41.735999999999997</v>
          </cell>
          <cell r="AF22">
            <v>36.939534883720938</v>
          </cell>
          <cell r="AG22">
            <v>34.439867109634555</v>
          </cell>
          <cell r="AI22">
            <v>45.323300970873788</v>
          </cell>
          <cell r="AJ22">
            <v>46.314303797468362</v>
          </cell>
          <cell r="AK22">
            <v>43.76397515527951</v>
          </cell>
          <cell r="AL22">
            <v>40.766037735849054</v>
          </cell>
          <cell r="AN22">
            <v>45.992452830188675</v>
          </cell>
          <cell r="AO22">
            <v>45.992452830188675</v>
          </cell>
          <cell r="AP22">
            <v>45.992452830188675</v>
          </cell>
          <cell r="AQ22">
            <v>45.992452830188675</v>
          </cell>
          <cell r="AS22">
            <v>43.55345911949685</v>
          </cell>
          <cell r="AT22">
            <v>43.55345911949685</v>
          </cell>
          <cell r="AU22">
            <v>43.55345911949685</v>
          </cell>
          <cell r="AV22">
            <v>43.55345911949685</v>
          </cell>
          <cell r="AX22">
            <v>42.929438264683412</v>
          </cell>
          <cell r="AY22">
            <v>42.877472605663861</v>
          </cell>
          <cell r="AZ22">
            <v>43.53842148377224</v>
          </cell>
          <cell r="BA22">
            <v>45.097458799606166</v>
          </cell>
          <cell r="BC22">
            <v>46.901180882470278</v>
          </cell>
          <cell r="BD22">
            <v>46.844117341100599</v>
          </cell>
          <cell r="BE22">
            <v>47.569958637593842</v>
          </cell>
          <cell r="BF22">
            <v>49.282516432896855</v>
          </cell>
          <cell r="BH22">
            <v>39.59960301149863</v>
          </cell>
          <cell r="BI22">
            <v>39.551175647946046</v>
          </cell>
          <cell r="BJ22">
            <v>40.167210989984028</v>
          </cell>
          <cell r="BK22">
            <v>41.621080156370944</v>
          </cell>
        </row>
        <row r="24">
          <cell r="A24" t="str">
            <v>Net impact of change in Occupancy</v>
          </cell>
          <cell r="Z24">
            <v>470.44620000000043</v>
          </cell>
          <cell r="AA24">
            <v>0</v>
          </cell>
          <cell r="AB24">
            <v>1352.5328250000014</v>
          </cell>
          <cell r="AD24">
            <v>0</v>
          </cell>
          <cell r="AE24">
            <v>1143.023832000001</v>
          </cell>
          <cell r="AF24">
            <v>3838.6456465116321</v>
          </cell>
          <cell r="AG24">
            <v>-5873.3318870431958</v>
          </cell>
          <cell r="AI24">
            <v>-842.95674393203967</v>
          </cell>
          <cell r="AJ24">
            <v>-3475.2400997468394</v>
          </cell>
          <cell r="AK24">
            <v>3252.4948695652206</v>
          </cell>
          <cell r="AL24">
            <v>1491.5885547169823</v>
          </cell>
          <cell r="AN24">
            <v>0</v>
          </cell>
          <cell r="AO24">
            <v>0</v>
          </cell>
          <cell r="AP24">
            <v>0</v>
          </cell>
          <cell r="AQ24">
            <v>0</v>
          </cell>
          <cell r="AS24">
            <v>-796.78875786163587</v>
          </cell>
          <cell r="AT24">
            <v>-796.78875786163587</v>
          </cell>
          <cell r="AU24">
            <v>-796.78875786163587</v>
          </cell>
          <cell r="AV24">
            <v>-796.78875786163587</v>
          </cell>
          <cell r="AX24">
            <v>-785.37260833325138</v>
          </cell>
          <cell r="AY24">
            <v>-784.42192258431828</v>
          </cell>
          <cell r="AZ24">
            <v>-796.51365183487201</v>
          </cell>
          <cell r="BA24">
            <v>-825.03546000939582</v>
          </cell>
          <cell r="BC24">
            <v>-858.03365365435332</v>
          </cell>
          <cell r="BD24">
            <v>-856.98970469676567</v>
          </cell>
          <cell r="BE24">
            <v>-870.26860829546138</v>
          </cell>
          <cell r="BF24">
            <v>-901.59899688163239</v>
          </cell>
          <cell r="BH24">
            <v>-724.45493729386237</v>
          </cell>
          <cell r="BI24">
            <v>-723.56898289134961</v>
          </cell>
          <cell r="BJ24">
            <v>-734.83904145626343</v>
          </cell>
          <cell r="BK24">
            <v>-761.43685092072894</v>
          </cell>
        </row>
        <row r="25">
          <cell r="A25" t="str">
            <v>Income from Lease Expiration &amp; Re-leasing</v>
          </cell>
          <cell r="Z25">
            <v>0</v>
          </cell>
          <cell r="AA25">
            <v>0</v>
          </cell>
          <cell r="AB25">
            <v>0</v>
          </cell>
          <cell r="AD25">
            <v>0</v>
          </cell>
          <cell r="AE25">
            <v>982.00466666666671</v>
          </cell>
          <cell r="AF25">
            <v>231.29186046511663</v>
          </cell>
          <cell r="AG25">
            <v>215.64053156146198</v>
          </cell>
          <cell r="AI25">
            <v>2059.1595873786414</v>
          </cell>
          <cell r="AJ25">
            <v>1993.7785443037983</v>
          </cell>
          <cell r="AK25">
            <v>1588.1273291925474</v>
          </cell>
          <cell r="AL25">
            <v>1192.4066037735847</v>
          </cell>
          <cell r="AN25">
            <v>1425.2869496855346</v>
          </cell>
          <cell r="AO25">
            <v>1425.2869496855346</v>
          </cell>
          <cell r="AP25">
            <v>1425.2869496855346</v>
          </cell>
          <cell r="AQ25">
            <v>1425.2869496855346</v>
          </cell>
          <cell r="AS25">
            <v>1769.359276729559</v>
          </cell>
          <cell r="AT25">
            <v>1769.359276729559</v>
          </cell>
          <cell r="AU25">
            <v>1769.359276729559</v>
          </cell>
          <cell r="AV25">
            <v>1769.359276729559</v>
          </cell>
          <cell r="AX25">
            <v>1492.9645405201584</v>
          </cell>
          <cell r="AY25">
            <v>1491.1573217589284</v>
          </cell>
          <cell r="AZ25">
            <v>1514.1432558405354</v>
          </cell>
          <cell r="BA25">
            <v>1568.3621677102151</v>
          </cell>
          <cell r="BC25">
            <v>1404.903554615815</v>
          </cell>
          <cell r="BD25">
            <v>1403.1942421720598</v>
          </cell>
          <cell r="BE25">
            <v>1424.9364882806537</v>
          </cell>
          <cell r="BF25">
            <v>1476.2353786035942</v>
          </cell>
          <cell r="BH25">
            <v>659.28624775691503</v>
          </cell>
          <cell r="BI25">
            <v>658.47998980538739</v>
          </cell>
          <cell r="BJ25">
            <v>668.73624487491361</v>
          </cell>
          <cell r="BK25">
            <v>692.94143569862922</v>
          </cell>
        </row>
        <row r="26">
          <cell r="A26" t="str">
            <v>Total Change in Lease Income</v>
          </cell>
          <cell r="Z26">
            <v>470.44620000000043</v>
          </cell>
          <cell r="AA26">
            <v>0</v>
          </cell>
          <cell r="AB26">
            <v>1352.5328250000014</v>
          </cell>
          <cell r="AD26">
            <v>0</v>
          </cell>
          <cell r="AE26">
            <v>2125.0284986666675</v>
          </cell>
          <cell r="AF26">
            <v>4069.9375069767489</v>
          </cell>
          <cell r="AG26">
            <v>-5657.6913554817338</v>
          </cell>
          <cell r="AI26">
            <v>1216.2028434466017</v>
          </cell>
          <cell r="AJ26">
            <v>-1481.4615554430411</v>
          </cell>
          <cell r="AK26">
            <v>4840.6221987577683</v>
          </cell>
          <cell r="AL26">
            <v>2683.9951584905671</v>
          </cell>
          <cell r="AN26">
            <v>1425.2869496855346</v>
          </cell>
          <cell r="AO26">
            <v>1425.2869496855346</v>
          </cell>
          <cell r="AP26">
            <v>1425.2869496855346</v>
          </cell>
          <cell r="AQ26">
            <v>1425.2869496855346</v>
          </cell>
          <cell r="AS26">
            <v>972.57051886792317</v>
          </cell>
          <cell r="AT26">
            <v>972.57051886792317</v>
          </cell>
          <cell r="AU26">
            <v>972.57051886792317</v>
          </cell>
          <cell r="AV26">
            <v>972.57051886792317</v>
          </cell>
          <cell r="AX26">
            <v>707.591932186907</v>
          </cell>
          <cell r="AY26">
            <v>706.73539917461017</v>
          </cell>
          <cell r="AZ26">
            <v>717.6296040056634</v>
          </cell>
          <cell r="BA26">
            <v>743.32670770081927</v>
          </cell>
          <cell r="BC26">
            <v>546.86990096146167</v>
          </cell>
          <cell r="BD26">
            <v>546.20453747529416</v>
          </cell>
          <cell r="BE26">
            <v>554.66787998519237</v>
          </cell>
          <cell r="BF26">
            <v>574.63638172196181</v>
          </cell>
          <cell r="BH26">
            <v>-65.16868953694734</v>
          </cell>
          <cell r="BI26">
            <v>-65.088993085962215</v>
          </cell>
          <cell r="BJ26">
            <v>-66.102796581349821</v>
          </cell>
          <cell r="BK26">
            <v>-68.495415222099723</v>
          </cell>
        </row>
        <row r="29">
          <cell r="A29" t="str">
            <v>Fund Interest (Net Income)</v>
          </cell>
          <cell r="AG29">
            <v>-0.22340425531914893</v>
          </cell>
          <cell r="AI29">
            <v>0</v>
          </cell>
          <cell r="AJ29">
            <v>0</v>
          </cell>
          <cell r="AK29">
            <v>0</v>
          </cell>
          <cell r="AL29">
            <v>0</v>
          </cell>
          <cell r="AN29">
            <v>0</v>
          </cell>
          <cell r="AO29">
            <v>0</v>
          </cell>
          <cell r="AP29">
            <v>0</v>
          </cell>
          <cell r="AQ29">
            <v>0</v>
          </cell>
          <cell r="AS29">
            <v>0</v>
          </cell>
          <cell r="AT29">
            <v>0</v>
          </cell>
          <cell r="AU29">
            <v>0</v>
          </cell>
          <cell r="AV29">
            <v>0</v>
          </cell>
          <cell r="AX29">
            <v>0</v>
          </cell>
          <cell r="AY29">
            <v>0</v>
          </cell>
          <cell r="AZ29">
            <v>0</v>
          </cell>
          <cell r="BA29">
            <v>0</v>
          </cell>
          <cell r="BC29">
            <v>0</v>
          </cell>
          <cell r="BD29">
            <v>0</v>
          </cell>
          <cell r="BE29">
            <v>0</v>
          </cell>
          <cell r="BF29">
            <v>0</v>
          </cell>
          <cell r="BH29">
            <v>0</v>
          </cell>
          <cell r="BI29">
            <v>0</v>
          </cell>
          <cell r="BJ29">
            <v>0</v>
          </cell>
          <cell r="BK29">
            <v>0</v>
          </cell>
        </row>
        <row r="30">
          <cell r="A30" t="str">
            <v>Fund Interest (FFO)</v>
          </cell>
          <cell r="AG30">
            <v>-0.14950166112956811</v>
          </cell>
          <cell r="AI30">
            <v>-0.11650485436893204</v>
          </cell>
          <cell r="AJ30">
            <v>-0.20569620253164558</v>
          </cell>
          <cell r="AK30">
            <v>-0.13975155279503104</v>
          </cell>
          <cell r="AL30">
            <v>-0.14150943396226415</v>
          </cell>
          <cell r="AN30">
            <v>-0.14150943396226415</v>
          </cell>
          <cell r="AO30">
            <v>-0.14150943396226415</v>
          </cell>
          <cell r="AP30">
            <v>-0.14150943396226415</v>
          </cell>
          <cell r="AQ30">
            <v>-0.14150943396226415</v>
          </cell>
          <cell r="AS30">
            <v>-0.14150943396226415</v>
          </cell>
          <cell r="AT30">
            <v>-0.14150943396226415</v>
          </cell>
          <cell r="AU30">
            <v>-0.14150943396226415</v>
          </cell>
          <cell r="AV30">
            <v>-0.14150943396226415</v>
          </cell>
          <cell r="AX30">
            <v>-0.14150943396226415</v>
          </cell>
          <cell r="AY30">
            <v>-0.14150943396226415</v>
          </cell>
          <cell r="AZ30">
            <v>-0.14150943396226415</v>
          </cell>
          <cell r="BA30">
            <v>-0.14150943396226415</v>
          </cell>
          <cell r="BC30">
            <v>-0.14150943396226415</v>
          </cell>
          <cell r="BD30">
            <v>-0.14150943396226415</v>
          </cell>
          <cell r="BE30">
            <v>-0.14150943396226415</v>
          </cell>
          <cell r="BF30">
            <v>-0.14150943396226415</v>
          </cell>
          <cell r="BH30">
            <v>-0.14150943396226415</v>
          </cell>
          <cell r="BI30">
            <v>-0.14150943396226415</v>
          </cell>
          <cell r="BJ30">
            <v>-0.14150943396226415</v>
          </cell>
          <cell r="BK30">
            <v>-0.14150943396226415</v>
          </cell>
        </row>
        <row r="31">
          <cell r="A31" t="str">
            <v>Operating Margin (% Revenues)</v>
          </cell>
          <cell r="E31">
            <v>0.60227272727272729</v>
          </cell>
          <cell r="F31">
            <v>0.61264822134387353</v>
          </cell>
          <cell r="G31">
            <v>0.61111111111111116</v>
          </cell>
          <cell r="H31">
            <v>0.62605042016806722</v>
          </cell>
          <cell r="I31">
            <v>0.61271102284011913</v>
          </cell>
          <cell r="J31">
            <v>0.63025210084033612</v>
          </cell>
          <cell r="K31">
            <v>0.6386554621848739</v>
          </cell>
          <cell r="L31">
            <v>0.62393162393162394</v>
          </cell>
          <cell r="M31">
            <v>0.66666666666666663</v>
          </cell>
          <cell r="N31">
            <v>0.63965884861407252</v>
          </cell>
          <cell r="O31">
            <v>0.62240663900414939</v>
          </cell>
          <cell r="P31">
            <v>0.62809917355371903</v>
          </cell>
          <cell r="Q31">
            <v>0.59448818897637801</v>
          </cell>
          <cell r="R31">
            <v>0.60251046025104604</v>
          </cell>
          <cell r="S31">
            <v>0.61168032786885251</v>
          </cell>
          <cell r="T31">
            <v>0.66051660516605171</v>
          </cell>
          <cell r="U31">
            <v>0.66135458167330674</v>
          </cell>
          <cell r="V31">
            <v>0.61538461538461542</v>
          </cell>
          <cell r="W31">
            <v>0.60931899641577059</v>
          </cell>
          <cell r="X31">
            <v>0.63594040968342647</v>
          </cell>
          <cell r="Y31">
            <v>0.62825278810408924</v>
          </cell>
          <cell r="Z31">
            <v>0.60885608856088558</v>
          </cell>
          <cell r="AA31">
            <v>0.59706959706959706</v>
          </cell>
          <cell r="AB31">
            <v>0.71111111111111114</v>
          </cell>
          <cell r="AC31">
            <v>0.63619575253924288</v>
          </cell>
          <cell r="AD31">
            <v>0.58041958041958042</v>
          </cell>
          <cell r="AE31">
            <v>0.57432432432432434</v>
          </cell>
          <cell r="AF31">
            <v>0.56578947368421051</v>
          </cell>
          <cell r="AG31">
            <v>0.60685483870967738</v>
          </cell>
          <cell r="AH31">
            <v>0.58538350217076696</v>
          </cell>
          <cell r="AI31">
            <v>0.60233918128654973</v>
          </cell>
          <cell r="AJ31">
            <v>0.60305343511450382</v>
          </cell>
          <cell r="AK31">
            <v>0.59409594095940954</v>
          </cell>
          <cell r="AL31">
            <v>0.57400722021660655</v>
          </cell>
          <cell r="AM31">
            <v>0.59306141584622596</v>
          </cell>
          <cell r="AN31">
            <v>0.59233918128654972</v>
          </cell>
          <cell r="AO31">
            <v>0.59305343511450381</v>
          </cell>
          <cell r="AP31">
            <v>0.58409594095940953</v>
          </cell>
          <cell r="AQ31">
            <v>0.56400722021660654</v>
          </cell>
          <cell r="AR31">
            <v>0.583332265121149</v>
          </cell>
          <cell r="AS31">
            <v>0.59233918128654972</v>
          </cell>
          <cell r="AT31">
            <v>0.59305343511450381</v>
          </cell>
          <cell r="AU31">
            <v>0.58409594095940953</v>
          </cell>
          <cell r="AV31">
            <v>0.56400722021660654</v>
          </cell>
          <cell r="AW31">
            <v>0.58334202061317642</v>
          </cell>
          <cell r="AX31">
            <v>0.58933918128654972</v>
          </cell>
          <cell r="AY31">
            <v>0.59005343511450381</v>
          </cell>
          <cell r="AZ31">
            <v>0.58109594095940953</v>
          </cell>
          <cell r="BA31">
            <v>0.56100722021660654</v>
          </cell>
          <cell r="BB31">
            <v>0.58034727998256563</v>
          </cell>
          <cell r="BC31">
            <v>0.58633918128654972</v>
          </cell>
          <cell r="BD31">
            <v>0.58705343511450381</v>
          </cell>
          <cell r="BE31">
            <v>0.57809594095940953</v>
          </cell>
          <cell r="BF31">
            <v>0.55800722021660654</v>
          </cell>
          <cell r="BG31">
            <v>0.57735076350741921</v>
          </cell>
          <cell r="BH31">
            <v>0.58333918128654971</v>
          </cell>
          <cell r="BI31">
            <v>0.58405343511450381</v>
          </cell>
          <cell r="BJ31">
            <v>0.57509594095940952</v>
          </cell>
          <cell r="BK31">
            <v>0.55500722021660653</v>
          </cell>
          <cell r="BL31">
            <v>0.57436355990861354</v>
          </cell>
        </row>
        <row r="33">
          <cell r="A33" t="str">
            <v>RESIDENTIAL DEVELOPMENT</v>
          </cell>
        </row>
        <row r="34">
          <cell r="A34" t="str">
            <v>Revenue Growth (Y/Y)</v>
          </cell>
          <cell r="Y34">
            <v>0.34146341463414642</v>
          </cell>
          <cell r="Z34">
            <v>0.37288135593220328</v>
          </cell>
          <cell r="AA34">
            <v>0.55737704918032782</v>
          </cell>
          <cell r="AB34">
            <v>0.58000000000000007</v>
          </cell>
          <cell r="AD34">
            <v>0.61818181818181817</v>
          </cell>
          <cell r="AE34">
            <v>0.33333333333333326</v>
          </cell>
          <cell r="AF34">
            <v>0.10526315789473695</v>
          </cell>
          <cell r="AG34">
            <v>0</v>
          </cell>
          <cell r="AI34">
            <v>0.24719101123595499</v>
          </cell>
          <cell r="AJ34">
            <v>0.64814814814814814</v>
          </cell>
          <cell r="AK34">
            <v>0.33333333333333326</v>
          </cell>
          <cell r="AL34">
            <v>0.71518987341772156</v>
          </cell>
        </row>
        <row r="36">
          <cell r="A36" t="str">
            <v>Homes Sold</v>
          </cell>
          <cell r="T36">
            <v>163</v>
          </cell>
          <cell r="U36">
            <v>180</v>
          </cell>
          <cell r="V36">
            <v>168</v>
          </cell>
          <cell r="W36">
            <v>324</v>
          </cell>
          <cell r="Y36">
            <v>106</v>
          </cell>
          <cell r="Z36">
            <v>189</v>
          </cell>
          <cell r="AA36">
            <v>255</v>
          </cell>
          <cell r="AB36">
            <v>397</v>
          </cell>
          <cell r="AC36">
            <v>947</v>
          </cell>
          <cell r="AD36">
            <v>148</v>
          </cell>
          <cell r="AE36">
            <v>226</v>
          </cell>
          <cell r="AF36">
            <v>174</v>
          </cell>
          <cell r="AG36">
            <v>270</v>
          </cell>
          <cell r="AH36">
            <v>818</v>
          </cell>
          <cell r="AI36">
            <v>155</v>
          </cell>
          <cell r="AJ36">
            <v>220</v>
          </cell>
          <cell r="AK36">
            <v>208</v>
          </cell>
          <cell r="AL36">
            <v>467</v>
          </cell>
          <cell r="AM36">
            <v>1050</v>
          </cell>
          <cell r="AN36">
            <v>124</v>
          </cell>
          <cell r="AO36">
            <v>176</v>
          </cell>
          <cell r="AP36">
            <v>166.4</v>
          </cell>
          <cell r="AQ36">
            <v>373.6</v>
          </cell>
          <cell r="AR36">
            <v>840</v>
          </cell>
          <cell r="AS36">
            <v>111.60000000000001</v>
          </cell>
          <cell r="AT36">
            <v>158.4</v>
          </cell>
          <cell r="AU36">
            <v>149.76000000000002</v>
          </cell>
          <cell r="AV36">
            <v>336.24</v>
          </cell>
          <cell r="AX36">
            <v>106.02000000000001</v>
          </cell>
          <cell r="AY36">
            <v>150.47999999999999</v>
          </cell>
          <cell r="AZ36">
            <v>142.27200000000002</v>
          </cell>
          <cell r="BA36">
            <v>319.428</v>
          </cell>
          <cell r="BC36">
            <v>100.71900000000001</v>
          </cell>
          <cell r="BD36">
            <v>142.95599999999999</v>
          </cell>
          <cell r="BE36">
            <v>135.1584</v>
          </cell>
          <cell r="BF36">
            <v>303.45659999999998</v>
          </cell>
          <cell r="BH36">
            <v>103.74057000000001</v>
          </cell>
          <cell r="BI36">
            <v>147.24467999999999</v>
          </cell>
          <cell r="BJ36">
            <v>139.21315200000001</v>
          </cell>
          <cell r="BK36">
            <v>312.56029799999999</v>
          </cell>
        </row>
        <row r="37">
          <cell r="A37" t="str">
            <v>Avg. Price</v>
          </cell>
          <cell r="W37">
            <v>167</v>
          </cell>
          <cell r="Y37">
            <v>160</v>
          </cell>
          <cell r="Z37">
            <v>169.05291005291005</v>
          </cell>
          <cell r="AA37">
            <v>188</v>
          </cell>
          <cell r="AB37">
            <v>217</v>
          </cell>
          <cell r="AD37">
            <v>189</v>
          </cell>
          <cell r="AE37">
            <v>204</v>
          </cell>
          <cell r="AF37">
            <v>195</v>
          </cell>
          <cell r="AG37">
            <v>241</v>
          </cell>
          <cell r="AI37">
            <v>232</v>
          </cell>
          <cell r="AJ37">
            <v>255</v>
          </cell>
          <cell r="AK37">
            <v>288</v>
          </cell>
          <cell r="AL37">
            <v>308</v>
          </cell>
          <cell r="AN37">
            <v>232</v>
          </cell>
          <cell r="AO37">
            <v>255</v>
          </cell>
          <cell r="AP37">
            <v>288</v>
          </cell>
          <cell r="AQ37">
            <v>308</v>
          </cell>
          <cell r="AS37">
            <v>220.39999999999998</v>
          </cell>
          <cell r="AT37">
            <v>242.25</v>
          </cell>
          <cell r="AU37">
            <v>273.59999999999997</v>
          </cell>
          <cell r="AV37">
            <v>292.59999999999997</v>
          </cell>
          <cell r="AX37">
            <v>213.78799999999998</v>
          </cell>
          <cell r="AY37">
            <v>234.98249999999999</v>
          </cell>
          <cell r="AZ37">
            <v>265.39199999999994</v>
          </cell>
          <cell r="BA37">
            <v>283.82199999999995</v>
          </cell>
          <cell r="BC37">
            <v>207.37435999999997</v>
          </cell>
          <cell r="BD37">
            <v>227.93302499999999</v>
          </cell>
          <cell r="BE37">
            <v>257.43023999999991</v>
          </cell>
          <cell r="BF37">
            <v>275.30733999999995</v>
          </cell>
          <cell r="BH37">
            <v>217.74307799999997</v>
          </cell>
          <cell r="BI37">
            <v>239.32967625000001</v>
          </cell>
          <cell r="BJ37">
            <v>270.30175199999991</v>
          </cell>
          <cell r="BK37">
            <v>289.07270699999998</v>
          </cell>
        </row>
        <row r="38">
          <cell r="A38" t="str">
            <v>Home growth</v>
          </cell>
          <cell r="AD38">
            <v>0.39622641509433953</v>
          </cell>
          <cell r="AE38">
            <v>0.19576719576719581</v>
          </cell>
          <cell r="AF38">
            <v>-0.31764705882352939</v>
          </cell>
          <cell r="AG38">
            <v>-0.31989924433249373</v>
          </cell>
          <cell r="AI38">
            <v>4.7297297297297369E-2</v>
          </cell>
          <cell r="AJ38">
            <v>-2.6548672566371723E-2</v>
          </cell>
          <cell r="AK38">
            <v>0.19540229885057481</v>
          </cell>
          <cell r="AL38">
            <v>0.72962962962962963</v>
          </cell>
          <cell r="AN38">
            <v>-0.2</v>
          </cell>
          <cell r="AO38">
            <v>-0.2</v>
          </cell>
          <cell r="AP38">
            <v>-0.2</v>
          </cell>
          <cell r="AQ38">
            <v>-0.2</v>
          </cell>
          <cell r="AS38">
            <v>-0.1</v>
          </cell>
          <cell r="AT38">
            <v>-0.1</v>
          </cell>
          <cell r="AU38">
            <v>-0.1</v>
          </cell>
          <cell r="AV38">
            <v>-0.1</v>
          </cell>
          <cell r="AX38">
            <v>-0.05</v>
          </cell>
          <cell r="AY38">
            <v>-0.05</v>
          </cell>
          <cell r="AZ38">
            <v>-0.05</v>
          </cell>
          <cell r="BA38">
            <v>-0.05</v>
          </cell>
          <cell r="BC38">
            <v>-0.05</v>
          </cell>
          <cell r="BD38">
            <v>-0.05</v>
          </cell>
          <cell r="BE38">
            <v>-0.05</v>
          </cell>
          <cell r="BF38">
            <v>-0.05</v>
          </cell>
          <cell r="BH38">
            <v>0.03</v>
          </cell>
          <cell r="BI38">
            <v>0.03</v>
          </cell>
          <cell r="BJ38">
            <v>0.03</v>
          </cell>
          <cell r="BK38">
            <v>0.03</v>
          </cell>
        </row>
        <row r="39">
          <cell r="A39" t="str">
            <v>Price growth</v>
          </cell>
          <cell r="AD39">
            <v>0.18124999999999991</v>
          </cell>
          <cell r="AE39">
            <v>0.2067227942787393</v>
          </cell>
          <cell r="AF39">
            <v>3.7234042553191404E-2</v>
          </cell>
          <cell r="AG39">
            <v>0.11059907834101379</v>
          </cell>
          <cell r="AI39">
            <v>0.22751322751322745</v>
          </cell>
          <cell r="AJ39">
            <v>0.25</v>
          </cell>
          <cell r="AK39">
            <v>0.47692307692307701</v>
          </cell>
          <cell r="AL39">
            <v>0.27800829875518662</v>
          </cell>
          <cell r="AN39">
            <v>0</v>
          </cell>
          <cell r="AO39">
            <v>0</v>
          </cell>
          <cell r="AP39">
            <v>0</v>
          </cell>
          <cell r="AQ39">
            <v>0</v>
          </cell>
          <cell r="AS39">
            <v>-0.05</v>
          </cell>
          <cell r="AT39">
            <v>-0.05</v>
          </cell>
          <cell r="AU39">
            <v>-0.05</v>
          </cell>
          <cell r="AV39">
            <v>-0.05</v>
          </cell>
          <cell r="AX39">
            <v>-0.03</v>
          </cell>
          <cell r="AY39">
            <v>-0.03</v>
          </cell>
          <cell r="AZ39">
            <v>-0.03</v>
          </cell>
          <cell r="BA39">
            <v>-0.03</v>
          </cell>
          <cell r="BC39">
            <v>-0.03</v>
          </cell>
          <cell r="BD39">
            <v>-0.03</v>
          </cell>
          <cell r="BE39">
            <v>-0.03</v>
          </cell>
          <cell r="BF39">
            <v>-0.03</v>
          </cell>
          <cell r="BH39">
            <v>0.05</v>
          </cell>
          <cell r="BI39">
            <v>0.05</v>
          </cell>
          <cell r="BJ39">
            <v>0.05</v>
          </cell>
          <cell r="BK39">
            <v>0.05</v>
          </cell>
        </row>
        <row r="41">
          <cell r="A41" t="str">
            <v>Home Revenues</v>
          </cell>
          <cell r="Y41">
            <v>16960</v>
          </cell>
          <cell r="Z41">
            <v>31951</v>
          </cell>
          <cell r="AA41">
            <v>47940</v>
          </cell>
          <cell r="AB41">
            <v>86149</v>
          </cell>
          <cell r="AC41">
            <v>183000</v>
          </cell>
          <cell r="AD41">
            <v>27972</v>
          </cell>
          <cell r="AE41">
            <v>46104</v>
          </cell>
          <cell r="AF41">
            <v>33930</v>
          </cell>
          <cell r="AG41">
            <v>65070</v>
          </cell>
          <cell r="AI41">
            <v>35960</v>
          </cell>
          <cell r="AJ41">
            <v>56100</v>
          </cell>
          <cell r="AK41">
            <v>59904</v>
          </cell>
          <cell r="AL41">
            <v>143836</v>
          </cell>
          <cell r="AN41">
            <v>28768</v>
          </cell>
          <cell r="AO41">
            <v>44880</v>
          </cell>
          <cell r="AP41">
            <v>47923.200000000004</v>
          </cell>
          <cell r="AQ41">
            <v>115068.8</v>
          </cell>
          <cell r="AS41">
            <v>24596.639999999999</v>
          </cell>
          <cell r="AT41">
            <v>38372.400000000001</v>
          </cell>
          <cell r="AU41">
            <v>40974.336000000003</v>
          </cell>
          <cell r="AV41">
            <v>98383.823999999993</v>
          </cell>
          <cell r="AX41">
            <v>22665.803759999999</v>
          </cell>
          <cell r="AY41">
            <v>35360.166599999997</v>
          </cell>
          <cell r="AZ41">
            <v>37757.850623999999</v>
          </cell>
          <cell r="BA41">
            <v>90660.693815999985</v>
          </cell>
          <cell r="BC41">
            <v>20886.53816484</v>
          </cell>
          <cell r="BD41">
            <v>32584.393521899994</v>
          </cell>
          <cell r="BE41">
            <v>34793.859350015991</v>
          </cell>
          <cell r="BF41">
            <v>83543.829351443987</v>
          </cell>
          <cell r="BH41">
            <v>22588.791025274459</v>
          </cell>
          <cell r="BI41">
            <v>35240.021593934849</v>
          </cell>
          <cell r="BJ41">
            <v>37629.558887042294</v>
          </cell>
          <cell r="BK41">
            <v>90352.65144358667</v>
          </cell>
        </row>
        <row r="43">
          <cell r="A43" t="str">
            <v>Lots Sold</v>
          </cell>
          <cell r="T43">
            <v>298</v>
          </cell>
          <cell r="U43">
            <v>533</v>
          </cell>
          <cell r="V43">
            <v>726</v>
          </cell>
          <cell r="W43">
            <v>989</v>
          </cell>
          <cell r="Y43">
            <v>570</v>
          </cell>
          <cell r="Z43">
            <v>694</v>
          </cell>
          <cell r="AA43">
            <v>740</v>
          </cell>
          <cell r="AB43">
            <v>964</v>
          </cell>
          <cell r="AD43">
            <v>709</v>
          </cell>
          <cell r="AE43">
            <v>519</v>
          </cell>
          <cell r="AF43">
            <v>510</v>
          </cell>
          <cell r="AG43">
            <v>825</v>
          </cell>
          <cell r="AH43">
            <v>2563</v>
          </cell>
          <cell r="AI43">
            <v>554</v>
          </cell>
          <cell r="AJ43">
            <v>874</v>
          </cell>
          <cell r="AK43">
            <v>439</v>
          </cell>
          <cell r="AL43">
            <v>636</v>
          </cell>
          <cell r="AM43">
            <v>2503</v>
          </cell>
          <cell r="AN43">
            <v>443.20000000000005</v>
          </cell>
          <cell r="AO43">
            <v>699.2</v>
          </cell>
          <cell r="AP43">
            <v>351.20000000000005</v>
          </cell>
          <cell r="AQ43">
            <v>508.8</v>
          </cell>
          <cell r="AR43">
            <v>2002.4</v>
          </cell>
          <cell r="AS43">
            <v>398.88000000000005</v>
          </cell>
          <cell r="AT43">
            <v>629.28000000000009</v>
          </cell>
          <cell r="AU43">
            <v>316.08000000000004</v>
          </cell>
          <cell r="AV43">
            <v>457.92</v>
          </cell>
          <cell r="AX43">
            <v>378.93600000000004</v>
          </cell>
          <cell r="AY43">
            <v>597.81600000000003</v>
          </cell>
          <cell r="AZ43">
            <v>300.27600000000001</v>
          </cell>
          <cell r="BA43">
            <v>435.024</v>
          </cell>
          <cell r="BC43">
            <v>709</v>
          </cell>
          <cell r="BD43">
            <v>567.92520000000002</v>
          </cell>
          <cell r="BE43">
            <v>285.26220000000001</v>
          </cell>
          <cell r="BF43">
            <v>413.27279999999996</v>
          </cell>
          <cell r="BH43">
            <v>709</v>
          </cell>
          <cell r="BI43">
            <v>584.96295600000008</v>
          </cell>
          <cell r="BJ43">
            <v>293.820066</v>
          </cell>
          <cell r="BK43">
            <v>425.67098399999998</v>
          </cell>
        </row>
        <row r="44">
          <cell r="A44" t="str">
            <v>Avg. Price</v>
          </cell>
          <cell r="V44">
            <v>44</v>
          </cell>
          <cell r="W44">
            <v>47</v>
          </cell>
          <cell r="Y44">
            <v>67</v>
          </cell>
          <cell r="Z44">
            <v>69.380403458213252</v>
          </cell>
          <cell r="AA44">
            <v>64</v>
          </cell>
          <cell r="AB44">
            <v>75</v>
          </cell>
          <cell r="AD44">
            <v>86</v>
          </cell>
          <cell r="AE44">
            <v>120</v>
          </cell>
          <cell r="AF44">
            <v>139</v>
          </cell>
          <cell r="AG44">
            <v>113</v>
          </cell>
          <cell r="AI44">
            <v>136</v>
          </cell>
          <cell r="AJ44">
            <v>140</v>
          </cell>
          <cell r="AK44">
            <v>182</v>
          </cell>
          <cell r="AL44">
            <v>127</v>
          </cell>
          <cell r="AN44">
            <v>136</v>
          </cell>
          <cell r="AO44">
            <v>140</v>
          </cell>
          <cell r="AP44">
            <v>182</v>
          </cell>
          <cell r="AQ44">
            <v>127</v>
          </cell>
          <cell r="AS44">
            <v>131.91999999999999</v>
          </cell>
          <cell r="AT44">
            <v>135.79999999999998</v>
          </cell>
          <cell r="AU44">
            <v>176.54</v>
          </cell>
          <cell r="AV44">
            <v>123.19</v>
          </cell>
          <cell r="AX44">
            <v>127.96239999999999</v>
          </cell>
          <cell r="AY44">
            <v>131.72599999999997</v>
          </cell>
          <cell r="AZ44">
            <v>171.24379999999999</v>
          </cell>
          <cell r="BA44">
            <v>119.4943</v>
          </cell>
          <cell r="BC44">
            <v>124.12352799999998</v>
          </cell>
          <cell r="BD44">
            <v>127.77421999999997</v>
          </cell>
          <cell r="BE44">
            <v>166.10648599999999</v>
          </cell>
          <cell r="BF44">
            <v>115.909471</v>
          </cell>
          <cell r="BH44">
            <v>130.3297044</v>
          </cell>
          <cell r="BI44">
            <v>134.16293099999999</v>
          </cell>
          <cell r="BJ44">
            <v>174.41181029999998</v>
          </cell>
          <cell r="BK44">
            <v>121.70494455000001</v>
          </cell>
        </row>
        <row r="45">
          <cell r="A45" t="str">
            <v>Lot growth</v>
          </cell>
          <cell r="AD45">
            <v>0.24385964912280711</v>
          </cell>
          <cell r="AE45">
            <v>-0.25216138328530258</v>
          </cell>
          <cell r="AF45">
            <v>-0.31081081081081086</v>
          </cell>
          <cell r="AG45">
            <v>-0.14419087136929465</v>
          </cell>
          <cell r="AI45">
            <v>-0.21861777150916784</v>
          </cell>
          <cell r="AJ45">
            <v>0.68400770712909442</v>
          </cell>
          <cell r="AK45">
            <v>-0.13921568627450975</v>
          </cell>
          <cell r="AL45">
            <v>-0.22909090909090912</v>
          </cell>
          <cell r="AN45">
            <v>-0.2</v>
          </cell>
          <cell r="AO45">
            <v>-0.2</v>
          </cell>
          <cell r="AP45">
            <v>-0.2</v>
          </cell>
          <cell r="AQ45">
            <v>-0.2</v>
          </cell>
          <cell r="AS45">
            <v>-0.1</v>
          </cell>
          <cell r="AT45">
            <v>-0.1</v>
          </cell>
          <cell r="AU45">
            <v>-0.1</v>
          </cell>
          <cell r="AV45">
            <v>-0.1</v>
          </cell>
          <cell r="AX45">
            <v>-0.05</v>
          </cell>
          <cell r="AY45">
            <v>-0.05</v>
          </cell>
          <cell r="AZ45">
            <v>-0.05</v>
          </cell>
          <cell r="BA45">
            <v>-0.05</v>
          </cell>
          <cell r="BC45">
            <v>-0.05</v>
          </cell>
          <cell r="BD45">
            <v>-0.05</v>
          </cell>
          <cell r="BE45">
            <v>-0.05</v>
          </cell>
          <cell r="BF45">
            <v>-0.05</v>
          </cell>
          <cell r="BH45">
            <v>0.03</v>
          </cell>
          <cell r="BI45">
            <v>0.03</v>
          </cell>
          <cell r="BJ45">
            <v>0.03</v>
          </cell>
          <cell r="BK45">
            <v>0.03</v>
          </cell>
        </row>
        <row r="46">
          <cell r="A46" t="str">
            <v>Price growth</v>
          </cell>
          <cell r="AD46">
            <v>0.28358208955223874</v>
          </cell>
          <cell r="AE46">
            <v>0.729595015576324</v>
          </cell>
          <cell r="AF46">
            <v>1.171875</v>
          </cell>
          <cell r="AG46">
            <v>0.5066666666666666</v>
          </cell>
          <cell r="AI46">
            <v>0.58139534883720922</v>
          </cell>
          <cell r="AJ46">
            <v>0.16666666666666674</v>
          </cell>
          <cell r="AK46">
            <v>0.30935251798561159</v>
          </cell>
          <cell r="AL46">
            <v>0.12389380530973448</v>
          </cell>
          <cell r="AN46">
            <v>0</v>
          </cell>
          <cell r="AO46">
            <v>0</v>
          </cell>
          <cell r="AP46">
            <v>0</v>
          </cell>
          <cell r="AQ46">
            <v>0</v>
          </cell>
          <cell r="AS46">
            <v>-0.03</v>
          </cell>
          <cell r="AT46">
            <v>-0.03</v>
          </cell>
          <cell r="AU46">
            <v>-0.03</v>
          </cell>
          <cell r="AV46">
            <v>-0.03</v>
          </cell>
          <cell r="AX46">
            <v>-0.03</v>
          </cell>
          <cell r="AY46">
            <v>-0.03</v>
          </cell>
          <cell r="AZ46">
            <v>-0.03</v>
          </cell>
          <cell r="BA46">
            <v>-0.03</v>
          </cell>
          <cell r="BC46">
            <v>-0.03</v>
          </cell>
          <cell r="BD46">
            <v>-0.03</v>
          </cell>
          <cell r="BE46">
            <v>-0.03</v>
          </cell>
          <cell r="BF46">
            <v>-0.03</v>
          </cell>
          <cell r="BH46">
            <v>0.05</v>
          </cell>
          <cell r="BI46">
            <v>0.05</v>
          </cell>
          <cell r="BJ46">
            <v>0.05</v>
          </cell>
          <cell r="BK46">
            <v>0.05</v>
          </cell>
        </row>
        <row r="47">
          <cell r="A47" t="str">
            <v>Lot Revenues</v>
          </cell>
          <cell r="AD47">
            <v>60974</v>
          </cell>
          <cell r="AE47">
            <v>62280</v>
          </cell>
          <cell r="AF47">
            <v>70890</v>
          </cell>
          <cell r="AG47">
            <v>93225</v>
          </cell>
          <cell r="AI47">
            <v>75344</v>
          </cell>
          <cell r="AJ47">
            <v>122360</v>
          </cell>
          <cell r="AK47">
            <v>79898</v>
          </cell>
          <cell r="AL47">
            <v>80772</v>
          </cell>
          <cell r="AN47">
            <v>60275.200000000004</v>
          </cell>
          <cell r="AO47">
            <v>97888</v>
          </cell>
          <cell r="AP47">
            <v>63918.400000000009</v>
          </cell>
          <cell r="AQ47">
            <v>64617.599999999999</v>
          </cell>
          <cell r="AS47">
            <v>52620.249600000003</v>
          </cell>
          <cell r="AT47">
            <v>85456.224000000002</v>
          </cell>
          <cell r="AU47">
            <v>55800.763200000001</v>
          </cell>
          <cell r="AV47">
            <v>56411.164799999999</v>
          </cell>
          <cell r="AX47">
            <v>48489.560006400003</v>
          </cell>
          <cell r="AY47">
            <v>78747.910415999984</v>
          </cell>
          <cell r="AZ47">
            <v>51420.4032888</v>
          </cell>
          <cell r="BA47">
            <v>51982.8883632</v>
          </cell>
          <cell r="BC47">
            <v>88003.581351999979</v>
          </cell>
          <cell r="BD47">
            <v>72566.199448343992</v>
          </cell>
          <cell r="BE47">
            <v>47383.901630629196</v>
          </cell>
          <cell r="BF47">
            <v>47902.231626688794</v>
          </cell>
          <cell r="BH47">
            <v>92403.760419600003</v>
          </cell>
          <cell r="BI47">
            <v>78480.344703384035</v>
          </cell>
          <cell r="BJ47">
            <v>51245.689613525472</v>
          </cell>
          <cell r="BK47">
            <v>51806.263504263938</v>
          </cell>
        </row>
        <row r="49">
          <cell r="A49" t="str">
            <v>Total Revenues</v>
          </cell>
          <cell r="Y49">
            <v>38190</v>
          </cell>
          <cell r="Z49">
            <v>48150</v>
          </cell>
          <cell r="AA49">
            <v>47360</v>
          </cell>
          <cell r="AB49">
            <v>72300</v>
          </cell>
          <cell r="AC49">
            <v>206000</v>
          </cell>
          <cell r="AD49">
            <v>88946</v>
          </cell>
          <cell r="AE49">
            <v>108384</v>
          </cell>
          <cell r="AF49">
            <v>104820</v>
          </cell>
          <cell r="AG49">
            <v>158295</v>
          </cell>
          <cell r="AI49">
            <v>111304</v>
          </cell>
          <cell r="AJ49">
            <v>178460</v>
          </cell>
          <cell r="AK49">
            <v>139802</v>
          </cell>
          <cell r="AL49">
            <v>224608</v>
          </cell>
          <cell r="AN49">
            <v>89043.200000000012</v>
          </cell>
          <cell r="AO49">
            <v>142768</v>
          </cell>
          <cell r="AP49">
            <v>111841.60000000001</v>
          </cell>
          <cell r="AQ49">
            <v>179686.39999999999</v>
          </cell>
          <cell r="AS49">
            <v>77216.889599999995</v>
          </cell>
          <cell r="AT49">
            <v>123828.62400000001</v>
          </cell>
          <cell r="AU49">
            <v>96775.099199999997</v>
          </cell>
          <cell r="AV49">
            <v>154794.98879999999</v>
          </cell>
          <cell r="AX49">
            <v>71155.363766399998</v>
          </cell>
          <cell r="AY49">
            <v>114108.07701599998</v>
          </cell>
          <cell r="AZ49">
            <v>89178.253912799992</v>
          </cell>
          <cell r="BA49">
            <v>142643.58217919999</v>
          </cell>
          <cell r="BC49">
            <v>108890.11951683997</v>
          </cell>
          <cell r="BD49">
            <v>105150.59297024399</v>
          </cell>
          <cell r="BE49">
            <v>82177.760980645195</v>
          </cell>
          <cell r="BF49">
            <v>131446.06097813277</v>
          </cell>
          <cell r="BH49">
            <v>114992.55144487447</v>
          </cell>
          <cell r="BI49">
            <v>113720.36629731889</v>
          </cell>
          <cell r="BJ49">
            <v>88875.248500567774</v>
          </cell>
          <cell r="BK49">
            <v>142158.9149478506</v>
          </cell>
        </row>
        <row r="51">
          <cell r="A51" t="str">
            <v>Residential NOI</v>
          </cell>
          <cell r="AI51">
            <v>42000</v>
          </cell>
          <cell r="AJ51">
            <v>72000</v>
          </cell>
          <cell r="AK51">
            <v>43000</v>
          </cell>
          <cell r="AL51">
            <v>80000</v>
          </cell>
          <cell r="AM51">
            <v>237000</v>
          </cell>
        </row>
        <row r="53">
          <cell r="A53" t="str">
            <v>Interest and Other(% NOI)</v>
          </cell>
          <cell r="E53">
            <v>6.5217391304347824E-2</v>
          </cell>
          <cell r="F53">
            <v>5.9459459459459463E-2</v>
          </cell>
          <cell r="G53">
            <v>6.4935064935064929E-2</v>
          </cell>
          <cell r="H53">
            <v>6.0402684563758392E-2</v>
          </cell>
          <cell r="I53">
            <v>6.25E-2</v>
          </cell>
          <cell r="J53">
            <v>5.2631578947368418E-2</v>
          </cell>
          <cell r="K53">
            <v>7.8947368421052627E-2</v>
          </cell>
          <cell r="L53">
            <v>9.036144578313253E-2</v>
          </cell>
          <cell r="M53">
            <v>7.2368421052631582E-2</v>
          </cell>
          <cell r="N53">
            <v>7.2727272727272724E-2</v>
          </cell>
          <cell r="O53">
            <v>0.1</v>
          </cell>
          <cell r="P53">
            <v>9.2105263157894732E-2</v>
          </cell>
          <cell r="Q53">
            <v>0.10596026490066225</v>
          </cell>
          <cell r="R53">
            <v>6.9672131147540978E-2</v>
          </cell>
          <cell r="S53">
            <v>8.8952654232424683E-2</v>
          </cell>
          <cell r="T53">
            <v>7.8212290502793297E-2</v>
          </cell>
          <cell r="U53">
            <v>4.8672566371681415E-2</v>
          </cell>
          <cell r="V53">
            <v>6.5476190476190479E-2</v>
          </cell>
          <cell r="W53">
            <v>6.4705882352941183E-2</v>
          </cell>
          <cell r="X53">
            <v>6.3257065948855995E-2</v>
          </cell>
          <cell r="Y53">
            <v>6.5088757396449703E-2</v>
          </cell>
          <cell r="Z53">
            <v>6.0606060606060608E-2</v>
          </cell>
          <cell r="AA53">
            <v>6.1349693251533742E-2</v>
          </cell>
          <cell r="AB53">
            <v>3.125E-2</v>
          </cell>
          <cell r="AC53">
            <v>5.3701015965166909E-2</v>
          </cell>
          <cell r="AD53">
            <v>4.6511627906976744E-2</v>
          </cell>
          <cell r="AE53">
            <v>4.4692737430167599E-2</v>
          </cell>
          <cell r="AF53">
            <v>4.9450549450549448E-2</v>
          </cell>
          <cell r="AG53">
            <v>4.472843450479233E-2</v>
          </cell>
          <cell r="AH53">
            <v>5.2009456264775412E-2</v>
          </cell>
          <cell r="AI53">
            <v>3.7075180226570546E-2</v>
          </cell>
          <cell r="AJ53">
            <v>4.0072129833700662E-2</v>
          </cell>
          <cell r="AK53">
            <v>5.0870671101545688E-2</v>
          </cell>
          <cell r="AL53">
            <v>4.6719875413665561E-2</v>
          </cell>
          <cell r="AN53">
            <v>0.03</v>
          </cell>
          <cell r="AO53">
            <v>0.03</v>
          </cell>
          <cell r="AP53">
            <v>0.03</v>
          </cell>
          <cell r="AQ53">
            <v>0.03</v>
          </cell>
          <cell r="AS53">
            <v>0.03</v>
          </cell>
          <cell r="AT53">
            <v>0.03</v>
          </cell>
          <cell r="AU53">
            <v>0.03</v>
          </cell>
          <cell r="AV53">
            <v>0.03</v>
          </cell>
          <cell r="AX53">
            <v>0.03</v>
          </cell>
          <cell r="AY53">
            <v>0.03</v>
          </cell>
          <cell r="AZ53">
            <v>0.03</v>
          </cell>
          <cell r="BA53">
            <v>0.03</v>
          </cell>
          <cell r="BC53">
            <v>0.03</v>
          </cell>
          <cell r="BD53">
            <v>0.03</v>
          </cell>
          <cell r="BE53">
            <v>0.03</v>
          </cell>
          <cell r="BF53">
            <v>0.03</v>
          </cell>
          <cell r="BH53">
            <v>0.03</v>
          </cell>
          <cell r="BI53">
            <v>0.03</v>
          </cell>
          <cell r="BJ53">
            <v>0.03</v>
          </cell>
          <cell r="BK53">
            <v>0.03</v>
          </cell>
        </row>
        <row r="54">
          <cell r="A54" t="str">
            <v>G&amp;A (% Total Revenues)</v>
          </cell>
          <cell r="E54">
            <v>3.64741641337386E-2</v>
          </cell>
          <cell r="F54">
            <v>3.1976744186046513E-2</v>
          </cell>
          <cell r="G54">
            <v>3.4700315457413249E-2</v>
          </cell>
          <cell r="H54">
            <v>2.932551319648094E-2</v>
          </cell>
          <cell r="I54">
            <v>3.3057851239669422E-2</v>
          </cell>
          <cell r="J54">
            <v>3.7288135593220341E-2</v>
          </cell>
          <cell r="K54">
            <v>3.870967741935484E-2</v>
          </cell>
          <cell r="L54">
            <v>3.5714285714285712E-2</v>
          </cell>
          <cell r="M54">
            <v>2.4064171122994651E-2</v>
          </cell>
          <cell r="N54">
            <v>3.3359809372517868E-2</v>
          </cell>
          <cell r="O54">
            <v>3.9285714285714285E-2</v>
          </cell>
          <cell r="P54">
            <v>3.8327526132404179E-2</v>
          </cell>
          <cell r="Q54">
            <v>3.6184210526315791E-2</v>
          </cell>
          <cell r="R54">
            <v>3.3333333333333333E-2</v>
          </cell>
          <cell r="S54">
            <v>3.6636136552872609E-2</v>
          </cell>
          <cell r="T54">
            <v>3.2051282051282048E-2</v>
          </cell>
          <cell r="U54">
            <v>3.5483870967741936E-2</v>
          </cell>
          <cell r="V54">
            <v>2.9940119760479042E-2</v>
          </cell>
          <cell r="W54">
            <v>2.6385224274406333E-2</v>
          </cell>
          <cell r="X54">
            <v>3.0711610486891385E-2</v>
          </cell>
          <cell r="Y54">
            <v>3.3950617283950615E-2</v>
          </cell>
          <cell r="Z54">
            <v>3.125E-2</v>
          </cell>
          <cell r="AA54">
            <v>2.9891304347826088E-2</v>
          </cell>
          <cell r="AB54">
            <v>3.5046728971962614E-2</v>
          </cell>
          <cell r="AC54">
            <v>3.2608695652173912E-2</v>
          </cell>
          <cell r="AD54">
            <v>0.04</v>
          </cell>
          <cell r="AE54">
            <v>3.4653465346534656E-2</v>
          </cell>
          <cell r="AF54">
            <v>3.6674816625916873E-2</v>
          </cell>
          <cell r="AG54">
            <v>3.5168195718654434E-2</v>
          </cell>
          <cell r="AH54">
            <v>3.6373507057546148E-2</v>
          </cell>
          <cell r="AI54">
            <v>4.1666666666666664E-2</v>
          </cell>
          <cell r="AJ54">
            <v>3.4188034188034191E-2</v>
          </cell>
          <cell r="AK54">
            <v>3.3724340175953077E-2</v>
          </cell>
          <cell r="AL54">
            <v>3.272727272727273E-2</v>
          </cell>
          <cell r="AN54">
            <v>3.5000000000000003E-2</v>
          </cell>
          <cell r="AO54">
            <v>3.5000000000000003E-2</v>
          </cell>
          <cell r="AP54">
            <v>3.5000000000000003E-2</v>
          </cell>
          <cell r="AQ54">
            <v>3.5000000000000003E-2</v>
          </cell>
          <cell r="AS54">
            <v>3.5000000000000003E-2</v>
          </cell>
          <cell r="AT54">
            <v>3.5000000000000003E-2</v>
          </cell>
          <cell r="AU54">
            <v>3.5000000000000003E-2</v>
          </cell>
          <cell r="AV54">
            <v>3.5000000000000003E-2</v>
          </cell>
          <cell r="AX54">
            <v>3.5000000000000003E-2</v>
          </cell>
          <cell r="AY54">
            <v>3.5000000000000003E-2</v>
          </cell>
          <cell r="AZ54">
            <v>3.5000000000000003E-2</v>
          </cell>
          <cell r="BA54">
            <v>3.5000000000000003E-2</v>
          </cell>
          <cell r="BC54">
            <v>3.5000000000000003E-2</v>
          </cell>
          <cell r="BD54">
            <v>3.5000000000000003E-2</v>
          </cell>
          <cell r="BE54">
            <v>3.5000000000000003E-2</v>
          </cell>
          <cell r="BF54">
            <v>3.5000000000000003E-2</v>
          </cell>
          <cell r="BH54">
            <v>3.5000000000000003E-2</v>
          </cell>
          <cell r="BI54">
            <v>3.5000000000000003E-2</v>
          </cell>
          <cell r="BJ54">
            <v>3.5000000000000003E-2</v>
          </cell>
          <cell r="BK54">
            <v>3.5000000000000003E-2</v>
          </cell>
        </row>
        <row r="55">
          <cell r="A55" t="str">
            <v>Minority Interests</v>
          </cell>
          <cell r="E55">
            <v>4.2105263157894736E-2</v>
          </cell>
          <cell r="F55">
            <v>3.6649214659685861E-2</v>
          </cell>
          <cell r="G55">
            <v>4.3478260869565216E-2</v>
          </cell>
          <cell r="H55">
            <v>0.04</v>
          </cell>
          <cell r="I55">
            <v>4.046242774566474E-2</v>
          </cell>
          <cell r="J55">
            <v>5.1020408163265307E-2</v>
          </cell>
          <cell r="K55">
            <v>3.1446540880503145E-2</v>
          </cell>
          <cell r="L55">
            <v>4.6242774566473986E-2</v>
          </cell>
          <cell r="M55">
            <v>4.5454545454545456E-2</v>
          </cell>
          <cell r="N55">
            <v>4.398826979472141E-2</v>
          </cell>
          <cell r="O55">
            <v>3.1847133757961783E-2</v>
          </cell>
          <cell r="P55">
            <v>3.1446540880503145E-2</v>
          </cell>
          <cell r="Q55">
            <v>3.7974683544303799E-2</v>
          </cell>
          <cell r="R55">
            <v>1.968503937007874E-2</v>
          </cell>
          <cell r="S55">
            <v>2.8846153846153848E-2</v>
          </cell>
          <cell r="T55">
            <v>2.6737967914438502E-2</v>
          </cell>
          <cell r="U55">
            <v>2.5423728813559324E-2</v>
          </cell>
          <cell r="V55">
            <v>2.7932960893854747E-2</v>
          </cell>
          <cell r="W55">
            <v>2.185792349726776E-2</v>
          </cell>
          <cell r="X55">
            <v>2.5477707006369428E-2</v>
          </cell>
          <cell r="Y55">
            <v>1.6483516483516484E-2</v>
          </cell>
          <cell r="Z55">
            <v>2.6455026455026454E-2</v>
          </cell>
          <cell r="AA55">
            <v>2.1390374331550801E-2</v>
          </cell>
          <cell r="AB55">
            <v>1.6877637130801686E-2</v>
          </cell>
          <cell r="AC55">
            <v>2.0125786163522012E-2</v>
          </cell>
          <cell r="AD55">
            <v>2.030456852791878E-2</v>
          </cell>
          <cell r="AE55">
            <v>2.8571428571428571E-2</v>
          </cell>
          <cell r="AF55">
            <v>3.1963470319634701E-2</v>
          </cell>
          <cell r="AG55">
            <v>1.098901098901099E-2</v>
          </cell>
          <cell r="AI55">
            <v>1.4047410008779631E-2</v>
          </cell>
          <cell r="AJ55">
            <v>1.8659617477841704E-2</v>
          </cell>
          <cell r="AK55">
            <v>2.0097136158097471E-2</v>
          </cell>
          <cell r="AL55">
            <v>2.6718123793973578E-2</v>
          </cell>
          <cell r="AN55">
            <v>2.6718123793973578E-2</v>
          </cell>
          <cell r="AO55">
            <v>2.6718123793973578E-2</v>
          </cell>
          <cell r="AP55">
            <v>2.6718123793973578E-2</v>
          </cell>
          <cell r="AQ55">
            <v>2.6718123793973578E-2</v>
          </cell>
          <cell r="AS55">
            <v>2.6718123793973578E-2</v>
          </cell>
          <cell r="AT55">
            <v>2.6718123793973578E-2</v>
          </cell>
          <cell r="AU55">
            <v>2.6718123793973578E-2</v>
          </cell>
          <cell r="AV55">
            <v>2.6718123793973578E-2</v>
          </cell>
          <cell r="AX55">
            <v>2.6718123793973578E-2</v>
          </cell>
          <cell r="AY55">
            <v>2.6718123793973578E-2</v>
          </cell>
          <cell r="AZ55">
            <v>2.6718123793973578E-2</v>
          </cell>
          <cell r="BA55">
            <v>2.6718123793973578E-2</v>
          </cell>
          <cell r="BC55">
            <v>2.6718123793973578E-2</v>
          </cell>
          <cell r="BD55">
            <v>2.6718123793973578E-2</v>
          </cell>
          <cell r="BE55">
            <v>2.6718123793973578E-2</v>
          </cell>
          <cell r="BF55">
            <v>2.6718123793973578E-2</v>
          </cell>
          <cell r="BH55">
            <v>2.6718123793973578E-2</v>
          </cell>
          <cell r="BI55">
            <v>2.6718123793973578E-2</v>
          </cell>
          <cell r="BJ55">
            <v>2.6718123793973578E-2</v>
          </cell>
          <cell r="BK55">
            <v>2.6718123793973578E-2</v>
          </cell>
        </row>
        <row r="56">
          <cell r="A56" t="str">
            <v>Non-cash taxes and other provisions (% cash from operations)</v>
          </cell>
          <cell r="E56">
            <v>0.23958333333333334</v>
          </cell>
          <cell r="F56">
            <v>0.14285714285714285</v>
          </cell>
          <cell r="G56">
            <v>0.15068493150684931</v>
          </cell>
          <cell r="H56">
            <v>0.11940298507462686</v>
          </cell>
          <cell r="I56">
            <v>0.16766467065868262</v>
          </cell>
          <cell r="J56">
            <v>0.1875</v>
          </cell>
          <cell r="K56">
            <v>0.14634146341463414</v>
          </cell>
          <cell r="L56">
            <v>0.16161616161616163</v>
          </cell>
          <cell r="M56">
            <v>0.1111111111111111</v>
          </cell>
          <cell r="N56">
            <v>0.15508021390374332</v>
          </cell>
          <cell r="O56">
            <v>0.20930232558139536</v>
          </cell>
          <cell r="P56">
            <v>0.18888888888888888</v>
          </cell>
          <cell r="Q56">
            <v>0.23076923076923078</v>
          </cell>
          <cell r="R56">
            <v>0.23834196891191708</v>
          </cell>
          <cell r="S56">
            <v>0.22173913043478261</v>
          </cell>
          <cell r="T56">
            <v>0.26785714285714285</v>
          </cell>
          <cell r="U56">
            <v>0.30718954248366015</v>
          </cell>
          <cell r="V56">
            <v>0.22448979591836735</v>
          </cell>
          <cell r="W56">
            <v>0.17171717171717171</v>
          </cell>
          <cell r="X56">
            <v>0.25108225108225107</v>
          </cell>
          <cell r="Y56">
            <v>0.20202020202020202</v>
          </cell>
          <cell r="Z56">
            <v>0.18811881188118812</v>
          </cell>
          <cell r="AA56">
            <v>0.22680412371134021</v>
          </cell>
          <cell r="AB56">
            <v>0.30434782608695654</v>
          </cell>
          <cell r="AC56">
            <v>0.23678160919540231</v>
          </cell>
          <cell r="AD56">
            <v>0.35526315789473684</v>
          </cell>
          <cell r="AE56">
            <v>0.56521739130434778</v>
          </cell>
          <cell r="AF56">
            <v>0.39655172413793105</v>
          </cell>
          <cell r="AG56">
            <v>0.66666666666666663</v>
          </cell>
          <cell r="AH56">
            <v>0.44811320754716982</v>
          </cell>
          <cell r="AI56">
            <v>0.57395143487858724</v>
          </cell>
          <cell r="AJ56">
            <v>0.73322932917316697</v>
          </cell>
          <cell r="AK56">
            <v>1.2865497076023391</v>
          </cell>
          <cell r="AL56">
            <v>0.12702893436838392</v>
          </cell>
          <cell r="AN56">
            <v>0.12702893436838392</v>
          </cell>
          <cell r="AO56">
            <v>0.12702893436838392</v>
          </cell>
          <cell r="AP56">
            <v>0.12702893436838392</v>
          </cell>
          <cell r="AQ56">
            <v>0.12702893436838392</v>
          </cell>
          <cell r="AS56">
            <v>0.12702893436838392</v>
          </cell>
          <cell r="AT56">
            <v>0.12702893436838392</v>
          </cell>
          <cell r="AU56">
            <v>0.12702893436838392</v>
          </cell>
          <cell r="AV56">
            <v>0.12702893436838392</v>
          </cell>
          <cell r="AX56">
            <v>0.12702893436838392</v>
          </cell>
          <cell r="AY56">
            <v>0.12702893436838392</v>
          </cell>
          <cell r="AZ56">
            <v>0.12702893436838392</v>
          </cell>
          <cell r="BA56">
            <v>0.12702893436838392</v>
          </cell>
          <cell r="BC56">
            <v>0.12702893436838392</v>
          </cell>
          <cell r="BD56">
            <v>0.12702893436838392</v>
          </cell>
          <cell r="BE56">
            <v>0.12702893436838392</v>
          </cell>
          <cell r="BF56">
            <v>0.12702893436838392</v>
          </cell>
          <cell r="BH56">
            <v>0.12702893436838392</v>
          </cell>
          <cell r="BI56">
            <v>0.12702893436838392</v>
          </cell>
          <cell r="BJ56">
            <v>0.12702893436838392</v>
          </cell>
          <cell r="BK56">
            <v>0.12702893436838392</v>
          </cell>
        </row>
        <row r="57">
          <cell r="A57" t="str">
            <v>Straight-Line Rents</v>
          </cell>
          <cell r="Y57">
            <v>2.9585798816568046E-2</v>
          </cell>
          <cell r="Z57">
            <v>3.0303030303030304E-2</v>
          </cell>
          <cell r="AA57">
            <v>3.0674846625766871E-2</v>
          </cell>
          <cell r="AB57">
            <v>2.6041666666666668E-2</v>
          </cell>
          <cell r="AC57">
            <v>2.9027576197387519E-2</v>
          </cell>
          <cell r="AD57">
            <v>2.3255813953488372E-2</v>
          </cell>
          <cell r="AE57">
            <v>1.6759776536312849E-2</v>
          </cell>
          <cell r="AF57">
            <v>1.098901098901099E-2</v>
          </cell>
          <cell r="AG57">
            <v>2.5559105431309903E-2</v>
          </cell>
          <cell r="AI57">
            <v>4.7318611987381701E-2</v>
          </cell>
          <cell r="AJ57">
            <v>3.6809815950920248E-2</v>
          </cell>
          <cell r="AK57">
            <v>3.313253012048193E-2</v>
          </cell>
          <cell r="AL57">
            <v>2.7272727272727271E-2</v>
          </cell>
          <cell r="AN57">
            <v>2.7272727272727271E-2</v>
          </cell>
          <cell r="AO57">
            <v>2.7272727272727271E-2</v>
          </cell>
          <cell r="AP57">
            <v>2.7272727272727271E-2</v>
          </cell>
          <cell r="AQ57">
            <v>2.7272727272727271E-2</v>
          </cell>
          <cell r="AS57">
            <v>2.7272727272727271E-2</v>
          </cell>
          <cell r="AT57">
            <v>2.7272727272727271E-2</v>
          </cell>
          <cell r="AU57">
            <v>2.7272727272727271E-2</v>
          </cell>
          <cell r="AV57">
            <v>2.7272727272727271E-2</v>
          </cell>
          <cell r="AX57">
            <v>2.7272727272727271E-2</v>
          </cell>
          <cell r="AY57">
            <v>2.7272727272727271E-2</v>
          </cell>
          <cell r="AZ57">
            <v>2.7272727272727271E-2</v>
          </cell>
          <cell r="BA57">
            <v>2.7272727272727271E-2</v>
          </cell>
          <cell r="BC57">
            <v>2.7272727272727271E-2</v>
          </cell>
          <cell r="BD57">
            <v>2.7272727272727271E-2</v>
          </cell>
          <cell r="BE57">
            <v>2.7272727272727271E-2</v>
          </cell>
          <cell r="BF57">
            <v>2.7272727272727271E-2</v>
          </cell>
          <cell r="BH57">
            <v>2.7272727272727271E-2</v>
          </cell>
          <cell r="BI57">
            <v>2.7272727272727271E-2</v>
          </cell>
          <cell r="BJ57">
            <v>2.7272727272727271E-2</v>
          </cell>
          <cell r="BK57">
            <v>2.7272727272727271E-2</v>
          </cell>
        </row>
        <row r="58">
          <cell r="A58" t="str">
            <v>Recurring Fee Income (% of Gross Assets)</v>
          </cell>
          <cell r="AD58">
            <v>3.2301480484522209E-3</v>
          </cell>
          <cell r="AE58">
            <v>3.756372417493963E-3</v>
          </cell>
          <cell r="AF58">
            <v>3.5614347494276268E-3</v>
          </cell>
          <cell r="AG58">
            <v>6.1193268740438551E-3</v>
          </cell>
          <cell r="AI58">
            <v>2.0932818734872767E-3</v>
          </cell>
          <cell r="AJ58">
            <v>2.6324448831852583E-3</v>
          </cell>
          <cell r="AK58">
            <v>2.581144737691166E-3</v>
          </cell>
          <cell r="AL58">
            <v>3.1067961165048546E-3</v>
          </cell>
          <cell r="AN58">
            <v>3.1067961165048546E-3</v>
          </cell>
          <cell r="AO58">
            <v>3.1067961165048546E-3</v>
          </cell>
          <cell r="AP58">
            <v>3.1067961165048546E-3</v>
          </cell>
          <cell r="AQ58">
            <v>3.1067961165048546E-3</v>
          </cell>
          <cell r="AS58">
            <v>3.1067961165048546E-3</v>
          </cell>
          <cell r="AT58">
            <v>3.1067961165048546E-3</v>
          </cell>
          <cell r="AU58">
            <v>3.1067961165048546E-3</v>
          </cell>
          <cell r="AV58">
            <v>3.1067961165048546E-3</v>
          </cell>
          <cell r="AX58">
            <v>3.1067961165048546E-3</v>
          </cell>
          <cell r="AY58">
            <v>3.1067961165048546E-3</v>
          </cell>
          <cell r="AZ58">
            <v>3.1067961165048546E-3</v>
          </cell>
          <cell r="BA58">
            <v>3.1067961165048546E-3</v>
          </cell>
          <cell r="BC58">
            <v>3.1067961165048546E-3</v>
          </cell>
          <cell r="BD58">
            <v>3.1067961165048546E-3</v>
          </cell>
          <cell r="BE58">
            <v>3.1067961165048546E-3</v>
          </cell>
          <cell r="BF58">
            <v>3.1067961165048546E-3</v>
          </cell>
          <cell r="BH58">
            <v>3.1067961165048546E-3</v>
          </cell>
          <cell r="BI58">
            <v>3.1067961165048546E-3</v>
          </cell>
          <cell r="BJ58">
            <v>3.1067961165048546E-3</v>
          </cell>
          <cell r="BK58">
            <v>3.1067961165048546E-3</v>
          </cell>
        </row>
        <row r="59">
          <cell r="A59" t="str">
            <v>Captial Expenditure</v>
          </cell>
          <cell r="Y59">
            <v>0</v>
          </cell>
          <cell r="Z59">
            <v>1.2121212121212121E-2</v>
          </cell>
          <cell r="AA59">
            <v>1.2269938650306749E-2</v>
          </cell>
          <cell r="AB59">
            <v>1.0416666666666666E-2</v>
          </cell>
          <cell r="AC59">
            <v>8.708272859216255E-3</v>
          </cell>
          <cell r="AD59">
            <v>1.1627906976744186E-2</v>
          </cell>
          <cell r="AE59">
            <v>2.23463687150838E-2</v>
          </cell>
          <cell r="AF59">
            <v>2.7472527472527472E-2</v>
          </cell>
          <cell r="AG59">
            <v>3.5143769968051117E-2</v>
          </cell>
          <cell r="AH59">
            <v>2.6004728132387706E-2</v>
          </cell>
          <cell r="AI59">
            <v>2.4716786817713696E-2</v>
          </cell>
          <cell r="AJ59">
            <v>3.6064916850330593E-2</v>
          </cell>
          <cell r="AK59">
            <v>7.434944237918216E-2</v>
          </cell>
          <cell r="AL59">
            <v>9.3439750827331122E-2</v>
          </cell>
          <cell r="AN59">
            <v>5.714272421863939E-2</v>
          </cell>
          <cell r="AO59">
            <v>5.714272421863939E-2</v>
          </cell>
          <cell r="AP59">
            <v>5.714272421863939E-2</v>
          </cell>
          <cell r="AQ59">
            <v>5.714272421863939E-2</v>
          </cell>
          <cell r="AS59">
            <v>5.714272421863939E-2</v>
          </cell>
          <cell r="AT59">
            <v>5.714272421863939E-2</v>
          </cell>
          <cell r="AU59">
            <v>5.714272421863939E-2</v>
          </cell>
          <cell r="AV59">
            <v>5.714272421863939E-2</v>
          </cell>
          <cell r="AX59">
            <v>5.714272421863939E-2</v>
          </cell>
          <cell r="AY59">
            <v>5.714272421863939E-2</v>
          </cell>
          <cell r="AZ59">
            <v>5.714272421863939E-2</v>
          </cell>
          <cell r="BA59">
            <v>5.714272421863939E-2</v>
          </cell>
          <cell r="BC59">
            <v>5.714272421863939E-2</v>
          </cell>
          <cell r="BD59">
            <v>5.714272421863939E-2</v>
          </cell>
          <cell r="BE59">
            <v>5.714272421863939E-2</v>
          </cell>
          <cell r="BF59">
            <v>5.714272421863939E-2</v>
          </cell>
          <cell r="BH59">
            <v>5.714272421863939E-2</v>
          </cell>
          <cell r="BI59">
            <v>5.714272421863939E-2</v>
          </cell>
          <cell r="BJ59">
            <v>5.714272421863939E-2</v>
          </cell>
          <cell r="BK59">
            <v>5.714272421863939E-2</v>
          </cell>
        </row>
        <row r="60">
          <cell r="A60" t="str">
            <v>Tenant Improvements (% of NOI)</v>
          </cell>
          <cell r="Y60">
            <v>0.19526627218934911</v>
          </cell>
          <cell r="Z60">
            <v>0.25454545454545452</v>
          </cell>
          <cell r="AA60">
            <v>0.11042944785276074</v>
          </cell>
          <cell r="AB60">
            <v>7.8125E-2</v>
          </cell>
          <cell r="AC60">
            <v>0.15674891146589259</v>
          </cell>
          <cell r="AD60">
            <v>0.11627906976744186</v>
          </cell>
          <cell r="AE60">
            <v>4.4692737430167599E-2</v>
          </cell>
          <cell r="AF60">
            <v>3.2967032967032968E-2</v>
          </cell>
          <cell r="AG60">
            <v>6.7092651757188496E-2</v>
          </cell>
          <cell r="AH60">
            <v>6.5011820330969264E-2</v>
          </cell>
          <cell r="AI60">
            <v>0.10410094637223975</v>
          </cell>
          <cell r="AJ60">
            <v>6.1349693251533742E-2</v>
          </cell>
          <cell r="AK60">
            <v>3.313253012048193E-2</v>
          </cell>
          <cell r="AL60">
            <v>9.696969696969697E-2</v>
          </cell>
          <cell r="AN60">
            <v>7.3888216678488092E-2</v>
          </cell>
          <cell r="AO60">
            <v>7.3888216678488092E-2</v>
          </cell>
          <cell r="AP60">
            <v>7.3888216678488092E-2</v>
          </cell>
          <cell r="AQ60">
            <v>7.3888216678488092E-2</v>
          </cell>
          <cell r="AS60">
            <v>7.3888216678488092E-2</v>
          </cell>
          <cell r="AT60">
            <v>7.3888216678488092E-2</v>
          </cell>
          <cell r="AU60">
            <v>7.3888216678488092E-2</v>
          </cell>
          <cell r="AV60">
            <v>7.3888216678488092E-2</v>
          </cell>
          <cell r="AX60">
            <v>7.3888216678488092E-2</v>
          </cell>
          <cell r="AY60">
            <v>7.3888216678488092E-2</v>
          </cell>
          <cell r="AZ60">
            <v>7.3888216678488092E-2</v>
          </cell>
          <cell r="BA60">
            <v>7.3888216678488092E-2</v>
          </cell>
          <cell r="BC60">
            <v>7.3888216678488092E-2</v>
          </cell>
          <cell r="BD60">
            <v>7.3888216678488092E-2</v>
          </cell>
          <cell r="BE60">
            <v>7.3888216678488092E-2</v>
          </cell>
          <cell r="BF60">
            <v>7.3888216678488092E-2</v>
          </cell>
          <cell r="BH60">
            <v>7.3888216678488092E-2</v>
          </cell>
          <cell r="BI60">
            <v>7.3888216678488092E-2</v>
          </cell>
          <cell r="BJ60">
            <v>7.3888216678488092E-2</v>
          </cell>
          <cell r="BK60">
            <v>7.3888216678488092E-2</v>
          </cell>
        </row>
        <row r="61">
          <cell r="A61" t="str">
            <v>Operating Margin (% Revenues)</v>
          </cell>
          <cell r="E61">
            <v>9.2307692307692313E-2</v>
          </cell>
          <cell r="F61">
            <v>6.5934065934065936E-2</v>
          </cell>
          <cell r="G61">
            <v>0.1076923076923077</v>
          </cell>
          <cell r="H61">
            <v>9.7087378640776691E-3</v>
          </cell>
          <cell r="I61">
            <v>6.1728395061728392E-2</v>
          </cell>
          <cell r="J61">
            <v>0.10526315789473684</v>
          </cell>
          <cell r="K61">
            <v>9.7222222222222224E-2</v>
          </cell>
          <cell r="L61">
            <v>0.15217391304347827</v>
          </cell>
          <cell r="M61">
            <v>1.3698630136986301E-2</v>
          </cell>
          <cell r="N61">
            <v>6.8535825545171333E-2</v>
          </cell>
          <cell r="O61">
            <v>0.17948717948717949</v>
          </cell>
          <cell r="P61">
            <v>0.15555555555555556</v>
          </cell>
          <cell r="Q61">
            <v>0.14000000000000001</v>
          </cell>
          <cell r="R61">
            <v>0.10989010989010989</v>
          </cell>
          <cell r="S61">
            <v>0.13777777777777778</v>
          </cell>
          <cell r="T61">
            <v>0.1951219512195122</v>
          </cell>
          <cell r="U61">
            <v>0.16949152542372881</v>
          </cell>
          <cell r="V61">
            <v>0.18032786885245902</v>
          </cell>
          <cell r="W61">
            <v>0.13</v>
          </cell>
          <cell r="X61">
            <v>0.16091954022988506</v>
          </cell>
          <cell r="Y61">
            <v>0.23636363636363636</v>
          </cell>
          <cell r="Z61">
            <v>0.29629629629629628</v>
          </cell>
          <cell r="AA61">
            <v>0.25263157894736843</v>
          </cell>
          <cell r="AB61">
            <v>0.2848101265822785</v>
          </cell>
          <cell r="AC61">
            <v>0.27249357326478146</v>
          </cell>
          <cell r="AD61">
            <v>0.2808988764044944</v>
          </cell>
          <cell r="AE61">
            <v>0.28703703703703703</v>
          </cell>
          <cell r="AF61">
            <v>0.35238095238095241</v>
          </cell>
          <cell r="AG61">
            <v>0.32278481012658228</v>
          </cell>
          <cell r="AH61">
            <v>0.31304347826086959</v>
          </cell>
          <cell r="AI61">
            <v>0.3783783783783784</v>
          </cell>
          <cell r="AJ61">
            <v>0.4044943820224719</v>
          </cell>
          <cell r="AK61">
            <v>0.30714285714285716</v>
          </cell>
          <cell r="AL61">
            <v>0.29520295202952029</v>
          </cell>
          <cell r="AM61">
            <v>0.33857142857142858</v>
          </cell>
          <cell r="AN61">
            <v>0.3</v>
          </cell>
          <cell r="AO61">
            <v>0.3</v>
          </cell>
          <cell r="AP61">
            <v>0.3</v>
          </cell>
          <cell r="AQ61">
            <v>0.3</v>
          </cell>
          <cell r="AR61">
            <v>0.30000000000000004</v>
          </cell>
          <cell r="AS61">
            <v>0.3</v>
          </cell>
          <cell r="AT61">
            <v>0.3</v>
          </cell>
          <cell r="AU61">
            <v>0.3</v>
          </cell>
          <cell r="AV61">
            <v>0.3</v>
          </cell>
          <cell r="AW61">
            <v>0.30000000000000004</v>
          </cell>
          <cell r="AX61">
            <v>0.3</v>
          </cell>
          <cell r="AY61">
            <v>0.3</v>
          </cell>
          <cell r="AZ61">
            <v>0.3</v>
          </cell>
          <cell r="BA61">
            <v>0.3</v>
          </cell>
          <cell r="BB61">
            <v>0.30000000000000004</v>
          </cell>
          <cell r="BC61">
            <v>0.33</v>
          </cell>
          <cell r="BD61">
            <v>0.33</v>
          </cell>
          <cell r="BE61">
            <v>0.33</v>
          </cell>
          <cell r="BF61">
            <v>0.33</v>
          </cell>
          <cell r="BG61">
            <v>0.32999999999999996</v>
          </cell>
          <cell r="BH61">
            <v>0.33</v>
          </cell>
          <cell r="BI61">
            <v>0.33</v>
          </cell>
          <cell r="BJ61">
            <v>0.33</v>
          </cell>
          <cell r="BK61">
            <v>0.33</v>
          </cell>
          <cell r="BL61">
            <v>0.33000000000000013</v>
          </cell>
        </row>
        <row r="65">
          <cell r="A65" t="str">
            <v>DEPRECIATION SCHEDULE</v>
          </cell>
        </row>
        <row r="66">
          <cell r="A66" t="str">
            <v xml:space="preserve">Prior Quarter Gross BV of Assets </v>
          </cell>
          <cell r="E66">
            <v>6368000</v>
          </cell>
          <cell r="F66">
            <v>5975000</v>
          </cell>
          <cell r="G66">
            <v>6012000</v>
          </cell>
          <cell r="H66">
            <v>5892000</v>
          </cell>
          <cell r="I66">
            <v>5802000</v>
          </cell>
          <cell r="J66">
            <v>5802000</v>
          </cell>
          <cell r="K66">
            <v>5701000</v>
          </cell>
          <cell r="L66">
            <v>5767000</v>
          </cell>
          <cell r="M66">
            <v>5553000</v>
          </cell>
          <cell r="N66">
            <v>5661000</v>
          </cell>
          <cell r="O66">
            <v>5661000</v>
          </cell>
          <cell r="P66">
            <v>5750000</v>
          </cell>
          <cell r="Q66">
            <v>5849000</v>
          </cell>
          <cell r="R66">
            <v>5834000</v>
          </cell>
          <cell r="S66">
            <v>6297000</v>
          </cell>
          <cell r="T66">
            <v>6297000</v>
          </cell>
          <cell r="U66">
            <v>6493000</v>
          </cell>
          <cell r="V66">
            <v>6465000</v>
          </cell>
          <cell r="W66">
            <v>6626000</v>
          </cell>
          <cell r="X66">
            <v>6693000</v>
          </cell>
          <cell r="Y66">
            <v>6693000</v>
          </cell>
          <cell r="Z66">
            <v>6977000</v>
          </cell>
          <cell r="AA66">
            <v>6975000</v>
          </cell>
          <cell r="AB66">
            <v>7043000</v>
          </cell>
          <cell r="AD66">
            <v>7430000</v>
          </cell>
          <cell r="AE66">
            <v>7454000</v>
          </cell>
          <cell r="AF66">
            <v>7862000</v>
          </cell>
          <cell r="AG66">
            <v>7844000</v>
          </cell>
          <cell r="AI66">
            <v>15287000</v>
          </cell>
          <cell r="AJ66">
            <v>15195000</v>
          </cell>
          <cell r="AK66">
            <v>15497000</v>
          </cell>
          <cell r="AL66">
            <v>15450000</v>
          </cell>
          <cell r="AN66">
            <v>15889000</v>
          </cell>
          <cell r="AO66">
            <v>16007265.676487533</v>
          </cell>
          <cell r="AP66">
            <v>15914989.601085499</v>
          </cell>
          <cell r="AQ66">
            <v>15913099.297464868</v>
          </cell>
          <cell r="AS66">
            <v>15820543.108888801</v>
          </cell>
          <cell r="AT66">
            <v>15815643.823281061</v>
          </cell>
          <cell r="AU66">
            <v>15811224.150046134</v>
          </cell>
          <cell r="AV66">
            <v>15760621.653041387</v>
          </cell>
          <cell r="AX66">
            <v>15777638.576237736</v>
          </cell>
          <cell r="AY66">
            <v>15914556.819246603</v>
          </cell>
          <cell r="AZ66">
            <v>16051108.05377456</v>
          </cell>
          <cell r="BA66">
            <v>16186715.609824371</v>
          </cell>
          <cell r="BC66">
            <v>16320745.051256256</v>
          </cell>
          <cell r="BD66">
            <v>16741094.575569047</v>
          </cell>
          <cell r="BE66">
            <v>16673540.159242215</v>
          </cell>
          <cell r="BF66">
            <v>16606241.741102574</v>
          </cell>
          <cell r="BH66">
            <v>16538547.681180526</v>
          </cell>
          <cell r="BI66">
            <v>16473072.323749201</v>
          </cell>
          <cell r="BJ66">
            <v>16408386.088665035</v>
          </cell>
          <cell r="BK66">
            <v>16343892.570109155</v>
          </cell>
        </row>
        <row r="67">
          <cell r="A67" t="str">
            <v>Avg Life</v>
          </cell>
          <cell r="E67">
            <v>88.444444444444443</v>
          </cell>
          <cell r="F67">
            <v>78.618421052631575</v>
          </cell>
          <cell r="G67">
            <v>79.10526315789474</v>
          </cell>
          <cell r="H67">
            <v>73.650000000000006</v>
          </cell>
          <cell r="I67">
            <v>76.34210526315789</v>
          </cell>
          <cell r="J67">
            <v>76.34210526315789</v>
          </cell>
          <cell r="K67">
            <v>75.013157894736835</v>
          </cell>
          <cell r="L67">
            <v>72.087500000000006</v>
          </cell>
          <cell r="M67">
            <v>63.102272727272727</v>
          </cell>
          <cell r="N67">
            <v>70.762500000000003</v>
          </cell>
          <cell r="O67">
            <v>78.625</v>
          </cell>
          <cell r="P67">
            <v>71.875</v>
          </cell>
          <cell r="Q67">
            <v>73.112499999999997</v>
          </cell>
          <cell r="R67">
            <v>69.452380952380949</v>
          </cell>
          <cell r="S67">
            <v>79.708860759493675</v>
          </cell>
          <cell r="T67">
            <v>46.301470588235297</v>
          </cell>
          <cell r="U67">
            <v>46.378571428571426</v>
          </cell>
          <cell r="V67">
            <v>43.682432432432435</v>
          </cell>
          <cell r="W67">
            <v>42.474358974358971</v>
          </cell>
          <cell r="X67">
            <v>46.158620689655173</v>
          </cell>
          <cell r="Y67">
            <v>46.479166666666664</v>
          </cell>
          <cell r="Z67">
            <v>42.542682926829265</v>
          </cell>
          <cell r="AA67">
            <v>41.517857142857146</v>
          </cell>
          <cell r="AB67">
            <v>37.462765957446805</v>
          </cell>
          <cell r="AD67">
            <v>41.277777777777779</v>
          </cell>
          <cell r="AE67">
            <v>36.53921568627451</v>
          </cell>
          <cell r="AF67">
            <v>38.53921568627451</v>
          </cell>
          <cell r="AG67">
            <v>14.419117647058824</v>
          </cell>
          <cell r="AI67">
            <v>30.331349206349206</v>
          </cell>
          <cell r="AJ67">
            <v>28.56203007518797</v>
          </cell>
          <cell r="AK67">
            <v>28.487132352941178</v>
          </cell>
          <cell r="AL67">
            <v>27.989130434782609</v>
          </cell>
          <cell r="AN67">
            <v>27.989130434782609</v>
          </cell>
          <cell r="AO67">
            <v>27.989130434782609</v>
          </cell>
          <cell r="AP67">
            <v>27.989130434782609</v>
          </cell>
          <cell r="AQ67">
            <v>27.989130434782609</v>
          </cell>
          <cell r="AS67">
            <v>27.989130434782609</v>
          </cell>
          <cell r="AT67">
            <v>27.989130434782609</v>
          </cell>
          <cell r="AU67">
            <v>27.989130434782609</v>
          </cell>
          <cell r="AV67">
            <v>27.989130434782609</v>
          </cell>
          <cell r="AX67">
            <v>27.989130434782609</v>
          </cell>
          <cell r="AY67">
            <v>27.989130434782609</v>
          </cell>
          <cell r="AZ67">
            <v>27.989130434782609</v>
          </cell>
          <cell r="BA67">
            <v>27.989130434782609</v>
          </cell>
          <cell r="BC67">
            <v>27.989130434782609</v>
          </cell>
          <cell r="BD67">
            <v>27.989130434782609</v>
          </cell>
          <cell r="BE67">
            <v>27.989130434782609</v>
          </cell>
          <cell r="BF67">
            <v>27.989130434782609</v>
          </cell>
          <cell r="BH67">
            <v>27.989130434782609</v>
          </cell>
          <cell r="BI67">
            <v>27.989130434782609</v>
          </cell>
          <cell r="BJ67">
            <v>27.989130434782609</v>
          </cell>
          <cell r="BK67">
            <v>27.989130434782609</v>
          </cell>
        </row>
        <row r="68">
          <cell r="A68" t="str">
            <v>Current Depreciation</v>
          </cell>
          <cell r="E68">
            <v>18000</v>
          </cell>
          <cell r="F68">
            <v>19000</v>
          </cell>
          <cell r="G68">
            <v>19000</v>
          </cell>
          <cell r="H68">
            <v>20000</v>
          </cell>
          <cell r="I68">
            <v>76000</v>
          </cell>
          <cell r="J68">
            <v>19000</v>
          </cell>
          <cell r="K68">
            <v>19000</v>
          </cell>
          <cell r="L68">
            <v>20000</v>
          </cell>
          <cell r="M68">
            <v>22000</v>
          </cell>
          <cell r="N68">
            <v>80000</v>
          </cell>
          <cell r="O68">
            <v>18000</v>
          </cell>
          <cell r="P68">
            <v>20000</v>
          </cell>
          <cell r="Q68">
            <v>20000</v>
          </cell>
          <cell r="R68">
            <v>21000</v>
          </cell>
          <cell r="S68">
            <v>79000</v>
          </cell>
          <cell r="T68">
            <v>34000</v>
          </cell>
          <cell r="U68">
            <v>35000</v>
          </cell>
          <cell r="V68">
            <v>37000</v>
          </cell>
          <cell r="W68">
            <v>39000</v>
          </cell>
          <cell r="X68">
            <v>145000</v>
          </cell>
          <cell r="Y68">
            <v>36000</v>
          </cell>
          <cell r="Z68">
            <v>41000</v>
          </cell>
          <cell r="AA68">
            <v>42000</v>
          </cell>
          <cell r="AB68">
            <v>47000</v>
          </cell>
          <cell r="AD68">
            <v>45000</v>
          </cell>
          <cell r="AE68">
            <v>51000</v>
          </cell>
          <cell r="AF68">
            <v>51000</v>
          </cell>
          <cell r="AG68">
            <v>136000</v>
          </cell>
          <cell r="AI68">
            <v>126000</v>
          </cell>
          <cell r="AJ68">
            <v>133000</v>
          </cell>
          <cell r="AK68">
            <v>136000</v>
          </cell>
          <cell r="AL68">
            <v>138000</v>
          </cell>
          <cell r="AN68">
            <v>141921.16504854368</v>
          </cell>
          <cell r="AO68">
            <v>142977.51866377215</v>
          </cell>
          <cell r="AP68">
            <v>142153.30517474425</v>
          </cell>
          <cell r="AQ68">
            <v>142136.42090939495</v>
          </cell>
          <cell r="AS68">
            <v>141309.7054386184</v>
          </cell>
          <cell r="AT68">
            <v>141265.94482930657</v>
          </cell>
          <cell r="AU68">
            <v>141226.46813633441</v>
          </cell>
          <cell r="AV68">
            <v>140774.48466794248</v>
          </cell>
          <cell r="AX68">
            <v>140926.48048678366</v>
          </cell>
          <cell r="AY68">
            <v>142149.43955055217</v>
          </cell>
          <cell r="AZ68">
            <v>143369.12048031646</v>
          </cell>
          <cell r="BA68">
            <v>144580.37243726623</v>
          </cell>
          <cell r="BC68">
            <v>145777.52861316266</v>
          </cell>
          <cell r="BD68">
            <v>149532.1068885779</v>
          </cell>
          <cell r="BE68">
            <v>148928.70821847414</v>
          </cell>
          <cell r="BF68">
            <v>148327.59613412007</v>
          </cell>
          <cell r="BH68">
            <v>147722.95016200081</v>
          </cell>
          <cell r="BI68">
            <v>147138.1217266919</v>
          </cell>
          <cell r="BJ68">
            <v>146560.34176283333</v>
          </cell>
          <cell r="BK68">
            <v>145984.28315048953</v>
          </cell>
        </row>
        <row r="71">
          <cell r="A71" t="str">
            <v>PAYABLES/RECEIVABLES</v>
          </cell>
        </row>
        <row r="72">
          <cell r="A72" t="str">
            <v>Accounts and Notes Receivable</v>
          </cell>
          <cell r="E72">
            <v>1017000</v>
          </cell>
          <cell r="F72">
            <v>965000</v>
          </cell>
          <cell r="G72">
            <v>953000</v>
          </cell>
          <cell r="H72">
            <v>900000</v>
          </cell>
          <cell r="J72">
            <v>847000</v>
          </cell>
          <cell r="K72">
            <v>764000</v>
          </cell>
          <cell r="L72">
            <v>764000</v>
          </cell>
          <cell r="M72">
            <v>759000</v>
          </cell>
          <cell r="O72">
            <v>465000</v>
          </cell>
          <cell r="P72">
            <v>737000</v>
          </cell>
          <cell r="Q72">
            <v>704000</v>
          </cell>
          <cell r="R72">
            <v>660000</v>
          </cell>
          <cell r="T72">
            <v>499000</v>
          </cell>
          <cell r="U72">
            <v>646000</v>
          </cell>
          <cell r="V72">
            <v>399000</v>
          </cell>
          <cell r="W72">
            <v>476000</v>
          </cell>
          <cell r="Y72">
            <v>435000</v>
          </cell>
          <cell r="Z72">
            <v>479000</v>
          </cell>
          <cell r="AA72">
            <v>485000</v>
          </cell>
          <cell r="AB72">
            <v>542000</v>
          </cell>
          <cell r="AD72">
            <v>551000</v>
          </cell>
          <cell r="AE72">
            <v>566000</v>
          </cell>
          <cell r="AF72">
            <v>416000</v>
          </cell>
          <cell r="AG72">
            <v>465000</v>
          </cell>
          <cell r="AI72">
            <v>518000</v>
          </cell>
          <cell r="AJ72">
            <v>878000</v>
          </cell>
          <cell r="AK72">
            <v>927000</v>
          </cell>
          <cell r="AL72">
            <v>1023000</v>
          </cell>
          <cell r="AN72">
            <v>799827.8838176101</v>
          </cell>
          <cell r="AO72">
            <v>868903.40595103754</v>
          </cell>
          <cell r="AP72">
            <v>833013.89685459854</v>
          </cell>
          <cell r="AQ72">
            <v>919603.13498506334</v>
          </cell>
          <cell r="AS72">
            <v>794443.72153144446</v>
          </cell>
          <cell r="AT72">
            <v>854146.9544092681</v>
          </cell>
          <cell r="AU72">
            <v>822507.17056131351</v>
          </cell>
          <cell r="AV72">
            <v>896360.32715626294</v>
          </cell>
          <cell r="AX72">
            <v>794229.02065155481</v>
          </cell>
          <cell r="AY72">
            <v>849072.73334561638</v>
          </cell>
          <cell r="AZ72">
            <v>819757.19212446117</v>
          </cell>
          <cell r="BA72">
            <v>887685.10044961877</v>
          </cell>
          <cell r="BC72">
            <v>847219.7324840317</v>
          </cell>
          <cell r="BD72">
            <v>843972.2091770051</v>
          </cell>
          <cell r="BE72">
            <v>816887.27115497796</v>
          </cell>
          <cell r="BF72">
            <v>879407.49911273667</v>
          </cell>
          <cell r="BH72">
            <v>859640.75249997037</v>
          </cell>
          <cell r="BI72">
            <v>858699.58255428309</v>
          </cell>
          <cell r="BJ72">
            <v>828527.35534689622</v>
          </cell>
          <cell r="BK72">
            <v>895232.4894738578</v>
          </cell>
        </row>
        <row r="73">
          <cell r="A73" t="str">
            <v>Turnover</v>
          </cell>
          <cell r="E73">
            <v>1.2940019665683382</v>
          </cell>
          <cell r="F73">
            <v>1.4259067357512953</v>
          </cell>
          <cell r="G73">
            <v>1.3305351521511017</v>
          </cell>
          <cell r="H73">
            <v>1.5155555555555555</v>
          </cell>
          <cell r="J73">
            <v>1.3931523022432113</v>
          </cell>
          <cell r="K73">
            <v>1.6230366492146597</v>
          </cell>
          <cell r="L73">
            <v>1.4659685863874345</v>
          </cell>
          <cell r="M73">
            <v>1.9710144927536233</v>
          </cell>
          <cell r="O73">
            <v>2.4086021505376345</v>
          </cell>
          <cell r="P73">
            <v>1.5576662143826323</v>
          </cell>
          <cell r="Q73">
            <v>1.7272727272727273</v>
          </cell>
          <cell r="R73">
            <v>2</v>
          </cell>
          <cell r="T73">
            <v>2.5010020040080159</v>
          </cell>
          <cell r="U73">
            <v>1.9195046439628483</v>
          </cell>
          <cell r="V73">
            <v>3.3483709273182956</v>
          </cell>
          <cell r="W73">
            <v>3.1848739495798317</v>
          </cell>
          <cell r="Y73">
            <v>2.9793103448275864</v>
          </cell>
          <cell r="Z73">
            <v>2.9394572025052192</v>
          </cell>
          <cell r="AA73">
            <v>3.0350515463917525</v>
          </cell>
          <cell r="AB73">
            <v>3.158671586715867</v>
          </cell>
          <cell r="AD73">
            <v>2.7223230490018149</v>
          </cell>
          <cell r="AE73">
            <v>2.8551236749116606</v>
          </cell>
          <cell r="AF73">
            <v>3.9326923076923075</v>
          </cell>
          <cell r="AG73">
            <v>5.6258064516129034</v>
          </cell>
          <cell r="AI73">
            <v>4.8185328185328187</v>
          </cell>
          <cell r="AJ73">
            <v>3.1981776765375853</v>
          </cell>
          <cell r="AK73">
            <v>2.942826321467098</v>
          </cell>
          <cell r="AL73">
            <v>3.225806451612903</v>
          </cell>
          <cell r="AN73">
            <v>3.225806451612903</v>
          </cell>
          <cell r="AO73">
            <v>3.225806451612903</v>
          </cell>
          <cell r="AP73">
            <v>3.225806451612903</v>
          </cell>
          <cell r="AQ73">
            <v>3.225806451612903</v>
          </cell>
          <cell r="AS73">
            <v>3.225806451612903</v>
          </cell>
          <cell r="AT73">
            <v>3.225806451612903</v>
          </cell>
          <cell r="AU73">
            <v>3.225806451612903</v>
          </cell>
          <cell r="AV73">
            <v>3.225806451612903</v>
          </cell>
          <cell r="AX73">
            <v>3.225806451612903</v>
          </cell>
          <cell r="AY73">
            <v>3.225806451612903</v>
          </cell>
          <cell r="AZ73">
            <v>3.225806451612903</v>
          </cell>
          <cell r="BA73">
            <v>3.225806451612903</v>
          </cell>
          <cell r="BC73">
            <v>3.225806451612903</v>
          </cell>
          <cell r="BD73">
            <v>3.225806451612903</v>
          </cell>
          <cell r="BE73">
            <v>3.225806451612903</v>
          </cell>
          <cell r="BF73">
            <v>3.225806451612903</v>
          </cell>
          <cell r="BH73">
            <v>3.225806451612903</v>
          </cell>
          <cell r="BI73">
            <v>3.225806451612903</v>
          </cell>
          <cell r="BJ73">
            <v>3.225806451612903</v>
          </cell>
          <cell r="BK73">
            <v>3.225806451612903</v>
          </cell>
        </row>
        <row r="74">
          <cell r="A74" t="str">
            <v>Days Receivable Outstanding</v>
          </cell>
          <cell r="B74">
            <v>90</v>
          </cell>
          <cell r="E74">
            <v>69.551671732522792</v>
          </cell>
          <cell r="F74">
            <v>63.117732558139537</v>
          </cell>
          <cell r="G74">
            <v>67.64195583596215</v>
          </cell>
          <cell r="H74">
            <v>59.384164222873899</v>
          </cell>
          <cell r="J74">
            <v>64.601694915254242</v>
          </cell>
          <cell r="K74">
            <v>55.451612903225808</v>
          </cell>
          <cell r="L74">
            <v>61.392857142857146</v>
          </cell>
          <cell r="M74">
            <v>45.661764705882348</v>
          </cell>
          <cell r="O74">
            <v>37.366071428571431</v>
          </cell>
          <cell r="P74">
            <v>57.778745644599304</v>
          </cell>
          <cell r="Q74">
            <v>52.105263157894733</v>
          </cell>
          <cell r="R74">
            <v>45</v>
          </cell>
          <cell r="T74">
            <v>35.985576923076927</v>
          </cell>
          <cell r="U74">
            <v>46.887096774193552</v>
          </cell>
          <cell r="V74">
            <v>26.87874251497006</v>
          </cell>
          <cell r="W74">
            <v>28.258575197889183</v>
          </cell>
          <cell r="Y74">
            <v>30.208333333333332</v>
          </cell>
          <cell r="Z74">
            <v>30.617897727272727</v>
          </cell>
          <cell r="AA74">
            <v>29.653532608695652</v>
          </cell>
          <cell r="AB74">
            <v>28.49299065420561</v>
          </cell>
          <cell r="AD74">
            <v>33.06</v>
          </cell>
          <cell r="AE74">
            <v>31.522277227722775</v>
          </cell>
          <cell r="AF74">
            <v>22.885085574572127</v>
          </cell>
          <cell r="AG74">
            <v>15.997706422018348</v>
          </cell>
          <cell r="AI74">
            <v>18.677884615384613</v>
          </cell>
          <cell r="AJ74">
            <v>28.141025641025642</v>
          </cell>
          <cell r="AK74">
            <v>30.582844574780061</v>
          </cell>
          <cell r="AL74">
            <v>27.900000000000002</v>
          </cell>
          <cell r="AN74">
            <v>27.900000000000002</v>
          </cell>
          <cell r="AO74">
            <v>27.900000000000002</v>
          </cell>
          <cell r="AP74">
            <v>27.900000000000002</v>
          </cell>
          <cell r="AQ74">
            <v>27.900000000000002</v>
          </cell>
          <cell r="AS74">
            <v>27.900000000000002</v>
          </cell>
          <cell r="AT74">
            <v>27.900000000000002</v>
          </cell>
          <cell r="AU74">
            <v>27.900000000000002</v>
          </cell>
          <cell r="AV74">
            <v>27.900000000000002</v>
          </cell>
          <cell r="AX74">
            <v>27.900000000000002</v>
          </cell>
          <cell r="AY74">
            <v>27.900000000000002</v>
          </cell>
          <cell r="AZ74">
            <v>27.900000000000002</v>
          </cell>
          <cell r="BA74">
            <v>27.900000000000002</v>
          </cell>
          <cell r="BC74">
            <v>27.900000000000002</v>
          </cell>
          <cell r="BD74">
            <v>27.900000000000002</v>
          </cell>
          <cell r="BE74">
            <v>27.900000000000002</v>
          </cell>
          <cell r="BF74">
            <v>27.900000000000002</v>
          </cell>
          <cell r="BH74">
            <v>27.900000000000002</v>
          </cell>
          <cell r="BI74">
            <v>27.900000000000002</v>
          </cell>
          <cell r="BJ74">
            <v>27.900000000000002</v>
          </cell>
          <cell r="BK74">
            <v>27.900000000000002</v>
          </cell>
        </row>
        <row r="76">
          <cell r="A76" t="str">
            <v>Accounts Payable</v>
          </cell>
          <cell r="E76">
            <v>1031000</v>
          </cell>
          <cell r="F76">
            <v>327000</v>
          </cell>
          <cell r="G76">
            <v>345000</v>
          </cell>
          <cell r="H76">
            <v>319000</v>
          </cell>
          <cell r="J76">
            <v>460000</v>
          </cell>
          <cell r="K76">
            <v>308000</v>
          </cell>
          <cell r="L76">
            <v>341000</v>
          </cell>
          <cell r="M76">
            <v>355000</v>
          </cell>
          <cell r="O76">
            <v>246000</v>
          </cell>
          <cell r="P76">
            <v>451000</v>
          </cell>
          <cell r="Q76">
            <v>457000</v>
          </cell>
          <cell r="R76">
            <v>541000</v>
          </cell>
          <cell r="T76">
            <v>276000</v>
          </cell>
          <cell r="U76">
            <v>717000</v>
          </cell>
          <cell r="V76">
            <v>273000</v>
          </cell>
          <cell r="W76">
            <v>310000</v>
          </cell>
          <cell r="Y76">
            <v>289000</v>
          </cell>
          <cell r="Z76">
            <v>294000</v>
          </cell>
          <cell r="AA76">
            <v>242000</v>
          </cell>
          <cell r="AB76">
            <v>328000</v>
          </cell>
          <cell r="AD76">
            <v>468000</v>
          </cell>
          <cell r="AE76">
            <v>480000</v>
          </cell>
          <cell r="AF76">
            <v>419000</v>
          </cell>
          <cell r="AG76">
            <v>831000</v>
          </cell>
          <cell r="AI76">
            <v>687000</v>
          </cell>
          <cell r="AJ76">
            <v>934000</v>
          </cell>
          <cell r="AK76">
            <v>1028000</v>
          </cell>
          <cell r="AL76">
            <v>1231000</v>
          </cell>
          <cell r="AN76">
            <v>833105.08458367526</v>
          </cell>
          <cell r="AO76">
            <v>942703.05900989578</v>
          </cell>
          <cell r="AP76">
            <v>897079.05399362836</v>
          </cell>
          <cell r="AQ76">
            <v>1068915.8745765812</v>
          </cell>
          <cell r="AS76">
            <v>818035.03778369585</v>
          </cell>
          <cell r="AT76">
            <v>912740.86061653041</v>
          </cell>
          <cell r="AU76">
            <v>874579.84499243274</v>
          </cell>
          <cell r="AV76">
            <v>1026410.7762452781</v>
          </cell>
          <cell r="AX76">
            <v>817647.1414554168</v>
          </cell>
          <cell r="AY76">
            <v>904662.88487636833</v>
          </cell>
          <cell r="AZ76">
            <v>870645.1285335765</v>
          </cell>
          <cell r="BA76">
            <v>1013326.3252529985</v>
          </cell>
          <cell r="BC76">
            <v>895266.03521846607</v>
          </cell>
          <cell r="BD76">
            <v>888194.31266818859</v>
          </cell>
          <cell r="BE76">
            <v>860056.59816767834</v>
          </cell>
          <cell r="BF76">
            <v>990080.76471625501</v>
          </cell>
          <cell r="BH76">
            <v>916722.65689509735</v>
          </cell>
          <cell r="BI76">
            <v>913690.01898771769</v>
          </cell>
          <cell r="BJ76">
            <v>881274.70881423599</v>
          </cell>
          <cell r="BK76">
            <v>1018398.8604159898</v>
          </cell>
        </row>
        <row r="77">
          <cell r="A77" t="str">
            <v>Rental Expenses</v>
          </cell>
          <cell r="E77">
            <v>656000</v>
          </cell>
          <cell r="F77">
            <v>732000</v>
          </cell>
          <cell r="G77">
            <v>624000</v>
          </cell>
          <cell r="H77">
            <v>764000</v>
          </cell>
          <cell r="J77">
            <v>556000</v>
          </cell>
          <cell r="K77">
            <v>604000</v>
          </cell>
          <cell r="L77">
            <v>508000</v>
          </cell>
          <cell r="M77">
            <v>880000</v>
          </cell>
          <cell r="O77">
            <v>492000</v>
          </cell>
          <cell r="P77">
            <v>512000</v>
          </cell>
          <cell r="Q77">
            <v>584000</v>
          </cell>
          <cell r="R77">
            <v>704000</v>
          </cell>
          <cell r="T77">
            <v>500000</v>
          </cell>
          <cell r="U77">
            <v>536000</v>
          </cell>
          <cell r="V77">
            <v>620000</v>
          </cell>
          <cell r="W77">
            <v>784000</v>
          </cell>
          <cell r="Y77">
            <v>568000</v>
          </cell>
          <cell r="Z77">
            <v>652000</v>
          </cell>
          <cell r="AA77">
            <v>724000</v>
          </cell>
          <cell r="AB77">
            <v>904000</v>
          </cell>
          <cell r="AD77">
            <v>736000</v>
          </cell>
          <cell r="AE77">
            <v>812000</v>
          </cell>
          <cell r="AF77">
            <v>800000</v>
          </cell>
          <cell r="AG77">
            <v>1208000</v>
          </cell>
          <cell r="AI77">
            <v>1092000</v>
          </cell>
          <cell r="AJ77">
            <v>1256000</v>
          </cell>
          <cell r="AK77">
            <v>1268000</v>
          </cell>
          <cell r="AL77">
            <v>1708000</v>
          </cell>
          <cell r="AN77">
            <v>1155924.8452225162</v>
          </cell>
          <cell r="AO77">
            <v>1307990.9218431374</v>
          </cell>
          <cell r="AP77">
            <v>1244688.0781650019</v>
          </cell>
          <cell r="AQ77">
            <v>1483109.921833307</v>
          </cell>
          <cell r="AS77">
            <v>1135015.3083140152</v>
          </cell>
          <cell r="AT77">
            <v>1266418.675818874</v>
          </cell>
          <cell r="AU77">
            <v>1213470.6541405972</v>
          </cell>
          <cell r="AV77">
            <v>1424134.5295101015</v>
          </cell>
          <cell r="AX77">
            <v>1134477.1060973615</v>
          </cell>
          <cell r="AY77">
            <v>1255210.5665059604</v>
          </cell>
          <cell r="AZ77">
            <v>1208011.2750084067</v>
          </cell>
          <cell r="BA77">
            <v>1405979.986622357</v>
          </cell>
          <cell r="BC77">
            <v>1242172.5330244843</v>
          </cell>
          <cell r="BD77">
            <v>1232360.5897946924</v>
          </cell>
          <cell r="BE77">
            <v>1193319.7966453247</v>
          </cell>
          <cell r="BF77">
            <v>1373727.0074210914</v>
          </cell>
          <cell r="BH77">
            <v>1271943.3777228484</v>
          </cell>
          <cell r="BI77">
            <v>1267735.6234208138</v>
          </cell>
          <cell r="BJ77">
            <v>1222759.7097113852</v>
          </cell>
          <cell r="BK77">
            <v>1413018.07765273</v>
          </cell>
        </row>
        <row r="78">
          <cell r="A78" t="str">
            <v>Turnover</v>
          </cell>
          <cell r="E78">
            <v>0.63627546071774976</v>
          </cell>
          <cell r="F78">
            <v>2.238532110091743</v>
          </cell>
          <cell r="G78">
            <v>1.808695652173913</v>
          </cell>
          <cell r="H78">
            <v>2.3949843260188088</v>
          </cell>
          <cell r="J78">
            <v>1.2086956521739129</v>
          </cell>
          <cell r="K78">
            <v>1.9610389610389611</v>
          </cell>
          <cell r="L78">
            <v>1.4897360703812317</v>
          </cell>
          <cell r="M78">
            <v>2.4788732394366195</v>
          </cell>
          <cell r="O78">
            <v>2</v>
          </cell>
          <cell r="P78">
            <v>1.1352549889135255</v>
          </cell>
          <cell r="Q78">
            <v>1.2778993435448578</v>
          </cell>
          <cell r="R78">
            <v>1.3012939001848429</v>
          </cell>
          <cell r="T78">
            <v>1.8115942028985508</v>
          </cell>
          <cell r="U78">
            <v>0.74755927475592743</v>
          </cell>
          <cell r="V78">
            <v>2.271062271062271</v>
          </cell>
          <cell r="W78">
            <v>2.5290322580645159</v>
          </cell>
          <cell r="Y78">
            <v>1.9653979238754324</v>
          </cell>
          <cell r="Z78">
            <v>2.2176870748299318</v>
          </cell>
          <cell r="AA78">
            <v>2.9917355371900825</v>
          </cell>
          <cell r="AB78">
            <v>2.7560975609756095</v>
          </cell>
          <cell r="AD78">
            <v>1.5726495726495726</v>
          </cell>
          <cell r="AE78">
            <v>1.6916666666666667</v>
          </cell>
          <cell r="AF78">
            <v>1.909307875894988</v>
          </cell>
          <cell r="AG78">
            <v>1.4536702767749698</v>
          </cell>
          <cell r="AI78">
            <v>1.5895196506550218</v>
          </cell>
          <cell r="AJ78">
            <v>1.3447537473233404</v>
          </cell>
          <cell r="AK78">
            <v>1.2334630350194553</v>
          </cell>
          <cell r="AL78">
            <v>1.38748984565394</v>
          </cell>
          <cell r="AN78">
            <v>1.38748984565394</v>
          </cell>
          <cell r="AO78">
            <v>1.38748984565394</v>
          </cell>
          <cell r="AP78">
            <v>1.38748984565394</v>
          </cell>
          <cell r="AQ78">
            <v>1.38748984565394</v>
          </cell>
          <cell r="AS78">
            <v>1.38748984565394</v>
          </cell>
          <cell r="AT78">
            <v>1.38748984565394</v>
          </cell>
          <cell r="AU78">
            <v>1.38748984565394</v>
          </cell>
          <cell r="AV78">
            <v>1.38748984565394</v>
          </cell>
          <cell r="AX78">
            <v>1.38748984565394</v>
          </cell>
          <cell r="AY78">
            <v>1.38748984565394</v>
          </cell>
          <cell r="AZ78">
            <v>1.38748984565394</v>
          </cell>
          <cell r="BA78">
            <v>1.38748984565394</v>
          </cell>
          <cell r="BC78">
            <v>1.38748984565394</v>
          </cell>
          <cell r="BD78">
            <v>1.38748984565394</v>
          </cell>
          <cell r="BE78">
            <v>1.38748984565394</v>
          </cell>
          <cell r="BF78">
            <v>1.38748984565394</v>
          </cell>
          <cell r="BH78">
            <v>1.38748984565394</v>
          </cell>
          <cell r="BI78">
            <v>1.38748984565394</v>
          </cell>
          <cell r="BJ78">
            <v>1.38748984565394</v>
          </cell>
          <cell r="BK78">
            <v>1.38748984565394</v>
          </cell>
        </row>
        <row r="79">
          <cell r="A79" t="str">
            <v>Days Receivable Outstanding</v>
          </cell>
          <cell r="B79">
            <v>90</v>
          </cell>
          <cell r="E79">
            <v>141.44817073170731</v>
          </cell>
          <cell r="F79">
            <v>40.204918032786885</v>
          </cell>
          <cell r="G79">
            <v>49.759615384615387</v>
          </cell>
          <cell r="H79">
            <v>37.578534031413611</v>
          </cell>
          <cell r="J79">
            <v>74.46043165467627</v>
          </cell>
          <cell r="K79">
            <v>45.894039735099334</v>
          </cell>
          <cell r="L79">
            <v>60.413385826771652</v>
          </cell>
          <cell r="M79">
            <v>36.306818181818187</v>
          </cell>
          <cell r="O79">
            <v>45</v>
          </cell>
          <cell r="P79">
            <v>79.27734375</v>
          </cell>
          <cell r="Q79">
            <v>70.428082191780817</v>
          </cell>
          <cell r="R79">
            <v>69.161931818181813</v>
          </cell>
          <cell r="T79">
            <v>49.68</v>
          </cell>
          <cell r="U79">
            <v>120.39179104477613</v>
          </cell>
          <cell r="V79">
            <v>39.62903225806452</v>
          </cell>
          <cell r="W79">
            <v>35.586734693877553</v>
          </cell>
          <cell r="Y79">
            <v>45.79225352112676</v>
          </cell>
          <cell r="Z79">
            <v>40.582822085889575</v>
          </cell>
          <cell r="AA79">
            <v>30.082872928176798</v>
          </cell>
          <cell r="AB79">
            <v>32.654867256637168</v>
          </cell>
          <cell r="AD79">
            <v>57.228260869565219</v>
          </cell>
          <cell r="AE79">
            <v>53.201970443349751</v>
          </cell>
          <cell r="AF79">
            <v>47.137500000000003</v>
          </cell>
          <cell r="AG79">
            <v>61.912251655629142</v>
          </cell>
          <cell r="AI79">
            <v>56.620879120879124</v>
          </cell>
          <cell r="AJ79">
            <v>66.926751592356695</v>
          </cell>
          <cell r="AK79">
            <v>72.965299684542586</v>
          </cell>
          <cell r="AL79">
            <v>64.865339578454325</v>
          </cell>
          <cell r="AN79">
            <v>64.865339578454325</v>
          </cell>
          <cell r="AO79">
            <v>64.865339578454325</v>
          </cell>
          <cell r="AP79">
            <v>64.865339578454325</v>
          </cell>
          <cell r="AQ79">
            <v>64.865339578454325</v>
          </cell>
          <cell r="AS79">
            <v>64.865339578454325</v>
          </cell>
          <cell r="AT79">
            <v>64.865339578454325</v>
          </cell>
          <cell r="AU79">
            <v>64.865339578454325</v>
          </cell>
          <cell r="AV79">
            <v>64.865339578454325</v>
          </cell>
          <cell r="AX79">
            <v>64.865339578454325</v>
          </cell>
          <cell r="AY79">
            <v>64.865339578454325</v>
          </cell>
          <cell r="AZ79">
            <v>64.865339578454325</v>
          </cell>
          <cell r="BA79">
            <v>64.865339578454325</v>
          </cell>
          <cell r="BC79">
            <v>64.865339578454325</v>
          </cell>
          <cell r="BD79">
            <v>64.865339578454325</v>
          </cell>
          <cell r="BE79">
            <v>64.865339578454325</v>
          </cell>
          <cell r="BF79">
            <v>64.865339578454325</v>
          </cell>
          <cell r="BH79">
            <v>64.865339578454325</v>
          </cell>
          <cell r="BI79">
            <v>64.865339578454325</v>
          </cell>
          <cell r="BJ79">
            <v>64.865339578454325</v>
          </cell>
          <cell r="BK79">
            <v>64.865339578454325</v>
          </cell>
        </row>
      </sheetData>
      <sheetData sheetId="10" refreshError="1">
        <row r="1">
          <cell r="A1" t="str">
            <v>NAV Sensitivity</v>
          </cell>
        </row>
        <row r="3">
          <cell r="Q3">
            <v>2006</v>
          </cell>
          <cell r="R3">
            <v>2007</v>
          </cell>
        </row>
        <row r="4">
          <cell r="P4" t="str">
            <v>Chg in Occupancy</v>
          </cell>
          <cell r="Q4" t="str">
            <v>+80 bp</v>
          </cell>
          <cell r="R4" t="str">
            <v>+40 bp</v>
          </cell>
          <cell r="AF4" t="str">
            <v>Capital Structure</v>
          </cell>
          <cell r="AI4" t="str">
            <v>1Q99</v>
          </cell>
          <cell r="AJ4" t="str">
            <v>2Q99</v>
          </cell>
          <cell r="AK4" t="str">
            <v>3Q99</v>
          </cell>
          <cell r="AL4" t="str">
            <v>4Q99</v>
          </cell>
          <cell r="AM4" t="str">
            <v>1Q00</v>
          </cell>
          <cell r="AN4" t="str">
            <v>2Q00</v>
          </cell>
          <cell r="AO4" t="str">
            <v>3Q00</v>
          </cell>
          <cell r="AP4" t="str">
            <v>4Q00</v>
          </cell>
          <cell r="AQ4" t="str">
            <v>1Q01</v>
          </cell>
          <cell r="AR4" t="str">
            <v>2Q01</v>
          </cell>
          <cell r="AS4" t="str">
            <v>3Q01</v>
          </cell>
          <cell r="AT4" t="str">
            <v>4Q01</v>
          </cell>
          <cell r="AU4" t="str">
            <v>1Q02</v>
          </cell>
          <cell r="AV4" t="str">
            <v>2Q02</v>
          </cell>
          <cell r="AW4" t="str">
            <v>3Q02</v>
          </cell>
          <cell r="AX4" t="str">
            <v>4Q02</v>
          </cell>
          <cell r="AY4" t="str">
            <v>1Q03</v>
          </cell>
          <cell r="AZ4" t="str">
            <v>2Q03</v>
          </cell>
          <cell r="BA4" t="str">
            <v>3Q03</v>
          </cell>
          <cell r="BB4" t="str">
            <v>4Q03</v>
          </cell>
          <cell r="BC4" t="str">
            <v>1Q04</v>
          </cell>
          <cell r="BD4" t="str">
            <v>2Q04</v>
          </cell>
          <cell r="BE4" t="str">
            <v>3Q04</v>
          </cell>
          <cell r="BF4" t="str">
            <v>4Q04</v>
          </cell>
          <cell r="BG4" t="str">
            <v>1Q05</v>
          </cell>
          <cell r="BH4" t="str">
            <v>2Q05</v>
          </cell>
        </row>
        <row r="5">
          <cell r="A5" t="str">
            <v>Cap Rate</v>
          </cell>
          <cell r="P5" t="str">
            <v>Rent Rate Growth</v>
          </cell>
          <cell r="Q5" t="str">
            <v>Flat</v>
          </cell>
          <cell r="R5" t="str">
            <v>+5%</v>
          </cell>
          <cell r="U5" t="str">
            <v>Leasing and Other Fees</v>
          </cell>
          <cell r="AF5" t="str">
            <v>Equity</v>
          </cell>
          <cell r="AG5">
            <v>6824693.3472000016</v>
          </cell>
          <cell r="AI5">
            <v>1.5975609756097562</v>
          </cell>
          <cell r="AJ5">
            <v>1.6875</v>
          </cell>
          <cell r="AK5">
            <v>1.7901234567901234</v>
          </cell>
          <cell r="AL5">
            <v>1.9647058823529411</v>
          </cell>
          <cell r="AM5">
            <v>1.7530864197530864</v>
          </cell>
          <cell r="AN5">
            <v>2.0595238095238093</v>
          </cell>
          <cell r="AO5">
            <v>1.8222222222222222</v>
          </cell>
          <cell r="AP5">
            <v>1.6067415730337078</v>
          </cell>
          <cell r="AQ5">
            <v>1.9347826086956521</v>
          </cell>
          <cell r="AR5">
            <v>2</v>
          </cell>
          <cell r="AS5">
            <v>1.7857142857142858</v>
          </cell>
          <cell r="AT5">
            <v>1.728395061728395</v>
          </cell>
          <cell r="AU5">
            <v>2.3717948717948718</v>
          </cell>
          <cell r="AV5">
            <v>1.9342105263157894</v>
          </cell>
          <cell r="AW5">
            <v>2.1447368421052633</v>
          </cell>
          <cell r="AX5">
            <v>1.9863013698630136</v>
          </cell>
          <cell r="AY5">
            <v>1.972972972972973</v>
          </cell>
          <cell r="AZ5">
            <v>2.0555555555555554</v>
          </cell>
          <cell r="BA5">
            <v>2.0704225352112675</v>
          </cell>
          <cell r="BB5">
            <v>3.5735294117647061</v>
          </cell>
          <cell r="BC5">
            <v>2.36</v>
          </cell>
          <cell r="BD5">
            <v>2.8846153846153846</v>
          </cell>
          <cell r="BE5">
            <v>2.1666666666666665</v>
          </cell>
          <cell r="BF5">
            <v>2.1097560975609757</v>
          </cell>
          <cell r="BG5">
            <v>2.1111111111111112</v>
          </cell>
          <cell r="BH5">
            <v>2.1707317073170733</v>
          </cell>
        </row>
        <row r="6">
          <cell r="P6" t="str">
            <v>Office NOI Margin</v>
          </cell>
          <cell r="Q6">
            <v>0.62</v>
          </cell>
          <cell r="R6">
            <v>0.62</v>
          </cell>
          <cell r="AF6" t="str">
            <v>Pref Equity</v>
          </cell>
          <cell r="AG6">
            <v>357000</v>
          </cell>
        </row>
        <row r="7">
          <cell r="P7" t="str">
            <v>Residential NOI Growth</v>
          </cell>
          <cell r="Q7">
            <v>0.03</v>
          </cell>
          <cell r="R7">
            <v>0.05</v>
          </cell>
          <cell r="AF7" t="str">
            <v>Cap Securities</v>
          </cell>
          <cell r="AG7">
            <v>1045000</v>
          </cell>
        </row>
        <row r="8">
          <cell r="P8" t="str">
            <v>Interest and Other(% NOI)</v>
          </cell>
          <cell r="Q8">
            <v>0.06</v>
          </cell>
          <cell r="R8">
            <v>0.06</v>
          </cell>
          <cell r="AF8" t="str">
            <v>Debt</v>
          </cell>
          <cell r="AG8">
            <v>4679000</v>
          </cell>
        </row>
        <row r="9">
          <cell r="P9" t="str">
            <v>G&amp;A (% Total Revenues)</v>
          </cell>
          <cell r="Q9">
            <v>3.3000000000000002E-2</v>
          </cell>
          <cell r="R9">
            <v>3.3000000000000002E-2</v>
          </cell>
        </row>
        <row r="10">
          <cell r="P10" t="str">
            <v>Net Acquisitions</v>
          </cell>
          <cell r="Q10">
            <v>184</v>
          </cell>
          <cell r="R10">
            <v>200</v>
          </cell>
        </row>
        <row r="15">
          <cell r="A15" t="str">
            <v>Cost of Equity</v>
          </cell>
        </row>
        <row r="26">
          <cell r="F26">
            <v>2005</v>
          </cell>
          <cell r="H26">
            <v>2006</v>
          </cell>
          <cell r="I26">
            <v>2007</v>
          </cell>
        </row>
        <row r="27">
          <cell r="D27" t="str">
            <v>NYC</v>
          </cell>
          <cell r="F27">
            <v>61</v>
          </cell>
          <cell r="H27">
            <v>331</v>
          </cell>
          <cell r="I27">
            <v>75</v>
          </cell>
          <cell r="J27">
            <v>252</v>
          </cell>
          <cell r="K27">
            <v>95</v>
          </cell>
          <cell r="P27">
            <v>492</v>
          </cell>
          <cell r="Q27">
            <v>216</v>
          </cell>
          <cell r="R27">
            <v>10152</v>
          </cell>
          <cell r="S27">
            <v>12453</v>
          </cell>
          <cell r="U27">
            <v>779</v>
          </cell>
        </row>
        <row r="28">
          <cell r="D28" t="str">
            <v>Toronto</v>
          </cell>
          <cell r="F28">
            <v>208</v>
          </cell>
          <cell r="H28">
            <v>328</v>
          </cell>
          <cell r="I28">
            <v>259</v>
          </cell>
          <cell r="J28">
            <v>374</v>
          </cell>
          <cell r="K28">
            <v>640</v>
          </cell>
          <cell r="P28">
            <v>630</v>
          </cell>
          <cell r="Q28">
            <v>650</v>
          </cell>
          <cell r="R28">
            <v>4368</v>
          </cell>
          <cell r="S28">
            <v>7882</v>
          </cell>
          <cell r="U28">
            <v>425</v>
          </cell>
        </row>
        <row r="29">
          <cell r="D29" t="str">
            <v>Other</v>
          </cell>
          <cell r="F29">
            <v>372</v>
          </cell>
          <cell r="H29">
            <v>730</v>
          </cell>
          <cell r="I29">
            <v>477</v>
          </cell>
          <cell r="J29">
            <v>1257</v>
          </cell>
          <cell r="K29">
            <v>590</v>
          </cell>
          <cell r="P29">
            <v>1020</v>
          </cell>
          <cell r="Q29">
            <v>2006</v>
          </cell>
          <cell r="R29">
            <v>9792</v>
          </cell>
          <cell r="S29">
            <v>17002</v>
          </cell>
        </row>
        <row r="31">
          <cell r="D31" t="str">
            <v xml:space="preserve"> Boston, Massachusetts  </v>
          </cell>
          <cell r="F31">
            <v>157</v>
          </cell>
          <cell r="H31">
            <v>291</v>
          </cell>
          <cell r="I31">
            <v>61</v>
          </cell>
          <cell r="J31">
            <v>376</v>
          </cell>
          <cell r="K31">
            <v>15</v>
          </cell>
          <cell r="P31">
            <v>172</v>
          </cell>
          <cell r="Q31">
            <v>375</v>
          </cell>
          <cell r="R31">
            <v>689</v>
          </cell>
          <cell r="S31">
            <v>2163</v>
          </cell>
          <cell r="U31">
            <v>27</v>
          </cell>
        </row>
        <row r="32">
          <cell r="D32" t="str">
            <v xml:space="preserve"> Washington, D.C.  </v>
          </cell>
          <cell r="F32" t="str">
            <v xml:space="preserve"> —  </v>
          </cell>
          <cell r="H32" t="str">
            <v xml:space="preserve"> —  </v>
          </cell>
          <cell r="I32" t="str">
            <v xml:space="preserve"> —  </v>
          </cell>
          <cell r="J32">
            <v>18</v>
          </cell>
          <cell r="K32">
            <v>10</v>
          </cell>
          <cell r="P32" t="str">
            <v xml:space="preserve"> —  </v>
          </cell>
          <cell r="Q32">
            <v>18</v>
          </cell>
          <cell r="R32">
            <v>1455</v>
          </cell>
          <cell r="S32">
            <v>1557</v>
          </cell>
          <cell r="U32">
            <v>56</v>
          </cell>
        </row>
        <row r="33">
          <cell r="D33" t="str">
            <v xml:space="preserve"> Calgary, Alberta  </v>
          </cell>
          <cell r="F33">
            <v>17</v>
          </cell>
          <cell r="H33">
            <v>160</v>
          </cell>
          <cell r="I33">
            <v>121</v>
          </cell>
          <cell r="J33">
            <v>283</v>
          </cell>
          <cell r="K33">
            <v>116</v>
          </cell>
          <cell r="P33">
            <v>473</v>
          </cell>
          <cell r="Q33">
            <v>1404</v>
          </cell>
          <cell r="R33">
            <v>3722</v>
          </cell>
          <cell r="S33">
            <v>6331</v>
          </cell>
          <cell r="U33">
            <v>35</v>
          </cell>
        </row>
        <row r="34">
          <cell r="D34" t="str">
            <v xml:space="preserve"> Denver, Colorado  </v>
          </cell>
          <cell r="F34">
            <v>171</v>
          </cell>
          <cell r="H34">
            <v>154</v>
          </cell>
          <cell r="I34">
            <v>185</v>
          </cell>
          <cell r="J34">
            <v>471</v>
          </cell>
          <cell r="K34">
            <v>158</v>
          </cell>
          <cell r="P34">
            <v>267</v>
          </cell>
          <cell r="Q34">
            <v>165</v>
          </cell>
          <cell r="R34">
            <v>1124</v>
          </cell>
          <cell r="S34">
            <v>3017</v>
          </cell>
          <cell r="U34">
            <v>322</v>
          </cell>
        </row>
        <row r="35">
          <cell r="D35" t="str">
            <v xml:space="preserve"> Minneapolis. Minnesota  </v>
          </cell>
          <cell r="F35">
            <v>21</v>
          </cell>
          <cell r="H35">
            <v>69</v>
          </cell>
          <cell r="I35">
            <v>42</v>
          </cell>
          <cell r="J35">
            <v>79</v>
          </cell>
          <cell r="K35">
            <v>244</v>
          </cell>
          <cell r="P35">
            <v>45</v>
          </cell>
          <cell r="Q35">
            <v>16</v>
          </cell>
          <cell r="R35">
            <v>2226</v>
          </cell>
          <cell r="S35">
            <v>3008</v>
          </cell>
          <cell r="U35">
            <v>266</v>
          </cell>
        </row>
        <row r="36">
          <cell r="D36" t="str">
            <v xml:space="preserve"> Other  </v>
          </cell>
          <cell r="F36">
            <v>6</v>
          </cell>
          <cell r="H36">
            <v>56</v>
          </cell>
          <cell r="I36">
            <v>68</v>
          </cell>
          <cell r="J36">
            <v>30</v>
          </cell>
          <cell r="K36">
            <v>47</v>
          </cell>
          <cell r="P36">
            <v>63</v>
          </cell>
          <cell r="Q36">
            <v>28</v>
          </cell>
          <cell r="R36">
            <v>576</v>
          </cell>
          <cell r="S36">
            <v>926</v>
          </cell>
          <cell r="U36">
            <v>52</v>
          </cell>
        </row>
        <row r="52">
          <cell r="Q52" t="str">
            <v>In-Place vs. Market Rents</v>
          </cell>
        </row>
        <row r="74">
          <cell r="D74" t="str">
            <v>Expirations</v>
          </cell>
          <cell r="F74" t="str">
            <v>NY/Boston/D.C</v>
          </cell>
          <cell r="H74" t="str">
            <v>Toronto/Calgary</v>
          </cell>
          <cell r="I74" t="str">
            <v>Denver/Minneapolis/Other</v>
          </cell>
        </row>
        <row r="75">
          <cell r="D75">
            <v>2006</v>
          </cell>
          <cell r="F75">
            <v>430</v>
          </cell>
          <cell r="H75">
            <v>407</v>
          </cell>
          <cell r="I75">
            <v>250</v>
          </cell>
          <cell r="J75">
            <v>37337</v>
          </cell>
        </row>
        <row r="76">
          <cell r="D76">
            <v>2007</v>
          </cell>
          <cell r="F76">
            <v>161</v>
          </cell>
          <cell r="H76">
            <v>375</v>
          </cell>
          <cell r="I76">
            <v>271</v>
          </cell>
          <cell r="J76">
            <v>37337</v>
          </cell>
        </row>
        <row r="77">
          <cell r="D77">
            <v>2008</v>
          </cell>
          <cell r="F77">
            <v>827</v>
          </cell>
          <cell r="H77">
            <v>654</v>
          </cell>
          <cell r="I77">
            <v>586</v>
          </cell>
          <cell r="J77">
            <v>37337</v>
          </cell>
        </row>
        <row r="78">
          <cell r="D78">
            <v>2009</v>
          </cell>
          <cell r="F78">
            <v>121</v>
          </cell>
          <cell r="H78">
            <v>750</v>
          </cell>
          <cell r="I78">
            <v>447</v>
          </cell>
          <cell r="J78">
            <v>37337</v>
          </cell>
        </row>
        <row r="79">
          <cell r="D79">
            <v>2010</v>
          </cell>
          <cell r="F79">
            <v>661</v>
          </cell>
          <cell r="H79">
            <v>1114</v>
          </cell>
          <cell r="I79">
            <v>384</v>
          </cell>
          <cell r="J79">
            <v>37337</v>
          </cell>
        </row>
        <row r="81">
          <cell r="D81">
            <v>2006</v>
          </cell>
          <cell r="F81">
            <v>1.1516726035835766E-2</v>
          </cell>
          <cell r="H81">
            <v>1.0900715108337573E-2</v>
          </cell>
          <cell r="I81">
            <v>6.6957709510673058E-3</v>
          </cell>
        </row>
        <row r="82">
          <cell r="D82">
            <v>2007</v>
          </cell>
          <cell r="F82">
            <v>4.3120764924873449E-3</v>
          </cell>
          <cell r="H82">
            <v>1.0043656426600959E-2</v>
          </cell>
          <cell r="I82">
            <v>7.2582157109569593E-3</v>
          </cell>
        </row>
        <row r="83">
          <cell r="D83">
            <v>2008</v>
          </cell>
          <cell r="F83">
            <v>2.2149610306130649E-2</v>
          </cell>
          <cell r="H83">
            <v>1.7516136807992071E-2</v>
          </cell>
          <cell r="I83">
            <v>1.5694887109301767E-2</v>
          </cell>
        </row>
        <row r="84">
          <cell r="D84">
            <v>2009</v>
          </cell>
          <cell r="F84">
            <v>3.2407531403165759E-3</v>
          </cell>
          <cell r="H84">
            <v>2.0087312853201918E-2</v>
          </cell>
          <cell r="I84">
            <v>1.1972038460508342E-2</v>
          </cell>
        </row>
        <row r="85">
          <cell r="D85">
            <v>2010</v>
          </cell>
          <cell r="F85">
            <v>1.7703618394621957E-2</v>
          </cell>
          <cell r="H85">
            <v>2.9836355357955913E-2</v>
          </cell>
          <cell r="I85">
            <v>1.0284704180839382E-2</v>
          </cell>
        </row>
        <row r="94">
          <cell r="C94" t="str">
            <v>SEC/Public</v>
          </cell>
        </row>
        <row r="95">
          <cell r="C95" t="str">
            <v>Company Name</v>
          </cell>
          <cell r="F95" t="str">
            <v>Institution Key</v>
          </cell>
          <cell r="H95" t="str">
            <v># of Properties(Off) (Actual)</v>
          </cell>
          <cell r="I95" t="str">
            <v>Total Square Feet(Off) (Actual)</v>
          </cell>
          <cell r="J95" t="str">
            <v>Portfolio Occupancy(Off) (%)</v>
          </cell>
          <cell r="K95" t="str">
            <v>Rent per SqFt(Off) ($)</v>
          </cell>
          <cell r="P95" t="str">
            <v>Rent per SqFt(Off) ($)</v>
          </cell>
        </row>
        <row r="96">
          <cell r="H96">
            <v>18910</v>
          </cell>
          <cell r="I96">
            <v>18911</v>
          </cell>
          <cell r="J96">
            <v>18912</v>
          </cell>
          <cell r="K96">
            <v>18913</v>
          </cell>
          <cell r="P96">
            <v>18913</v>
          </cell>
        </row>
        <row r="97">
          <cell r="H97" t="str">
            <v>MRQ</v>
          </cell>
          <cell r="I97" t="str">
            <v>MRQ</v>
          </cell>
          <cell r="J97" t="str">
            <v>MRQ</v>
          </cell>
          <cell r="K97" t="str">
            <v>MRQ</v>
          </cell>
          <cell r="P97" t="str">
            <v>MRQ</v>
          </cell>
        </row>
        <row r="98">
          <cell r="H98">
            <v>1</v>
          </cell>
          <cell r="I98">
            <v>1</v>
          </cell>
          <cell r="J98">
            <v>1</v>
          </cell>
          <cell r="K98">
            <v>1</v>
          </cell>
          <cell r="P98">
            <v>1</v>
          </cell>
        </row>
        <row r="99">
          <cell r="C99" t="str">
            <v>Brookfield Properties Corporation</v>
          </cell>
          <cell r="D99" t="str">
            <v>BPO</v>
          </cell>
          <cell r="F99">
            <v>4049380</v>
          </cell>
          <cell r="H99" t="str">
            <v>NA</v>
          </cell>
          <cell r="I99">
            <v>38070000</v>
          </cell>
          <cell r="J99">
            <v>94</v>
          </cell>
          <cell r="K99" t="str">
            <v>NA</v>
          </cell>
          <cell r="P99" t="str">
            <v>NA</v>
          </cell>
        </row>
        <row r="100">
          <cell r="C100" t="str">
            <v>Equity Office Properties Trust</v>
          </cell>
          <cell r="D100" t="str">
            <v>EOP</v>
          </cell>
          <cell r="F100">
            <v>113002</v>
          </cell>
          <cell r="H100">
            <v>607</v>
          </cell>
          <cell r="I100">
            <v>100909452</v>
          </cell>
          <cell r="J100">
            <v>90.1</v>
          </cell>
          <cell r="K100">
            <v>30.86</v>
          </cell>
          <cell r="P100">
            <v>30.86</v>
          </cell>
        </row>
        <row r="101">
          <cell r="C101" t="str">
            <v>Trizec Properties, Inc.</v>
          </cell>
          <cell r="D101" t="str">
            <v>TRZ</v>
          </cell>
          <cell r="F101">
            <v>4072928</v>
          </cell>
          <cell r="H101">
            <v>52</v>
          </cell>
          <cell r="I101">
            <v>37330000</v>
          </cell>
          <cell r="J101">
            <v>87.9</v>
          </cell>
          <cell r="K101">
            <v>26.8</v>
          </cell>
          <cell r="P101">
            <v>26.8</v>
          </cell>
        </row>
        <row r="102">
          <cell r="C102" t="str">
            <v>SL Green Realty Corp.</v>
          </cell>
          <cell r="D102" t="str">
            <v>SLG</v>
          </cell>
          <cell r="F102">
            <v>113065</v>
          </cell>
          <cell r="H102">
            <v>28</v>
          </cell>
          <cell r="I102">
            <v>18159900</v>
          </cell>
          <cell r="J102">
            <v>96</v>
          </cell>
          <cell r="K102" t="str">
            <v>NA</v>
          </cell>
          <cell r="P102" t="str">
            <v>NA</v>
          </cell>
        </row>
        <row r="103">
          <cell r="C103" t="str">
            <v>Maguire Properties, Inc.</v>
          </cell>
          <cell r="D103" t="str">
            <v>MPG</v>
          </cell>
          <cell r="F103">
            <v>4085443</v>
          </cell>
          <cell r="H103">
            <v>21</v>
          </cell>
          <cell r="I103">
            <v>14652558</v>
          </cell>
          <cell r="J103">
            <v>91.1</v>
          </cell>
          <cell r="K103">
            <v>19.7</v>
          </cell>
          <cell r="P103">
            <v>19.7</v>
          </cell>
        </row>
        <row r="104">
          <cell r="C104" t="str">
            <v>Boston Properties, Inc.</v>
          </cell>
          <cell r="D104" t="str">
            <v>BXP</v>
          </cell>
          <cell r="F104">
            <v>112885</v>
          </cell>
          <cell r="H104">
            <v>114</v>
          </cell>
          <cell r="I104">
            <v>30500541</v>
          </cell>
          <cell r="J104">
            <v>95.1</v>
          </cell>
          <cell r="K104" t="str">
            <v>NA</v>
          </cell>
          <cell r="P104" t="str">
            <v>NA</v>
          </cell>
        </row>
        <row r="106">
          <cell r="D106" t="str">
            <v>Company</v>
          </cell>
          <cell r="F106" t="str">
            <v>Occupancy</v>
          </cell>
        </row>
        <row r="107">
          <cell r="D107" t="str">
            <v>SLG</v>
          </cell>
          <cell r="F107">
            <v>0.96</v>
          </cell>
          <cell r="H107">
            <v>100</v>
          </cell>
        </row>
        <row r="108">
          <cell r="D108" t="str">
            <v>BXP</v>
          </cell>
          <cell r="F108">
            <v>0.95099999999999996</v>
          </cell>
        </row>
        <row r="109">
          <cell r="D109" t="str">
            <v>BPO</v>
          </cell>
          <cell r="F109">
            <v>0.94</v>
          </cell>
        </row>
        <row r="110">
          <cell r="D110" t="str">
            <v>MPG</v>
          </cell>
          <cell r="F110">
            <v>0.91099999999999992</v>
          </cell>
        </row>
        <row r="111">
          <cell r="D111" t="str">
            <v>EOP</v>
          </cell>
          <cell r="F111">
            <v>0.90099999999999991</v>
          </cell>
        </row>
        <row r="112">
          <cell r="D112" t="str">
            <v>TRZ</v>
          </cell>
          <cell r="F112">
            <v>0.879</v>
          </cell>
        </row>
        <row r="131">
          <cell r="C131" t="str">
            <v>NOI composition (2004)</v>
          </cell>
        </row>
        <row r="132">
          <cell r="C132" t="str">
            <v>Market</v>
          </cell>
          <cell r="D132" t="str">
            <v>NOI</v>
          </cell>
        </row>
        <row r="133">
          <cell r="C133" t="str">
            <v>Downtown NY</v>
          </cell>
          <cell r="D133">
            <v>0.42</v>
          </cell>
        </row>
        <row r="134">
          <cell r="C134" t="str">
            <v>Midtown NY</v>
          </cell>
          <cell r="D134">
            <v>0.14000000000000001</v>
          </cell>
        </row>
        <row r="135">
          <cell r="C135" t="str">
            <v>Toronto</v>
          </cell>
          <cell r="D135">
            <v>0.13</v>
          </cell>
        </row>
        <row r="136">
          <cell r="C136" t="str">
            <v>Calgary</v>
          </cell>
          <cell r="D136">
            <v>0.08</v>
          </cell>
        </row>
        <row r="137">
          <cell r="C137" t="str">
            <v>Boston</v>
          </cell>
          <cell r="D137">
            <v>0.06</v>
          </cell>
        </row>
        <row r="138">
          <cell r="C138" t="str">
            <v>Wash. D.C.</v>
          </cell>
          <cell r="D138">
            <v>0.03</v>
          </cell>
        </row>
        <row r="139">
          <cell r="C139" t="str">
            <v>Other</v>
          </cell>
          <cell r="D139">
            <v>0.14000000000000001</v>
          </cell>
        </row>
        <row r="156">
          <cell r="D156" t="str">
            <v>2005 FFOPS</v>
          </cell>
          <cell r="F156">
            <v>1.7037671232876712</v>
          </cell>
        </row>
        <row r="157">
          <cell r="D157" t="str">
            <v xml:space="preserve">Core NOI </v>
          </cell>
          <cell r="F157">
            <v>0.51004144086707048</v>
          </cell>
        </row>
        <row r="158">
          <cell r="D158" t="str">
            <v>Fee Income</v>
          </cell>
          <cell r="F158">
            <v>1.4167817801863068E-2</v>
          </cell>
        </row>
        <row r="159">
          <cell r="D159" t="str">
            <v>Residential</v>
          </cell>
          <cell r="F159">
            <v>0.10767541529415932</v>
          </cell>
        </row>
        <row r="160">
          <cell r="D160" t="str">
            <v>Acquisitions (O&amp;Y + $200MM)</v>
          </cell>
          <cell r="F160">
            <v>0</v>
          </cell>
        </row>
        <row r="161">
          <cell r="D161" t="str">
            <v>Other Income/Expenses)</v>
          </cell>
          <cell r="F161">
            <v>-0.42503453405589203</v>
          </cell>
        </row>
        <row r="162">
          <cell r="D162" t="str">
            <v>Growth from Share Repurchase</v>
          </cell>
          <cell r="F162">
            <v>-8.7975719659643126E-3</v>
          </cell>
        </row>
        <row r="163">
          <cell r="D163" t="str">
            <v>2006 FFO</v>
          </cell>
          <cell r="F163">
            <v>1.9018196912289078</v>
          </cell>
        </row>
        <row r="165">
          <cell r="H165" t="str">
            <v>Invisible</v>
          </cell>
          <cell r="I165" t="str">
            <v>Final</v>
          </cell>
          <cell r="J165" t="str">
            <v>Minus</v>
          </cell>
          <cell r="K165" t="str">
            <v>Plus</v>
          </cell>
          <cell r="L165" t="str">
            <v>Initial</v>
          </cell>
        </row>
        <row r="166">
          <cell r="F166" t="str">
            <v>2005 FFOPS</v>
          </cell>
          <cell r="L166">
            <v>1.7037671232876712</v>
          </cell>
        </row>
        <row r="167">
          <cell r="F167" t="str">
            <v xml:space="preserve">Core NOI </v>
          </cell>
          <cell r="H167">
            <v>1.7037671232876712</v>
          </cell>
          <cell r="K167">
            <v>0.51004144086707048</v>
          </cell>
        </row>
        <row r="168">
          <cell r="F168" t="str">
            <v>Special Fees</v>
          </cell>
          <cell r="H168">
            <v>2.2138085641547418</v>
          </cell>
          <cell r="K168">
            <v>1.4167817801863068E-2</v>
          </cell>
        </row>
        <row r="169">
          <cell r="F169" t="str">
            <v>Residential</v>
          </cell>
          <cell r="H169">
            <v>2.227976381956605</v>
          </cell>
          <cell r="K169">
            <v>0.10767541529415932</v>
          </cell>
        </row>
        <row r="170">
          <cell r="F170" t="str">
            <v>Acquisitions</v>
          </cell>
          <cell r="H170">
            <v>2.3356517972507644</v>
          </cell>
          <cell r="K170">
            <v>0</v>
          </cell>
        </row>
        <row r="171">
          <cell r="F171" t="str">
            <v>Other Inc/Exp</v>
          </cell>
          <cell r="H171">
            <v>1.9106172631948724</v>
          </cell>
          <cell r="J171">
            <v>0.42503453405589203</v>
          </cell>
        </row>
        <row r="172">
          <cell r="F172" t="str">
            <v>Share Buybacks</v>
          </cell>
          <cell r="H172">
            <v>1.9106172631948724</v>
          </cell>
          <cell r="K172">
            <v>-8.7975719659643126E-3</v>
          </cell>
        </row>
        <row r="173">
          <cell r="F173" t="str">
            <v>2006 FFO</v>
          </cell>
          <cell r="I173">
            <v>1.901819691228908</v>
          </cell>
        </row>
        <row r="197">
          <cell r="C197" t="str">
            <v>Forward 4Q FFO</v>
          </cell>
          <cell r="F197" t="str">
            <v>2005 Base Earnings</v>
          </cell>
          <cell r="H197" t="str">
            <v>2006 Base Earnings</v>
          </cell>
        </row>
        <row r="198">
          <cell r="C198">
            <v>1.87</v>
          </cell>
          <cell r="F198">
            <v>1.79</v>
          </cell>
          <cell r="H198">
            <v>1.84</v>
          </cell>
        </row>
        <row r="199">
          <cell r="C199">
            <v>15.2</v>
          </cell>
          <cell r="F199">
            <v>0.08</v>
          </cell>
          <cell r="H199">
            <v>0.08</v>
          </cell>
          <cell r="K199">
            <v>2.35E-2</v>
          </cell>
        </row>
        <row r="200">
          <cell r="C200">
            <v>28.423999999999999</v>
          </cell>
          <cell r="F200">
            <v>22.375</v>
          </cell>
          <cell r="H200">
            <v>23</v>
          </cell>
          <cell r="I200">
            <v>0.74193548387096775</v>
          </cell>
          <cell r="K200">
            <v>2.35E-2</v>
          </cell>
        </row>
        <row r="201">
          <cell r="C201">
            <v>0.1</v>
          </cell>
          <cell r="F201">
            <v>30.68</v>
          </cell>
          <cell r="H201">
            <v>30.68</v>
          </cell>
          <cell r="I201" t="str">
            <v>price target</v>
          </cell>
        </row>
        <row r="202">
          <cell r="C202">
            <v>31.266400000000001</v>
          </cell>
          <cell r="F202">
            <v>8.3049999999999997</v>
          </cell>
          <cell r="H202">
            <v>7.68</v>
          </cell>
          <cell r="I202">
            <v>0.24774193548387097</v>
          </cell>
        </row>
        <row r="203">
          <cell r="H203">
            <v>0.32000000000000028</v>
          </cell>
          <cell r="I203">
            <v>1.0322580645161299E-2</v>
          </cell>
        </row>
        <row r="204">
          <cell r="H204">
            <v>31</v>
          </cell>
          <cell r="I204" t="str">
            <v>to target price</v>
          </cell>
        </row>
        <row r="206">
          <cell r="F206" t="str">
            <v>Invisible</v>
          </cell>
          <cell r="H206" t="str">
            <v>Final</v>
          </cell>
          <cell r="I206" t="str">
            <v>Minus</v>
          </cell>
          <cell r="J206" t="str">
            <v>Plus</v>
          </cell>
          <cell r="K206" t="str">
            <v>Initial</v>
          </cell>
        </row>
        <row r="207">
          <cell r="K207">
            <v>0</v>
          </cell>
        </row>
        <row r="208">
          <cell r="D208" t="str">
            <v>Value from 2005 Earnings</v>
          </cell>
          <cell r="F208">
            <v>0</v>
          </cell>
          <cell r="J208">
            <v>22.375</v>
          </cell>
        </row>
        <row r="209">
          <cell r="D209" t="str">
            <v>Value of Growth 2005</v>
          </cell>
          <cell r="F209">
            <v>22.375</v>
          </cell>
          <cell r="J209">
            <v>8.3049999999999997</v>
          </cell>
        </row>
        <row r="210">
          <cell r="K210">
            <v>0</v>
          </cell>
        </row>
        <row r="211">
          <cell r="D211" t="str">
            <v>Value from 2006 Earnings</v>
          </cell>
          <cell r="F211">
            <v>0</v>
          </cell>
          <cell r="J211">
            <v>23</v>
          </cell>
        </row>
        <row r="212">
          <cell r="D212" t="str">
            <v>Value of Growth 2006</v>
          </cell>
          <cell r="F212">
            <v>23</v>
          </cell>
          <cell r="J212">
            <v>7.68</v>
          </cell>
        </row>
        <row r="213">
          <cell r="D213" t="str">
            <v>Valuation Expansion</v>
          </cell>
          <cell r="F213">
            <v>30.68</v>
          </cell>
          <cell r="J213">
            <v>0.32000000000000028</v>
          </cell>
        </row>
        <row r="218">
          <cell r="D218" t="str">
            <v>Implied Cap Rate</v>
          </cell>
        </row>
        <row r="219">
          <cell r="C219" t="str">
            <v>BPO</v>
          </cell>
          <cell r="D219" t="e">
            <v>#N/A</v>
          </cell>
          <cell r="F219" t="e">
            <v>#N/A</v>
          </cell>
          <cell r="G219" t="str">
            <v>BPO</v>
          </cell>
        </row>
        <row r="220">
          <cell r="C220" t="str">
            <v>EOP</v>
          </cell>
          <cell r="D220">
            <v>5.8292604733372916E-2</v>
          </cell>
          <cell r="F220" t="e">
            <v>#N/A</v>
          </cell>
          <cell r="G220" t="str">
            <v>EOP</v>
          </cell>
        </row>
        <row r="221">
          <cell r="C221" t="str">
            <v>BXP</v>
          </cell>
          <cell r="D221" t="e">
            <v>#N/A</v>
          </cell>
          <cell r="F221" t="e">
            <v>#N/A</v>
          </cell>
          <cell r="G221" t="str">
            <v>BXP</v>
          </cell>
        </row>
        <row r="222">
          <cell r="C222" t="str">
            <v>TRZ</v>
          </cell>
          <cell r="D222" t="e">
            <v>#N/A</v>
          </cell>
          <cell r="F222" t="e">
            <v>#N/A</v>
          </cell>
          <cell r="G222" t="str">
            <v>TRZ</v>
          </cell>
        </row>
        <row r="223">
          <cell r="C223" t="str">
            <v>SLG</v>
          </cell>
          <cell r="D223" t="e">
            <v>#N/A</v>
          </cell>
          <cell r="F223" t="e">
            <v>#N/A</v>
          </cell>
          <cell r="G223" t="str">
            <v>SLG</v>
          </cell>
        </row>
        <row r="224">
          <cell r="C224" t="str">
            <v>Wtd. Avg.</v>
          </cell>
          <cell r="D224" t="e">
            <v>#N/A</v>
          </cell>
          <cell r="F224" t="e">
            <v>#N/A</v>
          </cell>
          <cell r="G224" t="str">
            <v>Wtd. Avg.</v>
          </cell>
        </row>
        <row r="227">
          <cell r="B227">
            <v>1</v>
          </cell>
          <cell r="C227" t="e">
            <v>#N/A</v>
          </cell>
          <cell r="D227" t="e">
            <v>#N/A</v>
          </cell>
        </row>
        <row r="228">
          <cell r="B228">
            <v>2</v>
          </cell>
          <cell r="C228" t="e">
            <v>#N/A</v>
          </cell>
          <cell r="D228" t="e">
            <v>#N/A</v>
          </cell>
        </row>
        <row r="229">
          <cell r="B229">
            <v>3</v>
          </cell>
          <cell r="C229" t="e">
            <v>#N/A</v>
          </cell>
          <cell r="D229" t="e">
            <v>#N/A</v>
          </cell>
        </row>
        <row r="230">
          <cell r="B230">
            <v>4</v>
          </cell>
          <cell r="C230" t="e">
            <v>#N/A</v>
          </cell>
          <cell r="D230" t="e">
            <v>#N/A</v>
          </cell>
        </row>
        <row r="231">
          <cell r="B231">
            <v>5</v>
          </cell>
          <cell r="C231" t="e">
            <v>#N/A</v>
          </cell>
          <cell r="D231" t="e">
            <v>#N/A</v>
          </cell>
        </row>
        <row r="232">
          <cell r="B232">
            <v>6</v>
          </cell>
          <cell r="C232" t="e">
            <v>#N/A</v>
          </cell>
          <cell r="D232" t="e">
            <v>#N/A</v>
          </cell>
        </row>
        <row r="241">
          <cell r="C241" t="str">
            <v>Comp Table</v>
          </cell>
          <cell r="K241" t="str">
            <v>Price to FFO</v>
          </cell>
          <cell r="R241" t="str">
            <v>Price to AFFO</v>
          </cell>
          <cell r="U241" t="str">
            <v>FFO Growth</v>
          </cell>
          <cell r="X241" t="str">
            <v>2006 FFO/Gr</v>
          </cell>
          <cell r="Y241" t="str">
            <v>2005 Dividend Payout</v>
          </cell>
        </row>
        <row r="242">
          <cell r="D242" t="str">
            <v>Ent Value</v>
          </cell>
          <cell r="F242" t="str">
            <v>Avg. Vol ($)</v>
          </cell>
          <cell r="G242" t="str">
            <v>Current Price</v>
          </cell>
          <cell r="H242" t="str">
            <v>Target Price</v>
          </cell>
          <cell r="I242" t="str">
            <v>Div Yld</v>
          </cell>
          <cell r="J242" t="str">
            <v>Total Exp Return</v>
          </cell>
          <cell r="K242">
            <v>2005</v>
          </cell>
          <cell r="P242">
            <v>2006</v>
          </cell>
          <cell r="Q242">
            <v>2007</v>
          </cell>
          <cell r="R242">
            <v>2005</v>
          </cell>
          <cell r="S242">
            <v>2006</v>
          </cell>
          <cell r="T242">
            <v>2007</v>
          </cell>
          <cell r="U242">
            <v>2005</v>
          </cell>
          <cell r="V242">
            <v>2006</v>
          </cell>
          <cell r="W242">
            <v>2007</v>
          </cell>
        </row>
        <row r="243">
          <cell r="C243" t="str">
            <v>BPO</v>
          </cell>
          <cell r="D243">
            <v>11972.418992950001</v>
          </cell>
          <cell r="F243">
            <v>7129.7460000000001</v>
          </cell>
          <cell r="G243">
            <v>23</v>
          </cell>
          <cell r="H243">
            <v>30.5</v>
          </cell>
          <cell r="I243">
            <v>2.3422249999999999E-2</v>
          </cell>
          <cell r="J243">
            <v>0.349509206521739</v>
          </cell>
          <cell r="K243">
            <v>16.974900450547214</v>
          </cell>
          <cell r="P243">
            <v>15.912472085879728</v>
          </cell>
          <cell r="Q243">
            <v>15.037034935424888</v>
          </cell>
          <cell r="R243">
            <v>21.054794520547947</v>
          </cell>
          <cell r="S243">
            <v>18.97530864197531</v>
          </cell>
          <cell r="T243">
            <v>17.269662921348317</v>
          </cell>
          <cell r="U243">
            <v>8.4376646706586733E-2</v>
          </cell>
          <cell r="V243">
            <v>6.6767021424047224E-2</v>
          </cell>
          <cell r="W243">
            <v>5.8218734891175128E-2</v>
          </cell>
          <cell r="X243">
            <v>2.3832832057637057</v>
          </cell>
          <cell r="Y243">
            <v>0.39759038140513964</v>
          </cell>
        </row>
        <row r="244">
          <cell r="C244" t="str">
            <v>BXP</v>
          </cell>
          <cell r="D244">
            <v>15765.07394301</v>
          </cell>
          <cell r="F244">
            <v>47762.85</v>
          </cell>
          <cell r="G244">
            <v>97.61</v>
          </cell>
          <cell r="H244">
            <v>74</v>
          </cell>
          <cell r="I244">
            <v>3.4778149999999994E-2</v>
          </cell>
          <cell r="J244">
            <v>-0.20710280482020288</v>
          </cell>
          <cell r="K244">
            <v>18.53317535545024</v>
          </cell>
          <cell r="P244">
            <v>18.1461716937355</v>
          </cell>
          <cell r="Q244">
            <v>16.67590618336887</v>
          </cell>
          <cell r="R244">
            <v>25.64477453840281</v>
          </cell>
          <cell r="S244">
            <v>22.879617022513159</v>
          </cell>
          <cell r="T244">
            <v>20.536508866438595</v>
          </cell>
          <cell r="U244">
            <v>1.4423076923076872E-2</v>
          </cell>
          <cell r="V244">
            <v>2.1327014218009754E-2</v>
          </cell>
          <cell r="W244">
            <v>8.816705336426911E-2</v>
          </cell>
          <cell r="X244">
            <v>8.5085382830625349</v>
          </cell>
          <cell r="Y244">
            <v>0.64454976303317546</v>
          </cell>
        </row>
        <row r="245">
          <cell r="C245" t="str">
            <v>EOP</v>
          </cell>
          <cell r="D245">
            <v>26714.684864419996</v>
          </cell>
          <cell r="F245">
            <v>97759.1</v>
          </cell>
          <cell r="G245" t="e">
            <v>#N/A</v>
          </cell>
          <cell r="H245">
            <v>29</v>
          </cell>
          <cell r="I245">
            <v>4.2000000000000003E-2</v>
          </cell>
          <cell r="J245" t="e">
            <v>#N/A</v>
          </cell>
          <cell r="K245">
            <v>13.786026200873362</v>
          </cell>
          <cell r="P245">
            <v>14.481651376146788</v>
          </cell>
          <cell r="Q245">
            <v>14.22072072072072</v>
          </cell>
          <cell r="R245">
            <v>25.679328104750567</v>
          </cell>
          <cell r="S245">
            <v>28.483033975651047</v>
          </cell>
          <cell r="T245">
            <v>30.470429581231372</v>
          </cell>
          <cell r="U245">
            <v>-0.11240310077519378</v>
          </cell>
          <cell r="V245">
            <v>-4.8034934497816484E-2</v>
          </cell>
          <cell r="W245">
            <v>1.8348623853211121E-2</v>
          </cell>
          <cell r="X245">
            <v>-3.0148165137614749</v>
          </cell>
          <cell r="Y245">
            <v>0.8733624454148472</v>
          </cell>
        </row>
        <row r="246">
          <cell r="C246" t="str">
            <v>MPG</v>
          </cell>
          <cell r="D246">
            <v>5438.9280694399995</v>
          </cell>
          <cell r="F246">
            <v>10285.966</v>
          </cell>
          <cell r="G246">
            <v>26.03</v>
          </cell>
          <cell r="H246" t="str">
            <v/>
          </cell>
          <cell r="I246">
            <v>4.7169800000000005E-2</v>
          </cell>
          <cell r="K246">
            <v>16.133174791914389</v>
          </cell>
          <cell r="P246">
            <v>14.604951560818083</v>
          </cell>
          <cell r="Q246">
            <v>13.324350919093458</v>
          </cell>
          <cell r="R246">
            <v>26.920634920634921</v>
          </cell>
          <cell r="S246">
            <v>21.743589743589745</v>
          </cell>
          <cell r="T246">
            <v>18.637362637362639</v>
          </cell>
          <cell r="U246">
            <v>6.1868686868686851E-2</v>
          </cell>
          <cell r="V246">
            <v>0.10463733650416174</v>
          </cell>
          <cell r="W246">
            <v>9.6109795479009552E-2</v>
          </cell>
          <cell r="X246">
            <v>1.3957686662100006</v>
          </cell>
          <cell r="Y246">
            <v>0.76099881093935795</v>
          </cell>
        </row>
        <row r="247">
          <cell r="C247" t="str">
            <v>SLG</v>
          </cell>
          <cell r="D247">
            <v>6565.2873584999998</v>
          </cell>
          <cell r="F247">
            <v>17447.75</v>
          </cell>
          <cell r="G247">
            <v>107.25</v>
          </cell>
          <cell r="H247" t="str">
            <v/>
          </cell>
          <cell r="I247">
            <v>2.8145889999999996E-2</v>
          </cell>
          <cell r="K247">
            <v>20.497596153846153</v>
          </cell>
          <cell r="P247">
            <v>18.897202939161065</v>
          </cell>
          <cell r="Q247">
            <v>17.241745365282561</v>
          </cell>
          <cell r="R247">
            <v>25.996951219512194</v>
          </cell>
          <cell r="S247">
            <v>21.642131979695431</v>
          </cell>
          <cell r="T247" t="str">
            <v/>
          </cell>
          <cell r="U247">
            <v>0.1063829787234043</v>
          </cell>
          <cell r="V247">
            <v>8.4689423076923065E-2</v>
          </cell>
          <cell r="W247">
            <v>9.6014500783191181E-2</v>
          </cell>
          <cell r="X247">
            <v>2.2313533677041129</v>
          </cell>
          <cell r="Y247">
            <v>0.57692307692307698</v>
          </cell>
        </row>
        <row r="248">
          <cell r="C248" t="str">
            <v>TRZ</v>
          </cell>
          <cell r="D248">
            <v>6311.1964644</v>
          </cell>
          <cell r="F248">
            <v>16791.86</v>
          </cell>
          <cell r="G248" t="e">
            <v>#N/A</v>
          </cell>
          <cell r="H248">
            <v>24</v>
          </cell>
          <cell r="I248">
            <v>3.4587119999999999E-2</v>
          </cell>
          <cell r="J248" t="e">
            <v>#N/A</v>
          </cell>
          <cell r="K248">
            <v>13.605882352941174</v>
          </cell>
          <cell r="P248">
            <v>14.018181818181816</v>
          </cell>
          <cell r="Q248">
            <v>13.067796610169491</v>
          </cell>
          <cell r="R248">
            <v>23.56639768585125</v>
          </cell>
          <cell r="S248">
            <v>25.12978262515065</v>
          </cell>
          <cell r="T248">
            <v>17.53837948716474</v>
          </cell>
          <cell r="U248">
            <v>-8.602150537634401E-2</v>
          </cell>
          <cell r="V248">
            <v>-2.9411764705882359E-2</v>
          </cell>
          <cell r="W248">
            <v>7.2727272727272751E-2</v>
          </cell>
          <cell r="X248">
            <v>-4.7661818181818161</v>
          </cell>
          <cell r="Y248">
            <v>0.47058823529411764</v>
          </cell>
        </row>
        <row r="249">
          <cell r="J249" t="str">
            <v>Wtd Avg.</v>
          </cell>
          <cell r="K249">
            <v>16.104505228315332</v>
          </cell>
          <cell r="P249">
            <v>15.878382496410657</v>
          </cell>
          <cell r="Q249">
            <v>14.992516376887227</v>
          </cell>
          <cell r="R249">
            <v>24.849150178202844</v>
          </cell>
          <cell r="S249">
            <v>24.292986962682846</v>
          </cell>
          <cell r="T249">
            <v>21.391152092444365</v>
          </cell>
          <cell r="U249">
            <v>-1.7496861393811361E-2</v>
          </cell>
          <cell r="V249">
            <v>1.088188432800989E-2</v>
          </cell>
          <cell r="W249">
            <v>5.757027385009536E-2</v>
          </cell>
        </row>
        <row r="250">
          <cell r="J250" t="str">
            <v>RMS Avg.</v>
          </cell>
          <cell r="K250">
            <v>15.888477831064939</v>
          </cell>
          <cell r="P250">
            <v>14.786892266956585</v>
          </cell>
          <cell r="Q250">
            <v>13.763678435525692</v>
          </cell>
        </row>
        <row r="252">
          <cell r="C252" t="str">
            <v>BPO</v>
          </cell>
          <cell r="D252">
            <v>15.437230462594584</v>
          </cell>
          <cell r="F252">
            <v>6.6700611840613488E-2</v>
          </cell>
        </row>
        <row r="253">
          <cell r="C253" t="str">
            <v>BXP</v>
          </cell>
          <cell r="D253">
            <v>17.819025522041763</v>
          </cell>
          <cell r="F253">
            <v>2.1327014218009754E-2</v>
          </cell>
        </row>
        <row r="254">
          <cell r="C254" t="str">
            <v>EOP</v>
          </cell>
          <cell r="D254">
            <v>14.623853211009173</v>
          </cell>
          <cell r="F254">
            <v>-4.8034934497816484E-2</v>
          </cell>
        </row>
        <row r="255">
          <cell r="C255" t="str">
            <v>MPG</v>
          </cell>
          <cell r="D255">
            <v>13.494079655543594</v>
          </cell>
          <cell r="F255">
            <v>0.10639124948134193</v>
          </cell>
        </row>
        <row r="256">
          <cell r="C256" t="str">
            <v>SLG</v>
          </cell>
          <cell r="D256">
            <v>17.772514480855495</v>
          </cell>
          <cell r="F256">
            <v>8.6536780944343139E-2</v>
          </cell>
        </row>
        <row r="257">
          <cell r="C257" t="str">
            <v>TRZ</v>
          </cell>
          <cell r="D257">
            <v>13.878787878787879</v>
          </cell>
          <cell r="F257">
            <v>-2.9411764705882359E-2</v>
          </cell>
        </row>
        <row r="267">
          <cell r="D267">
            <v>2006</v>
          </cell>
          <cell r="F267">
            <v>2007</v>
          </cell>
        </row>
        <row r="268">
          <cell r="C268" t="str">
            <v>BXP</v>
          </cell>
          <cell r="D268">
            <v>37.591836734693885</v>
          </cell>
          <cell r="F268">
            <v>28.502403846153847</v>
          </cell>
        </row>
        <row r="269">
          <cell r="C269" t="str">
            <v>SLG</v>
          </cell>
          <cell r="D269">
            <v>24.327943289103089</v>
          </cell>
          <cell r="F269">
            <v>21.575606468664279</v>
          </cell>
        </row>
        <row r="270">
          <cell r="C270" t="str">
            <v>BPO</v>
          </cell>
          <cell r="D270">
            <v>18.447698863636365</v>
          </cell>
          <cell r="F270">
            <v>14.65797876586573</v>
          </cell>
        </row>
        <row r="271">
          <cell r="C271" t="str">
            <v>EOP</v>
          </cell>
          <cell r="D271">
            <v>18.754716981132074</v>
          </cell>
          <cell r="F271">
            <v>17.592920353982297</v>
          </cell>
        </row>
        <row r="272">
          <cell r="C272" t="str">
            <v>MPG</v>
          </cell>
          <cell r="D272" t="str">
            <v/>
          </cell>
          <cell r="F272" t="str">
            <v/>
          </cell>
        </row>
        <row r="273">
          <cell r="C273" t="str">
            <v>TRZ</v>
          </cell>
          <cell r="D273">
            <v>17.805715074068328</v>
          </cell>
          <cell r="F273">
            <v>16.457302380018525</v>
          </cell>
        </row>
        <row r="274">
          <cell r="C274" t="str">
            <v>Wtd. Avg.</v>
          </cell>
          <cell r="D274">
            <v>24.118203309692667</v>
          </cell>
          <cell r="F274">
            <v>23.13378684807256</v>
          </cell>
        </row>
        <row r="276">
          <cell r="D276">
            <v>2006</v>
          </cell>
          <cell r="F276">
            <v>2007</v>
          </cell>
        </row>
        <row r="277">
          <cell r="C277" t="str">
            <v>EOP</v>
          </cell>
          <cell r="D277">
            <v>39.58047003215367</v>
          </cell>
          <cell r="F277">
            <v>38.301250125383731</v>
          </cell>
        </row>
        <row r="278">
          <cell r="C278" t="str">
            <v>TRZ</v>
          </cell>
          <cell r="D278">
            <v>38.039473684210527</v>
          </cell>
          <cell r="F278">
            <v>30.114583333333336</v>
          </cell>
        </row>
        <row r="279">
          <cell r="C279" t="str">
            <v>BXP</v>
          </cell>
          <cell r="D279">
            <v>33.570872791936061</v>
          </cell>
          <cell r="F279">
            <v>31.725133346316948</v>
          </cell>
        </row>
        <row r="280">
          <cell r="C280" t="str">
            <v>SLG</v>
          </cell>
          <cell r="D280">
            <v>32.283236994219656</v>
          </cell>
          <cell r="F280">
            <v>27.377450980392158</v>
          </cell>
        </row>
        <row r="281">
          <cell r="C281" t="str">
            <v>MPG</v>
          </cell>
          <cell r="D281">
            <v>-4</v>
          </cell>
          <cell r="F281">
            <v>29.955882352941178</v>
          </cell>
        </row>
        <row r="282">
          <cell r="C282" t="str">
            <v>BPO</v>
          </cell>
          <cell r="D282">
            <v>25.445101880877743</v>
          </cell>
          <cell r="F282">
            <v>23.887147131520749</v>
          </cell>
        </row>
        <row r="283">
          <cell r="C283" t="str">
            <v>Wtd Avg</v>
          </cell>
          <cell r="D283">
            <v>4.0599999999999996</v>
          </cell>
          <cell r="F283">
            <v>4.24</v>
          </cell>
        </row>
        <row r="304">
          <cell r="C304" t="str">
            <v>Real Capital Analytics Data</v>
          </cell>
        </row>
        <row r="307">
          <cell r="C307" t="str">
            <v>Price/Ft</v>
          </cell>
          <cell r="D307" t="str">
            <v>Cap Rate</v>
          </cell>
          <cell r="F307" t="str">
            <v>% of BPO NOI</v>
          </cell>
        </row>
        <row r="308">
          <cell r="B308" t="str">
            <v>NYC Downtown</v>
          </cell>
          <cell r="C308">
            <v>289</v>
          </cell>
          <cell r="D308">
            <v>5.6000000000000001E-2</v>
          </cell>
          <cell r="E308">
            <v>5.04E-2</v>
          </cell>
          <cell r="F308">
            <v>0.39328545560568395</v>
          </cell>
          <cell r="G308">
            <v>2.2023985513918303E-2</v>
          </cell>
          <cell r="H308">
            <v>113.65949667004266</v>
          </cell>
          <cell r="I308">
            <v>1.982158696252647E-2</v>
          </cell>
          <cell r="J308">
            <v>375.7</v>
          </cell>
          <cell r="K308">
            <v>147.75734567105545</v>
          </cell>
        </row>
        <row r="309">
          <cell r="B309" t="str">
            <v>NYC Midtown</v>
          </cell>
          <cell r="C309">
            <v>509</v>
          </cell>
          <cell r="D309">
            <v>0.05</v>
          </cell>
          <cell r="E309">
            <v>4.5000000000000005E-2</v>
          </cell>
          <cell r="F309">
            <v>0.11032032338256741</v>
          </cell>
          <cell r="G309">
            <v>5.5160161691283705E-3</v>
          </cell>
          <cell r="H309">
            <v>56.153044601726812</v>
          </cell>
          <cell r="I309">
            <v>4.964414552215534E-3</v>
          </cell>
          <cell r="J309">
            <v>1018</v>
          </cell>
          <cell r="K309">
            <v>112.30608920345362</v>
          </cell>
        </row>
        <row r="310">
          <cell r="B310" t="str">
            <v>Boston</v>
          </cell>
          <cell r="C310">
            <v>375</v>
          </cell>
          <cell r="D310">
            <v>5.7000000000000002E-2</v>
          </cell>
          <cell r="E310">
            <v>5.1300000000000005E-2</v>
          </cell>
          <cell r="F310">
            <v>4.4871131553401056E-2</v>
          </cell>
          <cell r="G310">
            <v>2.5576544985438602E-3</v>
          </cell>
          <cell r="H310">
            <v>16.826674332525396</v>
          </cell>
          <cell r="I310">
            <v>2.3018890486894744E-3</v>
          </cell>
          <cell r="J310">
            <v>487.5</v>
          </cell>
          <cell r="K310">
            <v>21.874676632283016</v>
          </cell>
        </row>
        <row r="311">
          <cell r="B311" t="str">
            <v>Washington D.C.</v>
          </cell>
          <cell r="C311">
            <v>413</v>
          </cell>
          <cell r="D311">
            <v>5.8000000000000003E-2</v>
          </cell>
          <cell r="E311">
            <v>5.2200000000000003E-2</v>
          </cell>
          <cell r="F311">
            <v>7.0077722486013766E-2</v>
          </cell>
          <cell r="G311">
            <v>4.0645079041887987E-3</v>
          </cell>
          <cell r="H311">
            <v>28.942099386723687</v>
          </cell>
          <cell r="I311">
            <v>3.658057113769919E-3</v>
          </cell>
          <cell r="J311">
            <v>536.9</v>
          </cell>
          <cell r="K311">
            <v>37.624729202740788</v>
          </cell>
        </row>
        <row r="312">
          <cell r="B312" t="str">
            <v>Denver</v>
          </cell>
          <cell r="C312">
            <v>179</v>
          </cell>
          <cell r="D312">
            <v>6.93E-2</v>
          </cell>
          <cell r="E312">
            <v>6.2370000000000002E-2</v>
          </cell>
          <cell r="F312">
            <v>3.8116760639310993E-2</v>
          </cell>
          <cell r="G312">
            <v>2.6414915123042517E-3</v>
          </cell>
          <cell r="H312">
            <v>6.8229001544366676</v>
          </cell>
          <cell r="I312">
            <v>2.3773423610738268E-3</v>
          </cell>
          <cell r="J312">
            <v>232.70000000000002</v>
          </cell>
          <cell r="K312">
            <v>8.8697702007676682</v>
          </cell>
        </row>
        <row r="313">
          <cell r="B313" t="str">
            <v>Minneapolis</v>
          </cell>
          <cell r="C313">
            <v>150</v>
          </cell>
          <cell r="D313">
            <v>6.6000000000000003E-2</v>
          </cell>
          <cell r="E313">
            <v>5.9400000000000001E-2</v>
          </cell>
          <cell r="F313">
            <v>3.2217406373294122E-2</v>
          </cell>
          <cell r="G313">
            <v>2.1263488206374123E-3</v>
          </cell>
          <cell r="H313">
            <v>4.8326109559941184</v>
          </cell>
          <cell r="I313">
            <v>1.9137139385736709E-3</v>
          </cell>
          <cell r="J313">
            <v>195</v>
          </cell>
          <cell r="K313">
            <v>6.2823942427923534</v>
          </cell>
          <cell r="P313" t="str">
            <v>Based on sale of One Financial Plaza in Aug 05 - RCA</v>
          </cell>
        </row>
        <row r="314">
          <cell r="B314" t="str">
            <v>Canada</v>
          </cell>
          <cell r="C314">
            <v>206</v>
          </cell>
          <cell r="D314">
            <v>6.25E-2</v>
          </cell>
          <cell r="E314">
            <v>5.6250000000000001E-2</v>
          </cell>
          <cell r="F314">
            <v>0.31111119995972875</v>
          </cell>
          <cell r="G314">
            <v>1.9444449997483047E-2</v>
          </cell>
          <cell r="H314">
            <v>64.088907191704124</v>
          </cell>
          <cell r="I314">
            <v>1.7500004997734742E-2</v>
          </cell>
          <cell r="J314">
            <v>267.8</v>
          </cell>
          <cell r="K314">
            <v>83.315579349215355</v>
          </cell>
          <cell r="P314" t="str">
            <v>O&amp;Y transaction based on management comments</v>
          </cell>
        </row>
        <row r="315">
          <cell r="B315" t="str">
            <v>Wtd. Avg.</v>
          </cell>
          <cell r="C315">
            <v>291.32573329315346</v>
          </cell>
          <cell r="D315">
            <v>5.837445441620405E-2</v>
          </cell>
          <cell r="I315">
            <v>5.2537008974583632E-2</v>
          </cell>
          <cell r="K315">
            <v>418.03058450230827</v>
          </cell>
        </row>
        <row r="316">
          <cell r="B316" t="str">
            <v>BPO</v>
          </cell>
          <cell r="C316">
            <v>361.2599688780677</v>
          </cell>
          <cell r="D316">
            <v>6.670027990236102E-2</v>
          </cell>
        </row>
        <row r="366">
          <cell r="C366" t="str">
            <v>Market</v>
          </cell>
          <cell r="D366" t="str">
            <v>% NOI</v>
          </cell>
          <cell r="E366" t="str">
            <v>In place net rent</v>
          </cell>
          <cell r="G366" t="str">
            <v>Eff Sq. Ft.</v>
          </cell>
          <cell r="H366" t="str">
            <v>Occ</v>
          </cell>
          <cell r="I366" t="str">
            <v>NOI</v>
          </cell>
        </row>
        <row r="367">
          <cell r="C367" t="str">
            <v>Lower Manhattan</v>
          </cell>
          <cell r="D367">
            <v>0.39328545560568395</v>
          </cell>
          <cell r="E367">
            <v>31</v>
          </cell>
          <cell r="G367">
            <v>8777</v>
          </cell>
          <cell r="H367">
            <v>0.94899999999999995</v>
          </cell>
          <cell r="I367">
            <v>258210.56299999999</v>
          </cell>
        </row>
        <row r="368">
          <cell r="C368" t="str">
            <v>Toronto</v>
          </cell>
          <cell r="D368">
            <v>0.19238298161084932</v>
          </cell>
          <cell r="E368">
            <v>22</v>
          </cell>
          <cell r="G368">
            <v>6147</v>
          </cell>
          <cell r="H368">
            <v>0.93400000000000005</v>
          </cell>
          <cell r="I368">
            <v>126308.55600000001</v>
          </cell>
        </row>
        <row r="369">
          <cell r="C369" t="str">
            <v>Midtown NYC</v>
          </cell>
          <cell r="D369">
            <v>0.11032032338256741</v>
          </cell>
          <cell r="E369">
            <v>39</v>
          </cell>
          <cell r="G369">
            <v>1957</v>
          </cell>
          <cell r="H369">
            <v>0.94899999999999995</v>
          </cell>
          <cell r="I369">
            <v>72430.527000000002</v>
          </cell>
        </row>
        <row r="370">
          <cell r="C370" t="str">
            <v>Calgary</v>
          </cell>
          <cell r="D370">
            <v>9.2158603311915999E-2</v>
          </cell>
          <cell r="E370">
            <v>16</v>
          </cell>
          <cell r="G370">
            <v>3816</v>
          </cell>
          <cell r="H370">
            <v>0.99099999999999999</v>
          </cell>
          <cell r="I370">
            <v>60506.495999999999</v>
          </cell>
        </row>
        <row r="371">
          <cell r="C371" t="str">
            <v>Wash. DC</v>
          </cell>
          <cell r="D371">
            <v>7.0077722486013766E-2</v>
          </cell>
          <cell r="E371">
            <v>30</v>
          </cell>
          <cell r="G371">
            <v>1557</v>
          </cell>
          <cell r="H371">
            <v>0.98499999999999999</v>
          </cell>
          <cell r="I371">
            <v>46009.35</v>
          </cell>
        </row>
        <row r="372">
          <cell r="C372" t="str">
            <v>Boston</v>
          </cell>
          <cell r="D372">
            <v>4.4871131553401056E-2</v>
          </cell>
          <cell r="E372">
            <v>29</v>
          </cell>
          <cell r="G372">
            <v>1103</v>
          </cell>
          <cell r="H372">
            <v>0.92100000000000004</v>
          </cell>
          <cell r="I372">
            <v>29460.027000000002</v>
          </cell>
        </row>
        <row r="373">
          <cell r="C373" t="str">
            <v>Other</v>
          </cell>
          <cell r="D373">
            <v>9.6903782049568551E-2</v>
          </cell>
        </row>
        <row r="374">
          <cell r="C374" t="str">
            <v>Denver</v>
          </cell>
          <cell r="D374">
            <v>3.8116760639310993E-2</v>
          </cell>
          <cell r="E374">
            <v>14</v>
          </cell>
          <cell r="G374">
            <v>2057</v>
          </cell>
          <cell r="H374">
            <v>0.86899999999999999</v>
          </cell>
          <cell r="I374">
            <v>25025.462</v>
          </cell>
        </row>
        <row r="375">
          <cell r="C375" t="str">
            <v>Minn</v>
          </cell>
          <cell r="D375">
            <v>3.2217406373294122E-2</v>
          </cell>
          <cell r="E375">
            <v>8</v>
          </cell>
          <cell r="G375">
            <v>3008</v>
          </cell>
          <cell r="H375">
            <v>0.879</v>
          </cell>
          <cell r="I375">
            <v>21152.256000000001</v>
          </cell>
        </row>
        <row r="376">
          <cell r="C376" t="str">
            <v>Other</v>
          </cell>
          <cell r="D376">
            <v>1.5423459492531729E-2</v>
          </cell>
          <cell r="E376">
            <v>9</v>
          </cell>
          <cell r="G376">
            <v>1219</v>
          </cell>
          <cell r="H376">
            <v>0.92300000000000004</v>
          </cell>
          <cell r="I376">
            <v>10126.233</v>
          </cell>
        </row>
        <row r="377">
          <cell r="C377" t="str">
            <v>Ott</v>
          </cell>
          <cell r="D377">
            <v>1.1146155544431709E-2</v>
          </cell>
          <cell r="E377">
            <v>10</v>
          </cell>
          <cell r="G377">
            <v>734</v>
          </cell>
          <cell r="H377">
            <v>0.997</v>
          </cell>
          <cell r="I377">
            <v>7317.98</v>
          </cell>
        </row>
        <row r="378">
          <cell r="H378">
            <v>656547.44999999995</v>
          </cell>
        </row>
        <row r="379">
          <cell r="D379">
            <v>0.68888880004027131</v>
          </cell>
        </row>
        <row r="382">
          <cell r="C382" t="str">
            <v>Future Development Opportunities</v>
          </cell>
        </row>
        <row r="383">
          <cell r="D383" t="str">
            <v>Location</v>
          </cell>
          <cell r="F383" t="str">
            <v xml:space="preserve">Buildable Sq. Ft. </v>
          </cell>
          <cell r="H383" t="str">
            <v>Use</v>
          </cell>
          <cell r="I383" t="str">
            <v>Current Progress</v>
          </cell>
        </row>
        <row r="384">
          <cell r="C384" t="str">
            <v>Bay Adelaide</v>
          </cell>
        </row>
        <row r="387">
          <cell r="C387" t="str">
            <v>Bankers Court</v>
          </cell>
        </row>
        <row r="389">
          <cell r="D389">
            <v>100000</v>
          </cell>
        </row>
        <row r="391">
          <cell r="D391" t="str">
            <v>1999A</v>
          </cell>
          <cell r="E391" t="str">
            <v>2000A</v>
          </cell>
          <cell r="F391" t="str">
            <v>2001A</v>
          </cell>
          <cell r="G391" t="str">
            <v>2002A</v>
          </cell>
          <cell r="H391" t="str">
            <v>2003A</v>
          </cell>
          <cell r="I391" t="str">
            <v>2004A</v>
          </cell>
          <cell r="J391" t="str">
            <v>2005A</v>
          </cell>
          <cell r="K391" t="str">
            <v>2006E</v>
          </cell>
          <cell r="L391" t="str">
            <v>2007E</v>
          </cell>
          <cell r="M391" t="str">
            <v>2008E</v>
          </cell>
        </row>
        <row r="392">
          <cell r="B392" t="str">
            <v>Comm NOI</v>
          </cell>
          <cell r="D392">
            <v>5.69</v>
          </cell>
          <cell r="E392">
            <v>5.92</v>
          </cell>
          <cell r="F392">
            <v>6.17</v>
          </cell>
          <cell r="G392">
            <v>6</v>
          </cell>
          <cell r="H392">
            <v>5.97</v>
          </cell>
          <cell r="I392">
            <v>6.83</v>
          </cell>
          <cell r="J392">
            <v>6.89</v>
          </cell>
          <cell r="K392">
            <v>8.4600000000000009</v>
          </cell>
          <cell r="L392">
            <v>13.05</v>
          </cell>
          <cell r="M392">
            <v>13.537163148289013</v>
          </cell>
        </row>
        <row r="393">
          <cell r="B393" t="str">
            <v>Residential NOI</v>
          </cell>
          <cell r="D393">
            <v>0.63</v>
          </cell>
          <cell r="E393">
            <v>0.77</v>
          </cell>
          <cell r="F393">
            <v>0.85</v>
          </cell>
          <cell r="G393">
            <v>0.85</v>
          </cell>
          <cell r="H393">
            <v>0.31</v>
          </cell>
          <cell r="I393">
            <v>0.42</v>
          </cell>
          <cell r="J393">
            <v>1.06</v>
          </cell>
          <cell r="K393">
            <v>1.44</v>
          </cell>
          <cell r="L393">
            <v>2.37</v>
          </cell>
          <cell r="M393">
            <v>1.5700176000000003</v>
          </cell>
        </row>
        <row r="394">
          <cell r="B394" t="str">
            <v>Termination and Other Gains</v>
          </cell>
          <cell r="D394">
            <v>0.2</v>
          </cell>
          <cell r="E394">
            <v>0.2</v>
          </cell>
          <cell r="F394">
            <v>0.55000000000000004</v>
          </cell>
          <cell r="G394">
            <v>0.6</v>
          </cell>
          <cell r="H394">
            <v>1</v>
          </cell>
          <cell r="I394">
            <v>0.6</v>
          </cell>
          <cell r="J394">
            <v>0</v>
          </cell>
          <cell r="K394">
            <v>0</v>
          </cell>
          <cell r="L394">
            <v>0</v>
          </cell>
          <cell r="M394">
            <v>0</v>
          </cell>
        </row>
        <row r="395">
          <cell r="B395" t="str">
            <v>Total NOI</v>
          </cell>
          <cell r="D395">
            <v>6.32</v>
          </cell>
          <cell r="E395">
            <v>6.6899999999999995</v>
          </cell>
          <cell r="F395">
            <v>7.02</v>
          </cell>
          <cell r="G395">
            <v>6.85</v>
          </cell>
          <cell r="H395">
            <v>6.2799999999999994</v>
          </cell>
          <cell r="I395">
            <v>7.25</v>
          </cell>
          <cell r="J395">
            <v>7.9499999999999993</v>
          </cell>
          <cell r="K395">
            <v>9.9</v>
          </cell>
          <cell r="L395">
            <v>15.420000000000002</v>
          </cell>
          <cell r="M395">
            <v>15.107180748289013</v>
          </cell>
        </row>
        <row r="396">
          <cell r="B396" t="str">
            <v>% Residential NOI</v>
          </cell>
          <cell r="D396">
            <v>9.9683544303797458E-2</v>
          </cell>
          <cell r="E396">
            <v>0.11509715994020928</v>
          </cell>
          <cell r="F396">
            <v>0.12108262108262109</v>
          </cell>
          <cell r="G396">
            <v>0.12408759124087591</v>
          </cell>
          <cell r="H396">
            <v>4.9363057324840767E-2</v>
          </cell>
          <cell r="I396">
            <v>5.7931034482758617E-2</v>
          </cell>
          <cell r="J396">
            <v>0.13333333333333336</v>
          </cell>
          <cell r="K396">
            <v>0.14545454545454545</v>
          </cell>
          <cell r="L396">
            <v>0.15369649805447469</v>
          </cell>
          <cell r="M396">
            <v>0.10392525423235008</v>
          </cell>
        </row>
        <row r="398">
          <cell r="D398">
            <v>100000</v>
          </cell>
        </row>
        <row r="422">
          <cell r="C422" t="str">
            <v>Est. Remaining Lease Term</v>
          </cell>
        </row>
        <row r="423">
          <cell r="C423" t="str">
            <v>SLG</v>
          </cell>
          <cell r="D423">
            <v>10.199999999999999</v>
          </cell>
        </row>
        <row r="424">
          <cell r="C424" t="str">
            <v>BPO</v>
          </cell>
          <cell r="D424">
            <v>9</v>
          </cell>
        </row>
        <row r="425">
          <cell r="C425" t="str">
            <v>BXP</v>
          </cell>
          <cell r="D425">
            <v>7.3</v>
          </cell>
        </row>
        <row r="426">
          <cell r="C426" t="str">
            <v>MPG</v>
          </cell>
          <cell r="D426">
            <v>5.75</v>
          </cell>
        </row>
        <row r="427">
          <cell r="C427" t="str">
            <v>TRZ</v>
          </cell>
          <cell r="D427">
            <v>5.7</v>
          </cell>
          <cell r="E427" t="str">
            <v>based on top 25 tenants</v>
          </cell>
        </row>
        <row r="428">
          <cell r="C428" t="str">
            <v>EOP</v>
          </cell>
          <cell r="D428">
            <v>5.5</v>
          </cell>
        </row>
        <row r="443">
          <cell r="G443" t="str">
            <v>1999A</v>
          </cell>
          <cell r="H443" t="str">
            <v>2000A</v>
          </cell>
          <cell r="I443" t="str">
            <v>2001A</v>
          </cell>
          <cell r="J443" t="str">
            <v>2002A</v>
          </cell>
          <cell r="K443" t="str">
            <v>2003A</v>
          </cell>
          <cell r="L443" t="str">
            <v>2004A</v>
          </cell>
          <cell r="M443" t="str">
            <v>2005A</v>
          </cell>
          <cell r="N443" t="str">
            <v>1Q06</v>
          </cell>
          <cell r="O443" t="str">
            <v>2Q06E</v>
          </cell>
          <cell r="P443" t="str">
            <v>3Q06E</v>
          </cell>
          <cell r="Q443" t="str">
            <v>4Q06E</v>
          </cell>
          <cell r="R443" t="str">
            <v>2006E</v>
          </cell>
          <cell r="S443" t="str">
            <v>2007E</v>
          </cell>
          <cell r="T443" t="str">
            <v>2008E</v>
          </cell>
        </row>
        <row r="444">
          <cell r="G444">
            <v>5.69</v>
          </cell>
          <cell r="H444">
            <v>5.92</v>
          </cell>
          <cell r="I444">
            <v>6.17</v>
          </cell>
          <cell r="J444">
            <v>6</v>
          </cell>
          <cell r="K444">
            <v>5.97</v>
          </cell>
          <cell r="L444">
            <v>6.83</v>
          </cell>
          <cell r="M444">
            <v>6.89</v>
          </cell>
          <cell r="N444">
            <v>1.72</v>
          </cell>
          <cell r="O444">
            <v>1.7254570786666665</v>
          </cell>
          <cell r="P444">
            <v>1.7909250714906666</v>
          </cell>
          <cell r="Q444">
            <v>1.7964040003003148</v>
          </cell>
          <cell r="R444">
            <v>7.0327861504576488</v>
          </cell>
          <cell r="S444">
            <v>7.1148131020541703</v>
          </cell>
          <cell r="T444">
            <v>7.2102311788662021</v>
          </cell>
        </row>
        <row r="445">
          <cell r="G445">
            <v>0.63</v>
          </cell>
          <cell r="H445">
            <v>0.77</v>
          </cell>
          <cell r="I445">
            <v>0.85</v>
          </cell>
          <cell r="J445">
            <v>0.85</v>
          </cell>
          <cell r="K445">
            <v>0.31</v>
          </cell>
          <cell r="L445">
            <v>0.42</v>
          </cell>
          <cell r="M445">
            <v>1.06</v>
          </cell>
          <cell r="N445">
            <v>0.25</v>
          </cell>
          <cell r="O445">
            <v>0.29605329600000013</v>
          </cell>
          <cell r="P445">
            <v>0.33746328000000009</v>
          </cell>
          <cell r="Q445">
            <v>0.56869829430379759</v>
          </cell>
          <cell r="R445">
            <v>1.4522148703037976</v>
          </cell>
          <cell r="S445">
            <v>1.561585657514456</v>
          </cell>
          <cell r="T445">
            <v>1.7256671438640037</v>
          </cell>
        </row>
        <row r="446">
          <cell r="G446">
            <v>0.2</v>
          </cell>
          <cell r="H446">
            <v>0.2</v>
          </cell>
          <cell r="I446">
            <v>0.55000000000000004</v>
          </cell>
          <cell r="J446">
            <v>0.6</v>
          </cell>
          <cell r="K446">
            <v>1</v>
          </cell>
          <cell r="L446">
            <v>0.6</v>
          </cell>
          <cell r="M446">
            <v>0</v>
          </cell>
          <cell r="N446">
            <v>0</v>
          </cell>
          <cell r="O446">
            <v>0</v>
          </cell>
          <cell r="P446">
            <v>0</v>
          </cell>
          <cell r="Q446">
            <v>0</v>
          </cell>
          <cell r="R446">
            <v>0</v>
          </cell>
          <cell r="S446">
            <v>0</v>
          </cell>
          <cell r="T446">
            <v>0</v>
          </cell>
        </row>
        <row r="447">
          <cell r="G447">
            <v>6.32</v>
          </cell>
          <cell r="H447">
            <v>6.69</v>
          </cell>
          <cell r="I447">
            <v>7.02</v>
          </cell>
          <cell r="J447">
            <v>6.85</v>
          </cell>
          <cell r="K447">
            <v>6.28</v>
          </cell>
          <cell r="L447">
            <v>7.25</v>
          </cell>
          <cell r="M447">
            <v>7.95</v>
          </cell>
          <cell r="N447">
            <v>1.97</v>
          </cell>
          <cell r="O447">
            <v>2.0215103746666667</v>
          </cell>
          <cell r="P447">
            <v>2.1283883514906665</v>
          </cell>
          <cell r="Q447">
            <v>2.3651022946041125</v>
          </cell>
          <cell r="R447">
            <v>8.4850010207614464</v>
          </cell>
          <cell r="S447">
            <v>8.6763987595686256</v>
          </cell>
          <cell r="T447">
            <v>8.9358983227302051</v>
          </cell>
        </row>
        <row r="448">
          <cell r="G448">
            <v>9.9683544303797458E-2</v>
          </cell>
          <cell r="H448">
            <v>0.11509715994020928</v>
          </cell>
          <cell r="I448">
            <v>0.12108262108262109</v>
          </cell>
          <cell r="J448">
            <v>0.12408759124087591</v>
          </cell>
          <cell r="K448">
            <v>4.9363057324840767E-2</v>
          </cell>
          <cell r="L448">
            <v>5.7931034482758617E-2</v>
          </cell>
          <cell r="M448">
            <v>0.13333333333333336</v>
          </cell>
          <cell r="N448">
            <v>0.12690355329949238</v>
          </cell>
          <cell r="O448">
            <v>0.14761904761904762</v>
          </cell>
          <cell r="P448">
            <v>0.16894977168949771</v>
          </cell>
          <cell r="Q448">
            <v>0.14010989010989011</v>
          </cell>
          <cell r="R448">
            <v>0.14545454545454545</v>
          </cell>
          <cell r="S448">
            <v>0.17998085389889285</v>
          </cell>
          <cell r="T448">
            <v>0.1931162465752807</v>
          </cell>
        </row>
      </sheetData>
      <sheetData sheetId="11" refreshError="1"/>
      <sheetData sheetId="12" refreshError="1">
        <row r="1">
          <cell r="C1" t="str">
            <v>Peer</v>
          </cell>
          <cell r="E1" t="str">
            <v>Peer</v>
          </cell>
          <cell r="G1" t="str">
            <v>Peer</v>
          </cell>
          <cell r="I1" t="str">
            <v>Peer</v>
          </cell>
          <cell r="K1" t="str">
            <v>Peer</v>
          </cell>
          <cell r="M1" t="str">
            <v>Peer</v>
          </cell>
          <cell r="O1" t="str">
            <v>Peer</v>
          </cell>
          <cell r="Q1" t="str">
            <v>Peer</v>
          </cell>
          <cell r="S1" t="str">
            <v>Peer</v>
          </cell>
          <cell r="U1" t="str">
            <v>Peer</v>
          </cell>
          <cell r="W1" t="str">
            <v>Peer</v>
          </cell>
          <cell r="Y1" t="str">
            <v>Peer</v>
          </cell>
          <cell r="AA1" t="str">
            <v>Peer</v>
          </cell>
          <cell r="AC1" t="str">
            <v>Peer</v>
          </cell>
        </row>
        <row r="2">
          <cell r="C2" t="str">
            <v>Group</v>
          </cell>
          <cell r="E2" t="str">
            <v>Group</v>
          </cell>
          <cell r="G2" t="str">
            <v>Group</v>
          </cell>
          <cell r="I2" t="str">
            <v>Group</v>
          </cell>
          <cell r="K2" t="str">
            <v>Group</v>
          </cell>
          <cell r="M2" t="str">
            <v>Group</v>
          </cell>
          <cell r="O2" t="str">
            <v>Group</v>
          </cell>
          <cell r="Q2" t="str">
            <v>Group</v>
          </cell>
          <cell r="S2" t="str">
            <v>Group</v>
          </cell>
          <cell r="U2" t="str">
            <v>Group</v>
          </cell>
          <cell r="W2" t="str">
            <v>Group</v>
          </cell>
          <cell r="Y2" t="str">
            <v>Group</v>
          </cell>
          <cell r="AA2" t="str">
            <v>Group</v>
          </cell>
          <cell r="AC2" t="str">
            <v>Group</v>
          </cell>
        </row>
        <row r="3">
          <cell r="A3" t="str">
            <v>Performance Measure</v>
          </cell>
          <cell r="B3" t="str">
            <v>1Q04A</v>
          </cell>
          <cell r="C3" t="str">
            <v>1Q04A</v>
          </cell>
          <cell r="D3" t="str">
            <v>2Q04A</v>
          </cell>
          <cell r="E3" t="str">
            <v>2Q04A</v>
          </cell>
          <cell r="F3" t="str">
            <v>3Q04A</v>
          </cell>
          <cell r="G3" t="str">
            <v>3Q04A</v>
          </cell>
          <cell r="H3" t="str">
            <v>4Q04A</v>
          </cell>
          <cell r="I3" t="str">
            <v>4Q04A</v>
          </cell>
          <cell r="J3" t="str">
            <v>1Q05A</v>
          </cell>
          <cell r="K3" t="str">
            <v>1Q05A</v>
          </cell>
          <cell r="L3" t="str">
            <v>2Q05A</v>
          </cell>
          <cell r="M3" t="str">
            <v>2Q05A</v>
          </cell>
          <cell r="N3" t="str">
            <v>3Q05A</v>
          </cell>
          <cell r="O3" t="str">
            <v>3Q05A</v>
          </cell>
          <cell r="P3" t="str">
            <v>4Q05A</v>
          </cell>
          <cell r="Q3" t="str">
            <v>4Q05A</v>
          </cell>
          <cell r="R3" t="str">
            <v>1Q06A</v>
          </cell>
          <cell r="S3" t="str">
            <v>1Q06A</v>
          </cell>
          <cell r="T3" t="str">
            <v>2Q06A</v>
          </cell>
          <cell r="U3" t="str">
            <v>2Q06A</v>
          </cell>
          <cell r="V3" t="str">
            <v>3Q06A</v>
          </cell>
          <cell r="W3" t="str">
            <v>3Q06A</v>
          </cell>
          <cell r="X3" t="str">
            <v>4Q06A</v>
          </cell>
          <cell r="Y3" t="str">
            <v>4Q06A</v>
          </cell>
          <cell r="Z3" t="str">
            <v>1Q07A</v>
          </cell>
          <cell r="AA3" t="str">
            <v>1Q07A</v>
          </cell>
          <cell r="AB3" t="str">
            <v>2Q07A</v>
          </cell>
          <cell r="AC3" t="str">
            <v>2Q07A</v>
          </cell>
          <cell r="AD3" t="str">
            <v>3Q07A</v>
          </cell>
          <cell r="AE3" t="str">
            <v>Comments</v>
          </cell>
        </row>
        <row r="4">
          <cell r="A4" t="str">
            <v>FFOPS</v>
          </cell>
          <cell r="B4">
            <v>0.31322751322751324</v>
          </cell>
          <cell r="D4">
            <v>0.26326963906581741</v>
          </cell>
          <cell r="F4">
            <v>0.27459306440198161</v>
          </cell>
          <cell r="H4">
            <v>0.27777777777777779</v>
          </cell>
          <cell r="J4">
            <v>0.27813253866893711</v>
          </cell>
          <cell r="L4">
            <v>0.28652482269503549</v>
          </cell>
          <cell r="N4">
            <v>0.27420736932305056</v>
          </cell>
          <cell r="P4">
            <v>0.39383561643835618</v>
          </cell>
          <cell r="R4">
            <v>0.29159519725557459</v>
          </cell>
          <cell r="T4">
            <v>0.30290041434490639</v>
          </cell>
          <cell r="V4">
            <v>0.30835117773019272</v>
          </cell>
          <cell r="X4">
            <v>0.34287294345361535</v>
          </cell>
          <cell r="Z4">
            <v>0.32010978043912175</v>
          </cell>
          <cell r="AB4">
            <v>0.41722846441947564</v>
          </cell>
          <cell r="AD4">
            <v>0.3614246300476549</v>
          </cell>
          <cell r="AE4" t="str">
            <v>FFO was below our expectations by $0.01 driven by significantly weaker residential segment offset by storng growth in the office segment.</v>
          </cell>
        </row>
        <row r="6">
          <cell r="A6" t="str">
            <v>Morgan Stanley</v>
          </cell>
          <cell r="AD6">
            <v>0.37</v>
          </cell>
        </row>
        <row r="7">
          <cell r="A7" t="str">
            <v>Consensus</v>
          </cell>
          <cell r="AD7">
            <v>0.4</v>
          </cell>
        </row>
        <row r="9">
          <cell r="A9" t="str">
            <v>FFO Y/Y Gowth per Share</v>
          </cell>
          <cell r="B9">
            <v>0.38717770034843224</v>
          </cell>
          <cell r="C9">
            <v>1.6197440514281184E-2</v>
          </cell>
          <cell r="D9">
            <v>0.10875234170101167</v>
          </cell>
          <cell r="E9">
            <v>3.2469047386595111E-2</v>
          </cell>
          <cell r="F9">
            <v>0.12718856465708805</v>
          </cell>
          <cell r="G9">
            <v>1.544158431013041E-2</v>
          </cell>
          <cell r="H9">
            <v>0.12002840909090917</v>
          </cell>
          <cell r="I9">
            <v>-2.1085278404499145E-2</v>
          </cell>
          <cell r="J9">
            <v>-0.11204307756031906</v>
          </cell>
          <cell r="K9">
            <v>-8.7509598062697706E-3</v>
          </cell>
          <cell r="L9">
            <v>8.8332189430336383E-2</v>
          </cell>
          <cell r="M9">
            <v>-3.9039875237925008E-2</v>
          </cell>
          <cell r="N9">
            <v>-1.4046060477566069E-3</v>
          </cell>
          <cell r="O9">
            <v>-5.199662001586465E-2</v>
          </cell>
          <cell r="P9">
            <v>5.821917808219168E-2</v>
          </cell>
          <cell r="Q9">
            <v>6.2926566935400819E-3</v>
          </cell>
          <cell r="R9">
            <v>4.8403752581650084E-2</v>
          </cell>
          <cell r="S9">
            <v>-2.0577074017175466E-3</v>
          </cell>
          <cell r="T9">
            <v>0.10463994856408054</v>
          </cell>
          <cell r="U9">
            <v>-2.0577074017175466E-3</v>
          </cell>
          <cell r="V9">
            <v>4.8403752581650084E-2</v>
          </cell>
          <cell r="X9">
            <v>4.8403752581650084E-2</v>
          </cell>
          <cell r="Z9">
            <v>-0.18719951401544743</v>
          </cell>
          <cell r="AB9">
            <v>0.37744435022259926</v>
          </cell>
          <cell r="AD9">
            <v>0.17212015439065853</v>
          </cell>
        </row>
        <row r="11">
          <cell r="A11" t="str">
            <v>Same-Store Y/Y NOI Growth</v>
          </cell>
          <cell r="C11">
            <v>-1.8657507112269173E-2</v>
          </cell>
          <cell r="E11">
            <v>-2.0394437788635904E-2</v>
          </cell>
          <cell r="G11">
            <v>-9.6842694004763367E-3</v>
          </cell>
          <cell r="I11">
            <v>-4.0717975965554711E-3</v>
          </cell>
          <cell r="J11">
            <v>5.4999999999999997E-3</v>
          </cell>
          <cell r="K11">
            <v>-5.4564933825720051E-3</v>
          </cell>
          <cell r="L11">
            <v>0</v>
          </cell>
          <cell r="M11">
            <v>2.1694465044049338E-3</v>
          </cell>
          <cell r="N11">
            <v>-6.0000000000000001E-3</v>
          </cell>
          <cell r="O11">
            <v>-1.5926133359499275E-3</v>
          </cell>
          <cell r="P11">
            <v>-1.2E-2</v>
          </cell>
          <cell r="Q11">
            <v>-1.0018854487406574E-2</v>
          </cell>
          <cell r="R11">
            <v>-3.5999999999999997E-2</v>
          </cell>
          <cell r="S11">
            <v>-1.5665105559469646E-2</v>
          </cell>
          <cell r="T11">
            <v>-2.5000000000000001E-2</v>
          </cell>
          <cell r="U11">
            <v>1.9176121556377813E-2</v>
          </cell>
          <cell r="V11">
            <v>-6.4516129032258229E-3</v>
          </cell>
          <cell r="W11">
            <v>2.7719602035110796E-2</v>
          </cell>
          <cell r="X11">
            <v>-6.4516129032258229E-3</v>
          </cell>
          <cell r="Y11">
            <v>3.8780322071890493E-2</v>
          </cell>
          <cell r="Z11">
            <v>3.6809815950920033E-2</v>
          </cell>
          <cell r="AA11">
            <v>5.5863230821732134E-2</v>
          </cell>
          <cell r="AB11">
            <v>0.03</v>
          </cell>
          <cell r="AC11">
            <v>5.8619969866230623E-2</v>
          </cell>
          <cell r="AD11">
            <v>7.0999999999999994E-2</v>
          </cell>
        </row>
        <row r="12">
          <cell r="A12" t="str">
            <v>Occupancy</v>
          </cell>
          <cell r="B12">
            <v>0.93899999999999995</v>
          </cell>
          <cell r="C12">
            <v>0.89565817148858418</v>
          </cell>
          <cell r="D12">
            <v>0.93899999999999995</v>
          </cell>
          <cell r="E12">
            <v>0.89896733575433185</v>
          </cell>
          <cell r="F12">
            <v>0.93899999999999995</v>
          </cell>
          <cell r="G12">
            <v>0.90072858008506107</v>
          </cell>
          <cell r="H12">
            <v>0.92700000000000005</v>
          </cell>
          <cell r="I12">
            <v>0.90520353341674742</v>
          </cell>
          <cell r="J12">
            <v>0.93799999999999994</v>
          </cell>
          <cell r="K12">
            <v>0.90754059174508817</v>
          </cell>
          <cell r="L12">
            <v>0.94</v>
          </cell>
          <cell r="M12">
            <v>0.90458698558074491</v>
          </cell>
          <cell r="N12">
            <v>0.94</v>
          </cell>
          <cell r="O12">
            <v>0.90638568345040049</v>
          </cell>
          <cell r="P12">
            <v>0.94599999999999995</v>
          </cell>
          <cell r="Q12">
            <v>0.91342531222089152</v>
          </cell>
          <cell r="R12">
            <v>0</v>
          </cell>
          <cell r="S12">
            <v>0.92275527001955882</v>
          </cell>
          <cell r="T12">
            <v>0.94599999999999995</v>
          </cell>
          <cell r="U12">
            <v>0.92315895745695897</v>
          </cell>
          <cell r="V12">
            <v>0.96</v>
          </cell>
          <cell r="W12">
            <v>0.92219505229157983</v>
          </cell>
          <cell r="X12">
            <v>0.95</v>
          </cell>
          <cell r="Y12">
            <v>0.93263345493123773</v>
          </cell>
          <cell r="Z12">
            <v>0.95099999999999996</v>
          </cell>
          <cell r="AA12">
            <v>0.93973763035892099</v>
          </cell>
          <cell r="AB12">
            <v>0.94599999999999995</v>
          </cell>
          <cell r="AC12">
            <v>0.94509703147056434</v>
          </cell>
          <cell r="AD12">
            <v>0.95</v>
          </cell>
        </row>
        <row r="14">
          <cell r="A14" t="str">
            <v>In-Place Rent Discount to Market</v>
          </cell>
          <cell r="B14">
            <v>-4.166666666666663E-2</v>
          </cell>
          <cell r="D14">
            <v>-4.166666666666663E-2</v>
          </cell>
          <cell r="F14">
            <v>-4.166666666666663E-2</v>
          </cell>
          <cell r="H14">
            <v>-7.999999999999996E-2</v>
          </cell>
          <cell r="J14">
            <v>-7.999999999999996E-2</v>
          </cell>
          <cell r="L14">
            <v>-3.8461538461538436E-2</v>
          </cell>
          <cell r="N14">
            <v>-3.8461538461538436E-2</v>
          </cell>
          <cell r="P14">
            <v>0</v>
          </cell>
          <cell r="R14">
            <v>-7.6923076923076872E-2</v>
          </cell>
          <cell r="T14">
            <v>-0.11111111111111116</v>
          </cell>
          <cell r="V14">
            <v>-0.1071428571428571</v>
          </cell>
          <cell r="X14">
            <v>-0.2068965517241379</v>
          </cell>
          <cell r="Z14">
            <v>-0.33333333333333337</v>
          </cell>
          <cell r="AB14">
            <v>-0.34264705882352942</v>
          </cell>
        </row>
        <row r="15">
          <cell r="A15" t="str">
            <v>Net Rent Growth on Signed Leases</v>
          </cell>
          <cell r="B15">
            <v>6.6666666666666652E-2</v>
          </cell>
          <cell r="D15">
            <v>5.2631578947368363E-2</v>
          </cell>
          <cell r="F15">
            <v>-0.10526315789473684</v>
          </cell>
          <cell r="H15">
            <v>-0.10526315789473684</v>
          </cell>
          <cell r="J15">
            <v>5.0000000000000044E-2</v>
          </cell>
          <cell r="L15">
            <v>0</v>
          </cell>
          <cell r="N15">
            <v>-5.0000000000000044E-2</v>
          </cell>
          <cell r="P15">
            <v>-0.17391304347826086</v>
          </cell>
          <cell r="R15">
            <v>0.29411764705882359</v>
          </cell>
          <cell r="T15">
            <v>0.41176470588235303</v>
          </cell>
          <cell r="V15">
            <v>0.19999999999999996</v>
          </cell>
          <cell r="X15">
            <v>0.22222222222222232</v>
          </cell>
          <cell r="Z15">
            <v>0.35294117647058831</v>
          </cell>
          <cell r="AB15">
            <v>0.40742624618514767</v>
          </cell>
        </row>
        <row r="17">
          <cell r="A17" t="str">
            <v>Acquisitions (MM)</v>
          </cell>
          <cell r="J17">
            <v>0</v>
          </cell>
          <cell r="L17">
            <v>0</v>
          </cell>
          <cell r="N17">
            <v>0</v>
          </cell>
          <cell r="P17">
            <v>450</v>
          </cell>
          <cell r="R17">
            <v>101</v>
          </cell>
          <cell r="T17">
            <v>329</v>
          </cell>
          <cell r="V17">
            <v>75</v>
          </cell>
          <cell r="X17">
            <v>7500</v>
          </cell>
          <cell r="Z17">
            <v>7500</v>
          </cell>
          <cell r="AB17">
            <v>0</v>
          </cell>
        </row>
        <row r="18">
          <cell r="A18" t="str">
            <v>Dispositions (MM)</v>
          </cell>
          <cell r="J18">
            <v>0</v>
          </cell>
          <cell r="L18">
            <v>0</v>
          </cell>
          <cell r="N18">
            <v>0</v>
          </cell>
          <cell r="P18">
            <v>22</v>
          </cell>
          <cell r="R18">
            <v>116</v>
          </cell>
          <cell r="T18">
            <v>215.6</v>
          </cell>
          <cell r="V18">
            <v>0</v>
          </cell>
          <cell r="X18">
            <v>0</v>
          </cell>
          <cell r="Z18">
            <v>0</v>
          </cell>
          <cell r="AB18">
            <v>2.5</v>
          </cell>
        </row>
        <row r="19">
          <cell r="A19" t="str">
            <v>Shares Repurchased</v>
          </cell>
          <cell r="J19">
            <v>34</v>
          </cell>
          <cell r="L19">
            <v>13.375</v>
          </cell>
          <cell r="N19">
            <v>14</v>
          </cell>
          <cell r="P19">
            <v>15.4</v>
          </cell>
          <cell r="R19">
            <v>0</v>
          </cell>
          <cell r="T19">
            <v>0</v>
          </cell>
          <cell r="V19">
            <v>0</v>
          </cell>
          <cell r="X19">
            <v>0</v>
          </cell>
          <cell r="Z19">
            <v>0</v>
          </cell>
          <cell r="AB19">
            <v>1000</v>
          </cell>
        </row>
        <row r="21">
          <cell r="A21" t="str">
            <v>Homes Sold</v>
          </cell>
          <cell r="J21">
            <v>106</v>
          </cell>
          <cell r="L21">
            <v>189</v>
          </cell>
          <cell r="N21">
            <v>255</v>
          </cell>
          <cell r="P21">
            <v>397</v>
          </cell>
          <cell r="R21">
            <v>148</v>
          </cell>
          <cell r="T21">
            <v>226</v>
          </cell>
          <cell r="V21">
            <v>174</v>
          </cell>
          <cell r="X21">
            <v>270</v>
          </cell>
          <cell r="Z21">
            <v>155</v>
          </cell>
          <cell r="AB21">
            <v>220</v>
          </cell>
        </row>
        <row r="22">
          <cell r="A22" t="str">
            <v>Avg. Home Price</v>
          </cell>
          <cell r="J22">
            <v>160</v>
          </cell>
          <cell r="L22">
            <v>169.05291005291005</v>
          </cell>
          <cell r="N22">
            <v>188</v>
          </cell>
          <cell r="P22">
            <v>217</v>
          </cell>
          <cell r="R22">
            <v>189</v>
          </cell>
          <cell r="T22">
            <v>204</v>
          </cell>
          <cell r="V22">
            <v>195</v>
          </cell>
          <cell r="X22">
            <v>241</v>
          </cell>
          <cell r="Z22">
            <v>232</v>
          </cell>
          <cell r="AB22">
            <v>255</v>
          </cell>
        </row>
        <row r="23">
          <cell r="A23" t="str">
            <v>Units Sold</v>
          </cell>
          <cell r="J23">
            <v>570</v>
          </cell>
          <cell r="L23">
            <v>694</v>
          </cell>
          <cell r="N23">
            <v>740</v>
          </cell>
          <cell r="P23">
            <v>964</v>
          </cell>
          <cell r="R23">
            <v>709</v>
          </cell>
          <cell r="T23">
            <v>519</v>
          </cell>
          <cell r="V23">
            <v>510</v>
          </cell>
          <cell r="X23">
            <v>510</v>
          </cell>
          <cell r="Z23">
            <v>554</v>
          </cell>
          <cell r="AB23">
            <v>874</v>
          </cell>
        </row>
        <row r="24">
          <cell r="A24" t="str">
            <v>Avg. Unit Price</v>
          </cell>
          <cell r="J24">
            <v>67</v>
          </cell>
          <cell r="L24">
            <v>69.380403458213252</v>
          </cell>
          <cell r="N24">
            <v>64</v>
          </cell>
          <cell r="P24">
            <v>75</v>
          </cell>
          <cell r="R24">
            <v>86</v>
          </cell>
          <cell r="T24">
            <v>120</v>
          </cell>
          <cell r="V24">
            <v>139</v>
          </cell>
          <cell r="X24">
            <v>113</v>
          </cell>
          <cell r="Z24">
            <v>136</v>
          </cell>
          <cell r="AB24">
            <v>140</v>
          </cell>
        </row>
        <row r="26">
          <cell r="A26" t="str">
            <v xml:space="preserve">   Debt/Market Cap</v>
          </cell>
          <cell r="B26">
            <v>0.43393011832049744</v>
          </cell>
          <cell r="D26">
            <v>0.43457471773733952</v>
          </cell>
          <cell r="F26">
            <v>0.41844354831980085</v>
          </cell>
          <cell r="H26">
            <v>0.38170681776616988</v>
          </cell>
          <cell r="J26">
            <v>0.38035846428356074</v>
          </cell>
          <cell r="L26">
            <v>0.36255316735967136</v>
          </cell>
          <cell r="N26">
            <v>0.35905380613547416</v>
          </cell>
          <cell r="P26">
            <v>0.38269220276185767</v>
          </cell>
          <cell r="R26">
            <v>0.35551557473640755</v>
          </cell>
          <cell r="T26">
            <v>0.37954421314130676</v>
          </cell>
          <cell r="V26">
            <v>0.37500587421930415</v>
          </cell>
          <cell r="X26">
            <v>0.46514770220497209</v>
          </cell>
          <cell r="Z26">
            <v>0.47008263219256924</v>
          </cell>
          <cell r="AB26">
            <v>0.47560258695327051</v>
          </cell>
        </row>
        <row r="27">
          <cell r="A27" t="str">
            <v xml:space="preserve">   Fixed Charge Coverage</v>
          </cell>
          <cell r="B27">
            <v>2.36</v>
          </cell>
          <cell r="D27">
            <v>2.8846153846153846</v>
          </cell>
          <cell r="F27">
            <v>2.1666666666666665</v>
          </cell>
          <cell r="H27">
            <v>2.1097560975609757</v>
          </cell>
          <cell r="J27">
            <v>2.1111111111111112</v>
          </cell>
          <cell r="L27">
            <v>2.1707317073170733</v>
          </cell>
          <cell r="N27">
            <v>2.0465116279069768</v>
          </cell>
          <cell r="P27">
            <v>2.5813953488372094</v>
          </cell>
          <cell r="R27">
            <v>2.0449438202247192</v>
          </cell>
          <cell r="T27">
            <v>2.10752688172043</v>
          </cell>
          <cell r="V27">
            <v>2.0816326530612246</v>
          </cell>
          <cell r="X27">
            <v>1.6394230769230769</v>
          </cell>
          <cell r="Z27">
            <v>1.3531746031746033</v>
          </cell>
          <cell r="AB27">
            <v>1.5660526315789474</v>
          </cell>
        </row>
        <row r="29">
          <cell r="A29" t="str">
            <v>Mgt FFOPS Guidance - 2006</v>
          </cell>
          <cell r="P29" t="str">
            <v>$1.77-1.84</v>
          </cell>
          <cell r="R29" t="str">
            <v>$1.77-1.84</v>
          </cell>
          <cell r="T29" t="str">
            <v>$1.86-1.89</v>
          </cell>
          <cell r="V29" t="str">
            <v>$1.86-1.89</v>
          </cell>
          <cell r="X29" t="str">
            <v>$1.86-1.89</v>
          </cell>
        </row>
        <row r="30">
          <cell r="A30" t="str">
            <v>Mgt FFOPS Guidance - 2007</v>
          </cell>
          <cell r="AB30" t="str">
            <v>$1.50-1.60</v>
          </cell>
        </row>
      </sheetData>
      <sheetData sheetId="13" refreshError="1"/>
      <sheetData sheetId="14" refreshError="1">
        <row r="1">
          <cell r="A1" t="str">
            <v>Brookfield Properties</v>
          </cell>
        </row>
        <row r="2">
          <cell r="A2" t="str">
            <v>Quarterly Net Asset Value Calculation</v>
          </cell>
        </row>
        <row r="3">
          <cell r="A3" t="str">
            <v>(Dollars in Thousands, Except Per Share)</v>
          </cell>
        </row>
        <row r="6">
          <cell r="B6" t="str">
            <v>2005E</v>
          </cell>
        </row>
        <row r="7">
          <cell r="B7" t="str">
            <v>1QA</v>
          </cell>
          <cell r="C7" t="str">
            <v>2QA</v>
          </cell>
          <cell r="D7" t="str">
            <v>3QA</v>
          </cell>
          <cell r="E7" t="str">
            <v>4QA</v>
          </cell>
          <cell r="F7" t="str">
            <v>FAV</v>
          </cell>
        </row>
        <row r="9">
          <cell r="A9" t="str">
            <v>Real Estate Value</v>
          </cell>
        </row>
        <row r="11">
          <cell r="A11" t="str">
            <v>Revenue</v>
          </cell>
          <cell r="B11">
            <v>269000</v>
          </cell>
          <cell r="C11">
            <v>271000</v>
          </cell>
          <cell r="D11">
            <v>273000</v>
          </cell>
          <cell r="E11">
            <v>270000</v>
          </cell>
          <cell r="F11">
            <v>1382000</v>
          </cell>
        </row>
        <row r="12">
          <cell r="A12" t="str">
            <v>Operating Expenses</v>
          </cell>
          <cell r="B12">
            <v>100000</v>
          </cell>
          <cell r="C12">
            <v>106000</v>
          </cell>
          <cell r="D12">
            <v>110000</v>
          </cell>
          <cell r="E12">
            <v>113000</v>
          </cell>
          <cell r="F12">
            <v>573000</v>
          </cell>
        </row>
        <row r="13">
          <cell r="A13" t="str">
            <v>Acquisition and Development NOI Annualized</v>
          </cell>
          <cell r="B13">
            <v>0</v>
          </cell>
          <cell r="C13">
            <v>0</v>
          </cell>
          <cell r="D13">
            <v>0</v>
          </cell>
          <cell r="E13">
            <v>0</v>
          </cell>
          <cell r="F13">
            <v>0</v>
          </cell>
        </row>
        <row r="14">
          <cell r="A14" t="str">
            <v>Estimated Management Income</v>
          </cell>
          <cell r="B14">
            <v>20000</v>
          </cell>
          <cell r="C14">
            <v>20000</v>
          </cell>
          <cell r="D14">
            <v>20000</v>
          </cell>
          <cell r="E14">
            <v>20000</v>
          </cell>
          <cell r="F14">
            <v>0</v>
          </cell>
        </row>
        <row r="15">
          <cell r="A15" t="str">
            <v>Consolidated Property NOI -- Forward 4Q</v>
          </cell>
          <cell r="B15">
            <v>169000</v>
          </cell>
          <cell r="C15">
            <v>165000</v>
          </cell>
          <cell r="D15">
            <v>163000</v>
          </cell>
          <cell r="E15">
            <v>157000</v>
          </cell>
          <cell r="F15">
            <v>809000</v>
          </cell>
        </row>
        <row r="16">
          <cell r="A16" t="str">
            <v>Less: Straight-line Rents -- Quarterly</v>
          </cell>
          <cell r="B16">
            <v>5000</v>
          </cell>
          <cell r="C16">
            <v>5000</v>
          </cell>
          <cell r="D16">
            <v>5000</v>
          </cell>
          <cell r="E16">
            <v>5000</v>
          </cell>
          <cell r="F16">
            <v>17000</v>
          </cell>
        </row>
        <row r="18">
          <cell r="A18" t="str">
            <v>Total Quarterly NOI</v>
          </cell>
          <cell r="B18">
            <v>164000</v>
          </cell>
          <cell r="C18">
            <v>160000</v>
          </cell>
          <cell r="D18">
            <v>158000</v>
          </cell>
          <cell r="E18">
            <v>152000</v>
          </cell>
          <cell r="F18">
            <v>792000</v>
          </cell>
        </row>
        <row r="19">
          <cell r="A19" t="str">
            <v>NOI from BPO Properties (Canada)</v>
          </cell>
          <cell r="B19">
            <v>29000</v>
          </cell>
          <cell r="C19">
            <v>28300</v>
          </cell>
          <cell r="D19">
            <v>27800</v>
          </cell>
          <cell r="E19">
            <v>36700</v>
          </cell>
          <cell r="F19">
            <v>39900</v>
          </cell>
        </row>
        <row r="20">
          <cell r="A20" t="str">
            <v xml:space="preserve">Minority Interest Ownership </v>
          </cell>
          <cell r="B20">
            <v>0.11</v>
          </cell>
          <cell r="C20">
            <v>0.11</v>
          </cell>
          <cell r="D20">
            <v>0.11</v>
          </cell>
          <cell r="E20">
            <v>0.11</v>
          </cell>
          <cell r="F20">
            <v>0.11</v>
          </cell>
        </row>
        <row r="21">
          <cell r="A21" t="str">
            <v>Annualized Minority Interest NOI (Canada only)</v>
          </cell>
          <cell r="B21">
            <v>3190</v>
          </cell>
          <cell r="C21">
            <v>3113</v>
          </cell>
          <cell r="D21">
            <v>3058</v>
          </cell>
          <cell r="E21">
            <v>4037</v>
          </cell>
          <cell r="F21">
            <v>17556</v>
          </cell>
        </row>
        <row r="22">
          <cell r="A22" t="str">
            <v>Annualization Factor</v>
          </cell>
          <cell r="B22">
            <v>4</v>
          </cell>
          <cell r="C22">
            <v>4</v>
          </cell>
          <cell r="D22">
            <v>4</v>
          </cell>
          <cell r="E22">
            <v>4</v>
          </cell>
          <cell r="F22">
            <v>1</v>
          </cell>
        </row>
        <row r="23">
          <cell r="A23" t="str">
            <v>Annualized NOI</v>
          </cell>
          <cell r="B23">
            <v>643240</v>
          </cell>
          <cell r="C23">
            <v>627548</v>
          </cell>
          <cell r="D23">
            <v>619768</v>
          </cell>
          <cell r="E23">
            <v>591852</v>
          </cell>
          <cell r="F23">
            <v>774444</v>
          </cell>
        </row>
        <row r="25">
          <cell r="A25" t="str">
            <v>Unconsolidated Property NOI -- Quarterly</v>
          </cell>
          <cell r="B25">
            <v>0</v>
          </cell>
          <cell r="C25">
            <v>0</v>
          </cell>
          <cell r="D25">
            <v>0</v>
          </cell>
          <cell r="E25">
            <v>0</v>
          </cell>
        </row>
        <row r="27">
          <cell r="A27" t="str">
            <v>Total Annualized NOI</v>
          </cell>
          <cell r="B27">
            <v>643240</v>
          </cell>
          <cell r="C27">
            <v>627548</v>
          </cell>
          <cell r="D27">
            <v>619768</v>
          </cell>
          <cell r="E27">
            <v>591852</v>
          </cell>
          <cell r="F27">
            <v>774444</v>
          </cell>
        </row>
        <row r="29">
          <cell r="A29" t="str">
            <v>Estimated Capitalization Rate</v>
          </cell>
          <cell r="B29">
            <v>0.06</v>
          </cell>
          <cell r="C29">
            <v>0.06</v>
          </cell>
          <cell r="D29">
            <v>0.06</v>
          </cell>
          <cell r="E29">
            <v>0.06</v>
          </cell>
          <cell r="F29">
            <v>5.5E-2</v>
          </cell>
        </row>
        <row r="31">
          <cell r="A31" t="str">
            <v>Estimated Operating Real Estate Value</v>
          </cell>
          <cell r="B31">
            <v>10720666.666666668</v>
          </cell>
          <cell r="C31">
            <v>10459133.333333334</v>
          </cell>
          <cell r="D31">
            <v>10329466.666666668</v>
          </cell>
          <cell r="E31">
            <v>9864200</v>
          </cell>
          <cell r="F31">
            <v>14080800</v>
          </cell>
        </row>
        <row r="33">
          <cell r="A33" t="str">
            <v>115% Value of Development Pipeline/Land</v>
          </cell>
          <cell r="B33">
            <v>142600</v>
          </cell>
          <cell r="C33">
            <v>212749.99999999997</v>
          </cell>
          <cell r="D33">
            <v>155250</v>
          </cell>
          <cell r="E33">
            <v>257599.99999999997</v>
          </cell>
          <cell r="F33">
            <v>1347800</v>
          </cell>
        </row>
        <row r="34">
          <cell r="A34" t="str">
            <v>Land Value</v>
          </cell>
          <cell r="B34">
            <v>136000</v>
          </cell>
          <cell r="C34">
            <v>155000</v>
          </cell>
          <cell r="D34">
            <v>193000</v>
          </cell>
          <cell r="E34">
            <v>225000</v>
          </cell>
          <cell r="F34">
            <v>712000</v>
          </cell>
        </row>
        <row r="36">
          <cell r="A36" t="str">
            <v>Total Estimated Real Estate Value</v>
          </cell>
          <cell r="B36">
            <v>10863266.666666668</v>
          </cell>
          <cell r="C36">
            <v>10671883.333333334</v>
          </cell>
          <cell r="D36">
            <v>10484716.666666668</v>
          </cell>
          <cell r="E36">
            <v>10121800</v>
          </cell>
          <cell r="F36">
            <v>16140600</v>
          </cell>
        </row>
        <row r="38">
          <cell r="A38" t="str">
            <v>Value of Other Income</v>
          </cell>
        </row>
        <row r="39">
          <cell r="A39" t="str">
            <v>Residential Income -- Annualized</v>
          </cell>
          <cell r="B39">
            <v>106000</v>
          </cell>
          <cell r="C39">
            <v>106000</v>
          </cell>
          <cell r="D39">
            <v>106000</v>
          </cell>
          <cell r="E39">
            <v>106000</v>
          </cell>
          <cell r="F39">
            <v>144000</v>
          </cell>
        </row>
        <row r="40">
          <cell r="A40" t="str">
            <v>Multiple on Residential Income</v>
          </cell>
          <cell r="B40">
            <v>6</v>
          </cell>
          <cell r="C40">
            <v>6</v>
          </cell>
          <cell r="D40">
            <v>6</v>
          </cell>
          <cell r="E40">
            <v>6</v>
          </cell>
          <cell r="F40">
            <v>6</v>
          </cell>
        </row>
        <row r="41">
          <cell r="A41" t="str">
            <v>Value of Residential Income</v>
          </cell>
          <cell r="B41">
            <v>636000</v>
          </cell>
          <cell r="C41">
            <v>636000</v>
          </cell>
          <cell r="D41">
            <v>636000</v>
          </cell>
          <cell r="E41">
            <v>636000</v>
          </cell>
          <cell r="F41">
            <v>864000</v>
          </cell>
        </row>
        <row r="43">
          <cell r="A43" t="str">
            <v>Estimated Management Income</v>
          </cell>
          <cell r="B43">
            <v>20000</v>
          </cell>
          <cell r="C43">
            <v>20000</v>
          </cell>
          <cell r="D43">
            <v>20000</v>
          </cell>
          <cell r="E43">
            <v>20000</v>
          </cell>
          <cell r="F43">
            <v>0</v>
          </cell>
        </row>
        <row r="44">
          <cell r="A44" t="str">
            <v>Other Income -- Annualized</v>
          </cell>
          <cell r="B44">
            <v>32390</v>
          </cell>
          <cell r="C44">
            <v>29110</v>
          </cell>
          <cell r="D44">
            <v>28870</v>
          </cell>
          <cell r="E44">
            <v>45860</v>
          </cell>
          <cell r="F44">
            <v>10147.330246696642</v>
          </cell>
        </row>
        <row r="45">
          <cell r="A45" t="str">
            <v>Multiple on Other Income</v>
          </cell>
          <cell r="B45">
            <v>7</v>
          </cell>
          <cell r="C45">
            <v>7</v>
          </cell>
          <cell r="D45">
            <v>7</v>
          </cell>
          <cell r="E45">
            <v>7</v>
          </cell>
          <cell r="F45">
            <v>7</v>
          </cell>
        </row>
        <row r="46">
          <cell r="A46" t="str">
            <v>Value of Other Income</v>
          </cell>
          <cell r="B46">
            <v>366730</v>
          </cell>
          <cell r="C46">
            <v>343770</v>
          </cell>
          <cell r="D46">
            <v>342090</v>
          </cell>
          <cell r="E46">
            <v>461020</v>
          </cell>
          <cell r="F46">
            <v>71031.311726876491</v>
          </cell>
        </row>
        <row r="48">
          <cell r="A48" t="str">
            <v>Total Value of Assets</v>
          </cell>
          <cell r="B48">
            <v>11865996.666666668</v>
          </cell>
          <cell r="C48">
            <v>11651653.333333334</v>
          </cell>
          <cell r="D48">
            <v>11462806.666666668</v>
          </cell>
          <cell r="E48">
            <v>11218820</v>
          </cell>
          <cell r="F48">
            <v>17075631.311726876</v>
          </cell>
        </row>
        <row r="50">
          <cell r="A50" t="str">
            <v>Adjustments</v>
          </cell>
        </row>
        <row r="51">
          <cell r="A51" t="str">
            <v>Total Debt Outstanding-Consolidated</v>
          </cell>
          <cell r="B51">
            <v>-4616000</v>
          </cell>
          <cell r="C51">
            <v>-4679000</v>
          </cell>
          <cell r="D51">
            <v>-4731000</v>
          </cell>
          <cell r="E51">
            <v>-5216000</v>
          </cell>
          <cell r="F51">
            <v>-5216000</v>
          </cell>
        </row>
        <row r="52">
          <cell r="A52" t="str">
            <v>Total Debt Outstanding-Unconsolidated</v>
          </cell>
          <cell r="B52">
            <v>0</v>
          </cell>
          <cell r="C52">
            <v>0</v>
          </cell>
          <cell r="D52">
            <v>0</v>
          </cell>
          <cell r="E52">
            <v>0</v>
          </cell>
          <cell r="F52">
            <v>0</v>
          </cell>
        </row>
        <row r="53">
          <cell r="A53" t="str">
            <v>Preferred Equity</v>
          </cell>
          <cell r="B53">
            <v>-1422000</v>
          </cell>
          <cell r="C53">
            <v>-1402000</v>
          </cell>
          <cell r="D53">
            <v>-1477000</v>
          </cell>
          <cell r="E53">
            <v>-1475000</v>
          </cell>
          <cell r="F53">
            <v>-1475000</v>
          </cell>
        </row>
        <row r="54">
          <cell r="A54" t="str">
            <v>Tax Asset from NOLs</v>
          </cell>
          <cell r="B54">
            <v>469000</v>
          </cell>
          <cell r="C54">
            <v>451000</v>
          </cell>
          <cell r="D54">
            <v>458000</v>
          </cell>
          <cell r="E54">
            <v>250000</v>
          </cell>
          <cell r="F54">
            <v>147514.97017167532</v>
          </cell>
        </row>
        <row r="55">
          <cell r="A55" t="str">
            <v xml:space="preserve">Cash and Other Assets </v>
          </cell>
          <cell r="B55">
            <v>507000</v>
          </cell>
          <cell r="C55">
            <v>517000</v>
          </cell>
          <cell r="D55">
            <v>667000</v>
          </cell>
          <cell r="E55">
            <v>667000</v>
          </cell>
          <cell r="F55">
            <v>-87000</v>
          </cell>
        </row>
        <row r="57">
          <cell r="A57" t="str">
            <v>Total Adjustments</v>
          </cell>
          <cell r="B57">
            <v>-5062000</v>
          </cell>
          <cell r="C57">
            <v>-5113000</v>
          </cell>
          <cell r="D57">
            <v>-5083000</v>
          </cell>
          <cell r="E57">
            <v>-5774000</v>
          </cell>
          <cell r="F57">
            <v>-6630485.0298283249</v>
          </cell>
        </row>
        <row r="59">
          <cell r="A59" t="str">
            <v>Implied NAV</v>
          </cell>
          <cell r="B59">
            <v>6803996.6666666679</v>
          </cell>
          <cell r="C59">
            <v>6538653.333333334</v>
          </cell>
          <cell r="D59">
            <v>6379806.6666666679</v>
          </cell>
          <cell r="E59">
            <v>5444820</v>
          </cell>
          <cell r="F59">
            <v>10445146.281898551</v>
          </cell>
        </row>
        <row r="61">
          <cell r="A61" t="str">
            <v xml:space="preserve">Total Period-End Diluted Shares </v>
          </cell>
          <cell r="B61">
            <v>356371.98749999999</v>
          </cell>
          <cell r="C61">
            <v>355452.77850000001</v>
          </cell>
          <cell r="D61">
            <v>354680.87699999998</v>
          </cell>
          <cell r="E61">
            <v>353777.37900000002</v>
          </cell>
          <cell r="F61">
            <v>401062.60200000001</v>
          </cell>
        </row>
        <row r="63">
          <cell r="A63" t="str">
            <v>Implied NAV/Share</v>
          </cell>
          <cell r="B63">
            <v>19.092400371863313</v>
          </cell>
          <cell r="C63">
            <v>18.395279848215715</v>
          </cell>
          <cell r="D63">
            <v>17.987455993198832</v>
          </cell>
          <cell r="E63">
            <v>15.390526142147714</v>
          </cell>
          <cell r="F63">
            <v>26.043680537180951</v>
          </cell>
        </row>
        <row r="64">
          <cell r="A64" t="str">
            <v>Stock Price</v>
          </cell>
          <cell r="B64">
            <v>19.309999999999999</v>
          </cell>
          <cell r="C64">
            <v>19.200000000000003</v>
          </cell>
          <cell r="D64">
            <v>19.200000000000003</v>
          </cell>
          <cell r="E64">
            <v>19.200000000000003</v>
          </cell>
          <cell r="F64">
            <v>23</v>
          </cell>
        </row>
        <row r="65">
          <cell r="A65" t="str">
            <v>Premium or Discount</v>
          </cell>
          <cell r="B65">
            <v>1.1397185471627047E-2</v>
          </cell>
          <cell r="C65">
            <v>4.3746013022049501E-2</v>
          </cell>
          <cell r="D65">
            <v>6.7410533610736234E-2</v>
          </cell>
          <cell r="E65">
            <v>0.24752070349433075</v>
          </cell>
          <cell r="F65">
            <v>-0.11686829489540373</v>
          </cell>
        </row>
        <row r="67">
          <cell r="A67" t="str">
            <v xml:space="preserve">E = Morgan Stanley Research Estimates </v>
          </cell>
        </row>
        <row r="69">
          <cell r="A69" t="str">
            <v>Cash Component of Fund Interest</v>
          </cell>
          <cell r="F69">
            <v>26.043680537180951</v>
          </cell>
          <cell r="G69">
            <v>5</v>
          </cell>
          <cell r="H69">
            <v>6</v>
          </cell>
          <cell r="I69">
            <v>7</v>
          </cell>
          <cell r="J69">
            <v>8</v>
          </cell>
          <cell r="K69">
            <v>9</v>
          </cell>
          <cell r="L69">
            <v>10</v>
          </cell>
        </row>
        <row r="70">
          <cell r="F70">
            <v>0.05</v>
          </cell>
          <cell r="G70">
            <v>29.19550769258349</v>
          </cell>
          <cell r="H70">
            <v>29.554553884579221</v>
          </cell>
          <cell r="I70">
            <v>29.913600076574955</v>
          </cell>
          <cell r="J70">
            <v>30.272646268570686</v>
          </cell>
          <cell r="K70">
            <v>30.63169246056642</v>
          </cell>
          <cell r="L70">
            <v>30.99073865256215</v>
          </cell>
        </row>
        <row r="71">
          <cell r="F71">
            <v>5.5E-2</v>
          </cell>
          <cell r="G71">
            <v>25.68463434518522</v>
          </cell>
          <cell r="H71">
            <v>26.043680537180951</v>
          </cell>
          <cell r="I71">
            <v>26.402726729176685</v>
          </cell>
          <cell r="J71">
            <v>26.761772921172415</v>
          </cell>
          <cell r="K71">
            <v>27.12081911316815</v>
          </cell>
          <cell r="L71">
            <v>27.47986530516388</v>
          </cell>
        </row>
        <row r="72">
          <cell r="F72">
            <v>0.06</v>
          </cell>
          <cell r="G72">
            <v>22.758906555686661</v>
          </cell>
          <cell r="H72">
            <v>23.117952747682395</v>
          </cell>
          <cell r="I72">
            <v>23.476998939678126</v>
          </cell>
          <cell r="J72">
            <v>23.83604513167386</v>
          </cell>
          <cell r="K72">
            <v>24.19509132366959</v>
          </cell>
          <cell r="L72">
            <v>24.554137515665325</v>
          </cell>
        </row>
        <row r="73">
          <cell r="F73">
            <v>6.5000000000000002E-2</v>
          </cell>
          <cell r="G73">
            <v>20.283290733803263</v>
          </cell>
          <cell r="H73">
            <v>20.642336925798997</v>
          </cell>
          <cell r="I73">
            <v>21.001383117794727</v>
          </cell>
          <cell r="J73">
            <v>21.360429309790462</v>
          </cell>
          <cell r="K73">
            <v>21.719475501786192</v>
          </cell>
          <cell r="L73">
            <v>22.078521693781926</v>
          </cell>
        </row>
        <row r="74">
          <cell r="F74">
            <v>7.0000000000000007E-2</v>
          </cell>
          <cell r="G74">
            <v>18.161334315046066</v>
          </cell>
          <cell r="H74">
            <v>18.5203805070418</v>
          </cell>
          <cell r="I74">
            <v>18.879426699037531</v>
          </cell>
          <cell r="J74">
            <v>19.238472891033265</v>
          </cell>
          <cell r="K74">
            <v>19.597519083028995</v>
          </cell>
          <cell r="L74">
            <v>19.95656527502473</v>
          </cell>
        </row>
        <row r="75">
          <cell r="F75">
            <v>7.5000000000000011E-2</v>
          </cell>
          <cell r="G75">
            <v>16.322305418789835</v>
          </cell>
          <cell r="H75">
            <v>16.681351610785565</v>
          </cell>
          <cell r="I75">
            <v>17.0403978027813</v>
          </cell>
          <cell r="J75">
            <v>17.39944399477703</v>
          </cell>
          <cell r="K75">
            <v>17.758490186772764</v>
          </cell>
          <cell r="L75">
            <v>18.117536378768495</v>
          </cell>
        </row>
      </sheetData>
      <sheetData sheetId="15" refreshError="1"/>
      <sheetData sheetId="16" refreshError="1">
        <row r="2">
          <cell r="A2" t="str">
            <v>Development</v>
          </cell>
          <cell r="B2" t="str">
            <v>Location</v>
          </cell>
          <cell r="C2" t="str">
            <v>Buildable Sq. Ft. (thous. sq. ft.)</v>
          </cell>
          <cell r="D2" t="str">
            <v>Likely Use</v>
          </cell>
          <cell r="E2" t="str">
            <v>Current Progress</v>
          </cell>
          <cell r="F2" t="str">
            <v>Comments</v>
          </cell>
        </row>
        <row r="3">
          <cell r="A3" t="str">
            <v>Bay-Adelaide Centre</v>
          </cell>
          <cell r="B3" t="str">
            <v>Toronto</v>
          </cell>
          <cell r="C3">
            <v>1800</v>
          </cell>
          <cell r="D3" t="str">
            <v>Mixed-Use - 3-building project, including condominiums, hotel, and office tower. Phase I will include a 1.1 msf office tower. Phase II will consist of the hotel and residential components and Phase III will include a second office tower.</v>
          </cell>
          <cell r="E3" t="str">
            <v>Construction on Phase I could begin by summer 2006, with construction commencing on Phase II closely thereafter.  Recent press reports indicate that BPO has secured at least one major tenant for the first office building, likely a major accounting firm.</v>
          </cell>
          <cell r="F3" t="str">
            <v>BPO recently acquired the remaining 50% interest in the site.  Phase I could cost approximately $425-450MM. Delivery is likely in 2008/2009.</v>
          </cell>
        </row>
        <row r="4">
          <cell r="A4" t="str">
            <v>Bankers Court</v>
          </cell>
          <cell r="B4" t="str">
            <v xml:space="preserve">Calgary </v>
          </cell>
          <cell r="C4">
            <v>500</v>
          </cell>
          <cell r="D4" t="str">
            <v>Office - Site can accommodate two office buildings – a 300 ksf building on the east side and another 200 ksf on the west side, both of which will connect via a skybridge to BPO’s existing Bankers Court asset</v>
          </cell>
          <cell r="E4" t="str">
            <v xml:space="preserve">Construction could start by year end.   Planning is rapidly continuing according to management but not official announcement has been made.  </v>
          </cell>
          <cell r="F4" t="str">
            <v xml:space="preserve">BPO is in negotiations with a large tenant who may take 40% of the space in the smaller building.  There is virtually no vacancy in the market, but oil giant Encana is in the midst of developing a 2 msf office tower due in 2009.  </v>
          </cell>
        </row>
        <row r="5">
          <cell r="A5" t="str">
            <v>401 West 31st St</v>
          </cell>
          <cell r="B5" t="str">
            <v>Manhattan</v>
          </cell>
          <cell r="C5">
            <v>2500</v>
          </cell>
          <cell r="D5" t="str">
            <v xml:space="preserve">Mixed-Use, including at least office and residential.  BPO may sell some piece for residential. </v>
          </cell>
          <cell r="E5" t="str">
            <v>Office component not likely to begin in the next two years. Other components might be able to start earlier.</v>
          </cell>
          <cell r="F5" t="str">
            <v>BPO has rights to develop 2.5 msf over the train tracks near what will be the Moynihan Station.   Site would require a $100MM investment to build a deck over the train tracks.  May sell to residential developer, who would be required to build the deck.</v>
          </cell>
        </row>
        <row r="6">
          <cell r="A6" t="str">
            <v>BCE Place</v>
          </cell>
          <cell r="B6" t="str">
            <v>Toronto</v>
          </cell>
          <cell r="C6">
            <v>800</v>
          </cell>
          <cell r="D6" t="str">
            <v>Office</v>
          </cell>
          <cell r="E6" t="str">
            <v>Not near term</v>
          </cell>
          <cell r="F6" t="str">
            <v>Would not likely due in conjunction with Bay-Adelaide site, given 10%-plus vacancy in Toronto.</v>
          </cell>
        </row>
        <row r="7">
          <cell r="A7" t="str">
            <v>Allied Junction Project  (Unconfirmed)</v>
          </cell>
          <cell r="B7" t="str">
            <v>Secaucus, NJ</v>
          </cell>
          <cell r="C7">
            <v>3500</v>
          </cell>
          <cell r="D7" t="str">
            <v xml:space="preserve">Mixed-Use, including 4 Class A office buildings totaling 3.5msf, a 600-room hotel and conference center, a retail concourse, and a 4,400 parking garage. </v>
          </cell>
          <cell r="E7" t="str">
            <v>Not near term</v>
          </cell>
          <cell r="F7" t="str">
            <v>Sources included GlobeSt.com and NorthJersey.com.  Total project costs could be in the $1B range.</v>
          </cell>
        </row>
        <row r="9">
          <cell r="H9" t="str">
            <v>CLASS A ASSETS</v>
          </cell>
        </row>
        <row r="10">
          <cell r="H10" t="str">
            <v>Market</v>
          </cell>
          <cell r="I10" t="str">
            <v>Trend</v>
          </cell>
          <cell r="J10" t="str">
            <v>Market Office Area (000 sq. ft)</v>
          </cell>
          <cell r="K10" t="str">
            <v>4Q05 Market Vac</v>
          </cell>
          <cell r="L10" t="str">
            <v>3Q05 Market Vac</v>
          </cell>
          <cell r="M10" t="str">
            <v>BPO Vacancy</v>
          </cell>
          <cell r="N10" t="str">
            <v>Market Net Rental Rates</v>
          </cell>
          <cell r="O10" t="str">
            <v>Avg. In-Place Rents</v>
          </cell>
          <cell r="P10" t="str">
            <v>4Q/3Q Market Rental Rate Chg (%)</v>
          </cell>
          <cell r="Q10" t="str">
            <v>Est. Const. (000 sq. ft.)</v>
          </cell>
          <cell r="R10" t="str">
            <v>Const as % of Inventory</v>
          </cell>
          <cell r="S10" t="str">
            <v>Comments</v>
          </cell>
          <cell r="T10" t="str">
            <v>Source</v>
          </cell>
        </row>
        <row r="11">
          <cell r="H11" t="str">
            <v xml:space="preserve">Lower Manhattan </v>
          </cell>
          <cell r="I11" t="str">
            <v>à</v>
          </cell>
          <cell r="J11">
            <v>42000</v>
          </cell>
          <cell r="K11">
            <v>0.14299999999999999</v>
          </cell>
          <cell r="L11">
            <v>0.15</v>
          </cell>
          <cell r="M11">
            <v>6.5000000000000002E-2</v>
          </cell>
          <cell r="N11">
            <v>25</v>
          </cell>
          <cell r="O11">
            <v>31</v>
          </cell>
          <cell r="P11" t="str">
            <v>Flat</v>
          </cell>
          <cell r="Q11">
            <v>0</v>
          </cell>
          <cell r="R11">
            <v>0</v>
          </cell>
          <cell r="S11" t="str">
            <v>Construction excludes Site 26 which Goldman Sachs just acquired to build a 2 msf office building. It also excludes the addition of 10 msf which may be built over the next five years, including the Freedom Tower.</v>
          </cell>
          <cell r="T11" t="str">
            <v>REIS, CBRE, BPO</v>
          </cell>
        </row>
        <row r="12">
          <cell r="H12" t="str">
            <v>Midtown Manhattan</v>
          </cell>
          <cell r="I12" t="str">
            <v>á</v>
          </cell>
          <cell r="J12">
            <v>65000</v>
          </cell>
          <cell r="K12">
            <v>7.2999999999999995E-2</v>
          </cell>
          <cell r="L12">
            <v>0.08</v>
          </cell>
          <cell r="M12">
            <v>3.0000000000000001E-3</v>
          </cell>
          <cell r="N12">
            <v>55</v>
          </cell>
          <cell r="O12">
            <v>39</v>
          </cell>
          <cell r="P12" t="str">
            <v>+1.7%</v>
          </cell>
          <cell r="Q12">
            <v>275</v>
          </cell>
          <cell r="R12">
            <v>4.2307692307692307E-3</v>
          </cell>
          <cell r="S12" t="str">
            <v>Few large blocks of space remain and rents have hit over $100 per foot in several assets.</v>
          </cell>
          <cell r="T12" t="str">
            <v>Torto Wheaton/CBRE, BPO</v>
          </cell>
        </row>
        <row r="13">
          <cell r="H13" t="str">
            <v>Downtown Toronto</v>
          </cell>
          <cell r="I13" t="str">
            <v>ä</v>
          </cell>
          <cell r="J13">
            <v>35000</v>
          </cell>
          <cell r="K13">
            <v>8.4000000000000005E-2</v>
          </cell>
          <cell r="L13">
            <v>8.8999999999999996E-2</v>
          </cell>
          <cell r="M13">
            <v>7.5999999999999998E-2</v>
          </cell>
          <cell r="N13">
            <v>22.63</v>
          </cell>
          <cell r="O13">
            <v>22</v>
          </cell>
          <cell r="P13" t="str">
            <v>+3.8%</v>
          </cell>
          <cell r="Q13">
            <v>346</v>
          </cell>
          <cell r="R13">
            <v>9.8857142857142859E-3</v>
          </cell>
          <cell r="S13" t="str">
            <v>BPO (with O&amp;Y acquisition) owns 9.3 msf.  Recent leases have been done on an as-is basis.  No indication that demand is slackening.</v>
          </cell>
          <cell r="T13" t="str">
            <v>CBRE Canada, BPO</v>
          </cell>
        </row>
        <row r="14">
          <cell r="H14" t="str">
            <v>Central Core Calgary</v>
          </cell>
          <cell r="I14" t="str">
            <v>á</v>
          </cell>
          <cell r="J14">
            <v>20000</v>
          </cell>
          <cell r="K14">
            <v>1.4E-2</v>
          </cell>
          <cell r="L14">
            <v>0.03</v>
          </cell>
          <cell r="M14">
            <v>8.9999999999999993E-3</v>
          </cell>
          <cell r="N14" t="str">
            <v>$27-35</v>
          </cell>
          <cell r="O14">
            <v>16</v>
          </cell>
          <cell r="P14" t="str">
            <v>+12%</v>
          </cell>
          <cell r="Q14">
            <v>1583</v>
          </cell>
          <cell r="R14">
            <v>7.9149999999999998E-2</v>
          </cell>
          <cell r="S14" t="str">
            <v>We do not believe the current construction estimates include new proposed build to suit buildings, which could total 5 msf.</v>
          </cell>
          <cell r="T14" t="str">
            <v>CBRE Canada, BPO</v>
          </cell>
        </row>
        <row r="15">
          <cell r="H15" t="str">
            <v>Boston</v>
          </cell>
          <cell r="I15" t="str">
            <v>æ</v>
          </cell>
          <cell r="J15">
            <v>23500</v>
          </cell>
          <cell r="K15">
            <v>0.13100000000000001</v>
          </cell>
          <cell r="L15">
            <v>0.153</v>
          </cell>
          <cell r="M15">
            <v>7.9000000000000001E-2</v>
          </cell>
          <cell r="N15">
            <v>30</v>
          </cell>
          <cell r="O15">
            <v>29</v>
          </cell>
          <cell r="P15" t="str">
            <v>Flat</v>
          </cell>
          <cell r="Q15">
            <v>0</v>
          </cell>
          <cell r="R15">
            <v>0</v>
          </cell>
          <cell r="S15" t="str">
            <v>Corporate mergers still impacting region. Still competitive rents for tenants but some tightening in Class A space in 1Q06.</v>
          </cell>
          <cell r="T15" t="str">
            <v>Torto Wheaton/CBRE, BPO</v>
          </cell>
        </row>
        <row r="16">
          <cell r="H16" t="str">
            <v>Washington D.C.</v>
          </cell>
          <cell r="I16" t="str">
            <v>á</v>
          </cell>
          <cell r="J16">
            <v>38000</v>
          </cell>
          <cell r="K16">
            <v>5.5E-2</v>
          </cell>
          <cell r="M16">
            <v>1.4999999999999999E-2</v>
          </cell>
          <cell r="N16">
            <v>38</v>
          </cell>
          <cell r="O16">
            <v>30</v>
          </cell>
          <cell r="P16" t="str">
            <v>+0.1%</v>
          </cell>
          <cell r="Q16">
            <v>1295</v>
          </cell>
          <cell r="R16">
            <v>3.4078947368421056E-2</v>
          </cell>
          <cell r="S16" t="str">
            <v>Over 5 msf are expected to be delivered for all of D.C. in 2006.  So far demand is keeping pace, but vacancy may rise in the next few years.</v>
          </cell>
          <cell r="T16" t="str">
            <v>Torto Wheaton/CBRE, BPO</v>
          </cell>
        </row>
        <row r="20">
          <cell r="G20" t="str">
            <v>Overview of BPO’s Major Office Markets</v>
          </cell>
        </row>
        <row r="21">
          <cell r="G21" t="str">
            <v>o         Nearly 77% of BPO’s office NOI derived from NYC, Toronto and Calgary, so focus on those three here. Market data from CB Richard Ellis and Brookfield.</v>
          </cell>
        </row>
        <row r="22">
          <cell r="G22" t="str">
            <v>Toronto</v>
          </cell>
        </row>
        <row r="23">
          <cell r="G23" t="str">
            <v xml:space="preserve">o         Approximately 140 msf of office space in Greater Toronto Area, but downtown and midtown has about 75 msf.  With O&amp;Y properties, BPO will have a share in 15 msf.  </v>
          </cell>
        </row>
        <row r="24">
          <cell r="G24" t="str">
            <v>o         Overall GTA vacancy is 11.9%, down from 12.5% in 2Q05.  Decreased for the 8th straight quarter.  Improvements not as strong as in 2Q05.</v>
          </cell>
        </row>
        <row r="25">
          <cell r="G25" t="str">
            <v xml:space="preserve">o         Financial Core: However, financial core had a slight slowdown with positive absorption of only 75 ksf versus XXX in 2Q; but vacancy dropped to 8.9% from 9.3% and quoted asking rents increased $0.44. Net effective rents were flat. </v>
          </cell>
        </row>
        <row r="26">
          <cell r="G26" t="str">
            <v xml:space="preserve">o         Net rental rates increased $0.30 to $14.76 </v>
          </cell>
        </row>
        <row r="27">
          <cell r="G27" t="str">
            <v>o         Limited construction activity</v>
          </cell>
        </row>
        <row r="28">
          <cell r="G28" t="str">
            <v>o         BPO vacancy 5.8%</v>
          </cell>
        </row>
        <row r="29">
          <cell r="G29" t="str">
            <v>Calgary</v>
          </cell>
        </row>
        <row r="30">
          <cell r="G30" t="str">
            <v>o         Approximately 32 msf of office space in downtown core of Calgary,  BPO after O&amp;Y acquisition will have 9.3 msf.  BPO has a leading position in the market.  Downtown market dominated by oil and gas companies  (60% of the downtown market).</v>
          </cell>
        </row>
        <row r="31">
          <cell r="G31" t="str">
            <v xml:space="preserve">o         Booming economy, boosted by oil and gas. Overall vacancy rate in Calgary is 3.8%, and it was the 9th consecutive quarter with decreasing vacancy. </v>
          </cell>
        </row>
        <row r="32">
          <cell r="G32" t="str">
            <v>o         BPO only has a 70 bp vacancy rate in Calgary, excluding the O&amp;Y portfolio. Net absorption rose on a quarterly basis. With limited Class AA and A space available, more tenants are expanding to B space.</v>
          </cell>
        </row>
        <row r="33">
          <cell r="G33" t="str">
            <v>o         Asking lease rates rose $1.08 psf and Class AA space asking rents rose $1.50.  The average Class A space inventory net asking rent of $26.85 ranks top in Canada. More transactions done on an ‘as-is’ basis for move-in conditions and offering less</v>
          </cell>
        </row>
        <row r="34">
          <cell r="G34" t="str">
            <v>o         No indication that demand is slackening. Six new developments and one redevelopment are on the way with earliest completion date in mid-2006. This should see vacancies rise starting in 2007 with the completion of Livingstone Place, Centrium, Ham</v>
          </cell>
        </row>
        <row r="35">
          <cell r="G35" t="str">
            <v>New York Downtown</v>
          </cell>
        </row>
        <row r="36">
          <cell r="G36" t="str">
            <v>o         Total inventory of 83 msf including City Hall, Financial district, and World Financial Center.  Conditions still relatively weak, negative absorption of 140 ksf year to date, though positive absorption of 290 ksf in 3Q.</v>
          </cell>
        </row>
        <row r="37">
          <cell r="G37" t="str">
            <v xml:space="preserve">o         Downtown availability at 15% with 2.6 msf of sublease space available. Asking rents are $35.56, up $0.18 from 2Q, but up $5.07 from 2004 levels. </v>
          </cell>
        </row>
        <row r="38">
          <cell r="G38" t="str">
            <v xml:space="preserve">o         BPO owns 9.7 msf in downtown Manhattan, and is about 94% leased. </v>
          </cell>
        </row>
        <row r="39">
          <cell r="G39" t="str">
            <v xml:space="preserve">o         7 World Trade Center has not yet signed a lease. Asking for $50 rents in a market that is $40. </v>
          </cell>
        </row>
        <row r="40">
          <cell r="G40" t="str">
            <v>o         Goldman Sachs will be a major boost to the area.  Potential tenants may be waiting for Goldman to move in, but this is XX years off.</v>
          </cell>
        </row>
        <row r="41">
          <cell r="G41" t="str">
            <v>o         Average TI/LCs are $50 psf and 12 months of free rent.</v>
          </cell>
        </row>
        <row r="42">
          <cell r="G42" t="str">
            <v>New York Midtown</v>
          </cell>
        </row>
        <row r="43">
          <cell r="G43" t="str">
            <v>Average TI/LCs are $50 psf and 12 months of free rent.</v>
          </cell>
        </row>
      </sheetData>
      <sheetData sheetId="17" refreshError="1"/>
      <sheetData sheetId="18" refreshError="1"/>
      <sheetData sheetId="1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come Exhibit_Q"/>
      <sheetName val="Income Exhibit_A"/>
      <sheetName val="5 Year IS"/>
      <sheetName val="mwareValPrintout"/>
      <sheetName val="Model_Template"/>
      <sheetName val="Revenue Generator"/>
      <sheetName val="IS"/>
      <sheetName val="4Q07 Earnings Variance"/>
      <sheetName val="3Q07 Earnings Variance"/>
      <sheetName val="BS"/>
      <sheetName val="CFS"/>
      <sheetName val="Implied Cap "/>
      <sheetName val="Acq. &amp; Developments"/>
      <sheetName val="2Q05 Earnings Variance"/>
      <sheetName val="4Q05 Earnings Variance"/>
      <sheetName val="3Q05 Earnings Variance"/>
      <sheetName val="mwareTaxoPres"/>
      <sheetName val="Internal vs External Growth"/>
      <sheetName val="MainCode"/>
      <sheetName val="mStartup"/>
      <sheetName val="NY UPLOAD"/>
      <sheetName val="Sensitivity Analysis"/>
      <sheetName val="Stats"/>
      <sheetName val="__FDSCACHE__"/>
      <sheetName val="Implied Cap Rate"/>
      <sheetName val="NAV"/>
      <sheetName val="2Q06 Earnings Variance"/>
      <sheetName val="1Q06 Earnings Variance"/>
      <sheetName val="3Q06 Earnings Variance"/>
      <sheetName val="4Q06 Earnings Variance"/>
      <sheetName val="1Q07 Earnings Variance"/>
      <sheetName val="mwareDates"/>
      <sheetName val="Performance Review"/>
      <sheetName val="PT-Exhibit"/>
      <sheetName val="2Q07 Earnings Variance"/>
      <sheetName val="mwareSettings"/>
      <sheetName val="NY UPLOAD shadow"/>
    </sheetNames>
    <sheetDataSet>
      <sheetData sheetId="0" refreshError="1"/>
      <sheetData sheetId="1" refreshError="1"/>
      <sheetData sheetId="2" refreshError="1"/>
      <sheetData sheetId="3" refreshError="1"/>
      <sheetData sheetId="4" refreshError="1"/>
      <sheetData sheetId="5" refreshError="1">
        <row r="1">
          <cell r="A1" t="str">
            <v>Model data for companies: DRE.N</v>
          </cell>
          <cell r="N1" t="str">
            <v>MS Analyst Figures</v>
          </cell>
          <cell r="P1" t="str">
            <v>Entered by MS Analyst</v>
          </cell>
          <cell r="GR1" t="str">
            <v>ElementName</v>
          </cell>
          <cell r="GS1" t="str">
            <v>ScaleOverride</v>
          </cell>
          <cell r="GT1" t="str">
            <v>UnitOverride</v>
          </cell>
          <cell r="GU1" t="str">
            <v>ReverseSign</v>
          </cell>
          <cell r="GV1" t="str">
            <v>IsDrivingAssumption</v>
          </cell>
          <cell r="GW1" t="str">
            <v>SegmentID</v>
          </cell>
        </row>
        <row r="2">
          <cell r="A2" t="str">
            <v xml:space="preserve">Model Snapshot type:  </v>
          </cell>
          <cell r="H2" t="str">
            <v>1997-FY</v>
          </cell>
          <cell r="I2" t="str">
            <v>1998-FY</v>
          </cell>
          <cell r="J2" t="str">
            <v>1999-FY</v>
          </cell>
          <cell r="K2" t="str">
            <v>2000-FY</v>
          </cell>
          <cell r="L2" t="str">
            <v>2001-FY</v>
          </cell>
        </row>
        <row r="3">
          <cell r="A3" t="str">
            <v>Default Currency: USD Millions</v>
          </cell>
          <cell r="G3" t="str">
            <v>USD '000</v>
          </cell>
          <cell r="H3" t="str">
            <v>USD '000</v>
          </cell>
          <cell r="I3" t="str">
            <v>USD '000</v>
          </cell>
          <cell r="J3" t="str">
            <v>USD '000</v>
          </cell>
          <cell r="K3" t="str">
            <v>USD '000</v>
          </cell>
          <cell r="L3" t="str">
            <v>USD '000</v>
          </cell>
          <cell r="M3" t="str">
            <v>USD '000</v>
          </cell>
        </row>
        <row r="4">
          <cell r="B4">
            <v>38497.906577314818</v>
          </cell>
        </row>
        <row r="5">
          <cell r="A5" t="str">
            <v>Template v1.1</v>
          </cell>
        </row>
        <row r="6">
          <cell r="H6" t="str">
            <v>1997 (A)_x000D_
1997-1-1_x000D_
1997-12-31</v>
          </cell>
          <cell r="I6" t="str">
            <v>1998 (A)_x000D_
1998-1-1_x000D_
1998-12-31</v>
          </cell>
          <cell r="J6" t="str">
            <v>1999 (A)_x000D_
1999-1-1_x000D_
1999-12-31</v>
          </cell>
          <cell r="K6" t="str">
            <v>2000 (A)_x000D_
2000-1-1_x000D_
2000-12-31</v>
          </cell>
          <cell r="L6" t="str">
            <v>2001 (A)_x000D_
2001-1-1_x000D_
2001-12-31</v>
          </cell>
          <cell r="M6" t="str">
            <v>2002 (A)_x000D_
2002-1-1_x000D_
2002-12-31</v>
          </cell>
          <cell r="N6" t="str">
            <v>2003 (A)_x000D_
2003-1-1_x000D_
2003-12-31</v>
          </cell>
          <cell r="P6" t="str">
            <v>2002 (A)_x000D_
2002-1-1_x000D_
2002-12-31</v>
          </cell>
          <cell r="Q6" t="str">
            <v>2003 (A)_x000D_
2003-1-1_x000D_
2003-12-31</v>
          </cell>
        </row>
        <row r="7">
          <cell r="A7" t="str">
            <v>Validation formulas</v>
          </cell>
          <cell r="GS7">
            <v>0</v>
          </cell>
          <cell r="GT7" t="str">
            <v>ms_eqr_gcim_String:ms_eqr_gcim_string</v>
          </cell>
          <cell r="GU7" t="b">
            <v>0</v>
          </cell>
          <cell r="GV7" t="b">
            <v>0</v>
          </cell>
        </row>
        <row r="18">
          <cell r="B18" t="str">
            <v>Balance sheet validation</v>
          </cell>
          <cell r="H18" t="b">
            <v>1</v>
          </cell>
          <cell r="I18" t="b">
            <v>1</v>
          </cell>
          <cell r="J18" t="b">
            <v>1</v>
          </cell>
          <cell r="K18" t="b">
            <v>1</v>
          </cell>
          <cell r="L18" t="b">
            <v>1</v>
          </cell>
          <cell r="M18" t="b">
            <v>1</v>
          </cell>
          <cell r="N18" t="b">
            <v>1</v>
          </cell>
          <cell r="P18" t="b">
            <v>1</v>
          </cell>
          <cell r="Q18" t="b">
            <v>1</v>
          </cell>
          <cell r="GS18">
            <v>0</v>
          </cell>
          <cell r="GT18" t="str">
            <v>ms_eqr_gcim_Boolean:ms_eqr_gcim_boolean</v>
          </cell>
          <cell r="GU18" t="b">
            <v>0</v>
          </cell>
          <cell r="GV18" t="b">
            <v>0</v>
          </cell>
        </row>
        <row r="29">
          <cell r="C29" t="str">
            <v>Assets</v>
          </cell>
          <cell r="H29">
            <v>2176.2139999999999</v>
          </cell>
          <cell r="I29">
            <v>2853.6529999999998</v>
          </cell>
          <cell r="J29">
            <v>5486.2380000000003</v>
          </cell>
          <cell r="K29">
            <v>5460.036000000001</v>
          </cell>
          <cell r="L29">
            <v>5330.0330000000004</v>
          </cell>
          <cell r="M29">
            <v>5348.8230000000003</v>
          </cell>
          <cell r="N29">
            <v>5561.2490000000007</v>
          </cell>
          <cell r="P29">
            <v>5348.8230000000003</v>
          </cell>
          <cell r="Q29">
            <v>5561.2490000000007</v>
          </cell>
          <cell r="GS29">
            <v>0</v>
          </cell>
          <cell r="GT29" t="str">
            <v>ISO4217:USD</v>
          </cell>
          <cell r="GU29" t="b">
            <v>0</v>
          </cell>
          <cell r="GV29" t="b">
            <v>0</v>
          </cell>
        </row>
        <row r="40">
          <cell r="C40" t="str">
            <v>Liabilities and equity</v>
          </cell>
          <cell r="H40">
            <v>2176.2139999999999</v>
          </cell>
          <cell r="I40">
            <v>2853.6530000000002</v>
          </cell>
          <cell r="J40">
            <v>5486.2379999999994</v>
          </cell>
          <cell r="K40">
            <v>5460.0360000000001</v>
          </cell>
          <cell r="L40">
            <v>5330.0329999999994</v>
          </cell>
          <cell r="M40">
            <v>5348.8230000000003</v>
          </cell>
          <cell r="N40">
            <v>5561.2489999999998</v>
          </cell>
          <cell r="P40">
            <v>5348.8230000000003</v>
          </cell>
          <cell r="Q40">
            <v>5561.2489999999998</v>
          </cell>
          <cell r="GS40">
            <v>0</v>
          </cell>
          <cell r="GT40" t="str">
            <v>ISO4217:USD</v>
          </cell>
          <cell r="GU40" t="b">
            <v>0</v>
          </cell>
          <cell r="GV40" t="b">
            <v>0</v>
          </cell>
        </row>
        <row r="51">
          <cell r="B51" t="str">
            <v>Changes in shareholders' equity validation</v>
          </cell>
          <cell r="H51" t="b">
            <v>1</v>
          </cell>
          <cell r="I51" t="b">
            <v>1</v>
          </cell>
          <cell r="J51" t="b">
            <v>1</v>
          </cell>
          <cell r="K51" t="b">
            <v>1</v>
          </cell>
          <cell r="L51" t="b">
            <v>1</v>
          </cell>
          <cell r="M51" t="b">
            <v>1</v>
          </cell>
          <cell r="N51" t="b">
            <v>1</v>
          </cell>
          <cell r="P51" t="b">
            <v>0</v>
          </cell>
          <cell r="Q51" t="b">
            <v>1</v>
          </cell>
          <cell r="GS51">
            <v>0</v>
          </cell>
          <cell r="GT51" t="str">
            <v>ms_eqr_gcim_Boolean:ms_eqr_gcim_boolean</v>
          </cell>
          <cell r="GU51" t="b">
            <v>0</v>
          </cell>
          <cell r="GV51" t="b">
            <v>0</v>
          </cell>
        </row>
        <row r="62">
          <cell r="C62" t="str">
            <v>Changes in shareholders' equity</v>
          </cell>
          <cell r="H62">
            <v>333.69900000000007</v>
          </cell>
          <cell r="I62">
            <v>193.76899999999992</v>
          </cell>
          <cell r="J62">
            <v>851.9670000000001</v>
          </cell>
          <cell r="K62">
            <v>45.41799999999995</v>
          </cell>
          <cell r="L62">
            <v>75.495000000000076</v>
          </cell>
          <cell r="M62">
            <v>-6.1789999999999061</v>
          </cell>
          <cell r="N62">
            <v>-49.049999999999919</v>
          </cell>
          <cell r="P62">
            <v>-1.2460000000000759</v>
          </cell>
          <cell r="Q62">
            <v>-49.049999999999919</v>
          </cell>
          <cell r="GS62">
            <v>0</v>
          </cell>
          <cell r="GT62" t="str">
            <v>ISO4217:USD</v>
          </cell>
          <cell r="GU62" t="b">
            <v>0</v>
          </cell>
          <cell r="GV62" t="b">
            <v>0</v>
          </cell>
        </row>
        <row r="73">
          <cell r="D73" t="str">
            <v>Net income (reported) less preferred dividends</v>
          </cell>
          <cell r="H73">
            <v>65.999000000000009</v>
          </cell>
          <cell r="I73">
            <v>90.870999999999967</v>
          </cell>
          <cell r="J73">
            <v>139.63599999999997</v>
          </cell>
          <cell r="K73">
            <v>212.95799999999994</v>
          </cell>
          <cell r="L73">
            <v>229.96700000000004</v>
          </cell>
          <cell r="M73">
            <v>153.96900000000008</v>
          </cell>
          <cell r="N73">
            <v>161.91100000000009</v>
          </cell>
          <cell r="P73">
            <v>161.27199999999993</v>
          </cell>
          <cell r="Q73">
            <v>161.91100000000009</v>
          </cell>
          <cell r="GS73">
            <v>0</v>
          </cell>
          <cell r="GT73" t="str">
            <v>ISO4217:USD</v>
          </cell>
          <cell r="GU73" t="b">
            <v>0</v>
          </cell>
          <cell r="GV73" t="b">
            <v>0</v>
          </cell>
        </row>
        <row r="74">
          <cell r="H74">
            <v>86.537000000000006</v>
          </cell>
          <cell r="I74">
            <v>123.15099999999997</v>
          </cell>
          <cell r="J74">
            <v>203.24099999999999</v>
          </cell>
          <cell r="K74">
            <v>253.45899999999995</v>
          </cell>
          <cell r="L74">
            <v>279.25300000000004</v>
          </cell>
          <cell r="M74">
            <v>220.44200000000006</v>
          </cell>
          <cell r="N74">
            <v>196.97500000000008</v>
          </cell>
          <cell r="P74">
            <v>232.68999999999991</v>
          </cell>
          <cell r="Q74">
            <v>196.97500000000008</v>
          </cell>
        </row>
        <row r="75">
          <cell r="H75">
            <v>-20.537999999999997</v>
          </cell>
          <cell r="I75">
            <v>-32.28</v>
          </cell>
          <cell r="J75">
            <v>-63.605000000000004</v>
          </cell>
          <cell r="K75">
            <v>-40.501000000000005</v>
          </cell>
          <cell r="L75">
            <v>-49.286000000000001</v>
          </cell>
          <cell r="M75">
            <v>-66.472999999999985</v>
          </cell>
          <cell r="N75">
            <v>-35.064</v>
          </cell>
          <cell r="P75">
            <v>-71.417999999999992</v>
          </cell>
          <cell r="Q75">
            <v>-35.064</v>
          </cell>
        </row>
        <row r="84">
          <cell r="D84" t="str">
            <v>Change in accumulated other comprehensive income (loss) or other reserves</v>
          </cell>
          <cell r="H84">
            <v>0</v>
          </cell>
          <cell r="I84">
            <v>-6.6619999999999999</v>
          </cell>
          <cell r="J84">
            <v>0</v>
          </cell>
          <cell r="K84">
            <v>0</v>
          </cell>
          <cell r="L84">
            <v>-0.19199999999999984</v>
          </cell>
          <cell r="M84">
            <v>-1.919</v>
          </cell>
          <cell r="N84">
            <v>2.1110000000000002</v>
          </cell>
          <cell r="P84">
            <v>-2.1109999999999998</v>
          </cell>
          <cell r="Q84">
            <v>2.1109999999999998</v>
          </cell>
          <cell r="GS84">
            <v>0</v>
          </cell>
          <cell r="GT84" t="str">
            <v>ISO4217:USD</v>
          </cell>
          <cell r="GU84" t="b">
            <v>0</v>
          </cell>
          <cell r="GV84" t="b">
            <v>0</v>
          </cell>
        </row>
        <row r="95">
          <cell r="D95" t="str">
            <v>Change in investment in own shares (asset)</v>
          </cell>
          <cell r="H95">
            <v>0</v>
          </cell>
          <cell r="I95">
            <v>0</v>
          </cell>
          <cell r="J95">
            <v>0</v>
          </cell>
          <cell r="K95">
            <v>0</v>
          </cell>
          <cell r="L95">
            <v>0</v>
          </cell>
          <cell r="M95">
            <v>0</v>
          </cell>
          <cell r="N95">
            <v>0</v>
          </cell>
          <cell r="P95">
            <v>0</v>
          </cell>
          <cell r="Q95">
            <v>0</v>
          </cell>
          <cell r="GS95">
            <v>0</v>
          </cell>
          <cell r="GT95" t="str">
            <v>ISO4217:USD</v>
          </cell>
          <cell r="GU95" t="b">
            <v>0</v>
          </cell>
          <cell r="GV95" t="b">
            <v>0</v>
          </cell>
        </row>
        <row r="106">
          <cell r="B106" t="str">
            <v>Cash flow validation</v>
          </cell>
          <cell r="H106" t="b">
            <v>1</v>
          </cell>
          <cell r="I106" t="b">
            <v>1</v>
          </cell>
          <cell r="J106" t="b">
            <v>1</v>
          </cell>
          <cell r="K106" t="b">
            <v>1</v>
          </cell>
          <cell r="L106" t="b">
            <v>1</v>
          </cell>
          <cell r="M106" t="b">
            <v>1</v>
          </cell>
          <cell r="N106" t="b">
            <v>1</v>
          </cell>
          <cell r="P106" t="b">
            <v>0</v>
          </cell>
          <cell r="Q106" t="b">
            <v>1</v>
          </cell>
          <cell r="GS106">
            <v>0</v>
          </cell>
          <cell r="GT106" t="str">
            <v>ms_eqr_gcim_Boolean:ms_eqr_gcim_boolean</v>
          </cell>
          <cell r="GU106" t="b">
            <v>0</v>
          </cell>
          <cell r="GV106" t="b">
            <v>0</v>
          </cell>
        </row>
        <row r="117">
          <cell r="C117" t="str">
            <v>Aggregate cash and cash equivalents for validation</v>
          </cell>
          <cell r="G117">
            <v>5.3339999999999996</v>
          </cell>
          <cell r="H117">
            <v>10.353</v>
          </cell>
          <cell r="I117">
            <v>6.95</v>
          </cell>
          <cell r="J117">
            <v>18.765000000000001</v>
          </cell>
          <cell r="K117">
            <v>39.191000000000003</v>
          </cell>
          <cell r="L117">
            <v>9.4830000000000005</v>
          </cell>
          <cell r="M117">
            <v>17.414000000000001</v>
          </cell>
          <cell r="N117">
            <v>12.632</v>
          </cell>
          <cell r="P117">
            <v>17.413999999999998</v>
          </cell>
          <cell r="Q117">
            <v>12.632</v>
          </cell>
          <cell r="GS117">
            <v>0</v>
          </cell>
          <cell r="GT117" t="str">
            <v>ISO4217:USD</v>
          </cell>
          <cell r="GU117" t="b">
            <v>0</v>
          </cell>
          <cell r="GV117" t="b">
            <v>0</v>
          </cell>
        </row>
        <row r="128">
          <cell r="C128" t="str">
            <v>Changes in cash and cash equivalents</v>
          </cell>
          <cell r="G128">
            <v>0</v>
          </cell>
          <cell r="H128">
            <v>5.0189999999998776</v>
          </cell>
          <cell r="I128">
            <v>-3.4030000000000697</v>
          </cell>
          <cell r="J128">
            <v>11.814999999999976</v>
          </cell>
          <cell r="K128">
            <v>20.426000000000087</v>
          </cell>
          <cell r="L128">
            <v>-29.707999999999966</v>
          </cell>
          <cell r="M128">
            <v>7.9310000000000258</v>
          </cell>
          <cell r="N128">
            <v>-4.7819999999999609</v>
          </cell>
          <cell r="P128">
            <v>7.9309999999999974</v>
          </cell>
          <cell r="Q128">
            <v>-4.7819999999999609</v>
          </cell>
          <cell r="GS128">
            <v>0</v>
          </cell>
          <cell r="GT128" t="str">
            <v>ISO4217:USD</v>
          </cell>
          <cell r="GU128" t="b">
            <v>0</v>
          </cell>
          <cell r="GV128" t="b">
            <v>0</v>
          </cell>
        </row>
        <row r="129">
          <cell r="H129">
            <v>-431.25900000000007</v>
          </cell>
          <cell r="I129">
            <v>-479.60699999999997</v>
          </cell>
          <cell r="J129">
            <v>-401.154</v>
          </cell>
          <cell r="K129">
            <v>202.47000000000006</v>
          </cell>
          <cell r="L129">
            <v>409.024</v>
          </cell>
          <cell r="M129">
            <v>74.426000000000002</v>
          </cell>
          <cell r="N129">
            <v>75.41400000000003</v>
          </cell>
          <cell r="P129">
            <v>73.584000000000017</v>
          </cell>
          <cell r="Q129">
            <v>75.41400000000003</v>
          </cell>
        </row>
        <row r="130">
          <cell r="H130">
            <v>481.50699999999995</v>
          </cell>
          <cell r="I130">
            <v>520.3309999999999</v>
          </cell>
          <cell r="J130">
            <v>472.77299999999997</v>
          </cell>
          <cell r="K130">
            <v>-248.49999999999997</v>
          </cell>
          <cell r="L130">
            <v>-444.87899999999996</v>
          </cell>
          <cell r="M130">
            <v>-197.417</v>
          </cell>
          <cell r="N130">
            <v>-28.516999999999996</v>
          </cell>
          <cell r="P130">
            <v>-196.57500000000002</v>
          </cell>
          <cell r="Q130">
            <v>-28.516999999999996</v>
          </cell>
        </row>
        <row r="131">
          <cell r="H131">
            <v>-45.228999999999999</v>
          </cell>
          <cell r="I131">
            <v>-44.127000000000002</v>
          </cell>
          <cell r="J131">
            <v>-59.803999999999995</v>
          </cell>
          <cell r="K131">
            <v>66.456000000000003</v>
          </cell>
          <cell r="L131">
            <v>6.146999999999994</v>
          </cell>
          <cell r="M131">
            <v>130.92200000000003</v>
          </cell>
          <cell r="N131">
            <v>-51.678999999999995</v>
          </cell>
          <cell r="P131">
            <v>130.922</v>
          </cell>
          <cell r="Q131">
            <v>-51.678999999999995</v>
          </cell>
        </row>
        <row r="139">
          <cell r="B139" t="str">
            <v>Tax rate validation (must be between 0% and 100%)</v>
          </cell>
          <cell r="H139">
            <v>0</v>
          </cell>
          <cell r="I139">
            <v>0</v>
          </cell>
          <cell r="J139">
            <v>0</v>
          </cell>
          <cell r="K139">
            <v>0</v>
          </cell>
          <cell r="L139">
            <v>0</v>
          </cell>
          <cell r="M139">
            <v>0</v>
          </cell>
          <cell r="N139">
            <v>0</v>
          </cell>
          <cell r="P139">
            <v>0</v>
          </cell>
          <cell r="Q139">
            <v>0</v>
          </cell>
          <cell r="GS139">
            <v>0</v>
          </cell>
          <cell r="GT139" t="str">
            <v>ms_eqr_gcim_Boolean:ms_eqr_gcim_boolean</v>
          </cell>
          <cell r="GU139" t="b">
            <v>0</v>
          </cell>
          <cell r="GV139" t="b">
            <v>0</v>
          </cell>
        </row>
        <row r="140">
          <cell r="A140" t="str">
            <v>Tagged metrics</v>
          </cell>
          <cell r="GS140">
            <v>0</v>
          </cell>
          <cell r="GT140" t="str">
            <v>ms_eqr_gcim_String:ms_eqr_gcim_string</v>
          </cell>
          <cell r="GU140" t="b">
            <v>0</v>
          </cell>
          <cell r="GV140" t="b">
            <v>0</v>
          </cell>
        </row>
        <row r="141">
          <cell r="B141" t="str">
            <v>Income statement</v>
          </cell>
          <cell r="GS141">
            <v>0</v>
          </cell>
          <cell r="GT141" t="str">
            <v>ms_eqr_gcim_String:ms_eqr_gcim_string</v>
          </cell>
          <cell r="GU141" t="b">
            <v>0</v>
          </cell>
          <cell r="GV141" t="b">
            <v>0</v>
          </cell>
        </row>
        <row r="142">
          <cell r="C142" t="str">
            <v>Net rental income</v>
          </cell>
          <cell r="G142">
            <v>0</v>
          </cell>
          <cell r="H142">
            <v>160.11000000000001</v>
          </cell>
          <cell r="I142">
            <v>244.09299999999996</v>
          </cell>
          <cell r="J142">
            <v>381.30100000000004</v>
          </cell>
          <cell r="K142">
            <v>508.267</v>
          </cell>
          <cell r="L142">
            <v>492.09399999999994</v>
          </cell>
          <cell r="M142">
            <v>475.04500000000007</v>
          </cell>
          <cell r="N142">
            <v>489.28199999999998</v>
          </cell>
          <cell r="P142">
            <v>485.245</v>
          </cell>
          <cell r="Q142">
            <v>489.28199999999998</v>
          </cell>
          <cell r="GR142" t="str">
            <v>mstag:netRentalIncome</v>
          </cell>
          <cell r="GS142">
            <v>6</v>
          </cell>
          <cell r="GT142" t="str">
            <v>ISO4217:USD</v>
          </cell>
          <cell r="GU142" t="b">
            <v>0</v>
          </cell>
          <cell r="GV142" t="b">
            <v>0</v>
          </cell>
        </row>
        <row r="143">
          <cell r="D143" t="str">
            <v>Gross rents</v>
          </cell>
          <cell r="H143">
            <v>220.97</v>
          </cell>
          <cell r="I143">
            <v>337.76799999999997</v>
          </cell>
          <cell r="J143">
            <v>523.95000000000005</v>
          </cell>
          <cell r="K143">
            <v>697.27</v>
          </cell>
          <cell r="L143">
            <v>683.34799999999996</v>
          </cell>
          <cell r="M143">
            <v>670.89200000000005</v>
          </cell>
          <cell r="N143">
            <v>715.30200000000002</v>
          </cell>
          <cell r="P143">
            <v>686.13099999999997</v>
          </cell>
          <cell r="Q143">
            <v>715.30200000000002</v>
          </cell>
          <cell r="GR143" t="str">
            <v>mstag:grossRents</v>
          </cell>
          <cell r="GS143">
            <v>6</v>
          </cell>
          <cell r="GT143" t="str">
            <v>ISO4217:USD</v>
          </cell>
          <cell r="GU143" t="b">
            <v>0</v>
          </cell>
          <cell r="GV143" t="b">
            <v>0</v>
          </cell>
        </row>
        <row r="144">
          <cell r="E144" t="str">
            <v>Base rent</v>
          </cell>
          <cell r="H144">
            <v>220.97</v>
          </cell>
          <cell r="I144">
            <v>337.76799999999997</v>
          </cell>
          <cell r="J144">
            <v>523.95000000000005</v>
          </cell>
          <cell r="K144">
            <v>697.27</v>
          </cell>
          <cell r="L144">
            <v>683.34799999999996</v>
          </cell>
          <cell r="M144">
            <v>670.89200000000005</v>
          </cell>
          <cell r="GR144" t="str">
            <v>mstag:baseRent</v>
          </cell>
          <cell r="GS144">
            <v>6</v>
          </cell>
          <cell r="GT144" t="str">
            <v>ISO4217:USD</v>
          </cell>
          <cell r="GU144" t="b">
            <v>0</v>
          </cell>
          <cell r="GV144" t="b">
            <v>0</v>
          </cell>
        </row>
        <row r="145">
          <cell r="E145" t="str">
            <v>Turnover-related and percentage rent</v>
          </cell>
          <cell r="GR145" t="str">
            <v>mstag:turnoverRelatedRent</v>
          </cell>
          <cell r="GS145">
            <v>6</v>
          </cell>
          <cell r="GT145" t="str">
            <v>ISO4217:USD</v>
          </cell>
          <cell r="GU145" t="b">
            <v>0</v>
          </cell>
          <cell r="GV145" t="b">
            <v>0</v>
          </cell>
        </row>
        <row r="146">
          <cell r="D146" t="str">
            <v>Ground rents</v>
          </cell>
          <cell r="GR146" t="str">
            <v>mstag:groundRents</v>
          </cell>
          <cell r="GS146">
            <v>6</v>
          </cell>
          <cell r="GT146" t="str">
            <v>ISO4217:USD</v>
          </cell>
          <cell r="GU146" t="b">
            <v>0</v>
          </cell>
          <cell r="GV146" t="b">
            <v>0</v>
          </cell>
        </row>
        <row r="147">
          <cell r="D147" t="str">
            <v>Net irrecoverable outgoings</v>
          </cell>
          <cell r="H147">
            <v>60.86</v>
          </cell>
          <cell r="I147">
            <v>93.674999999999997</v>
          </cell>
          <cell r="J147">
            <v>142.649</v>
          </cell>
          <cell r="K147">
            <v>189.00299999999999</v>
          </cell>
          <cell r="L147">
            <v>191.25400000000002</v>
          </cell>
          <cell r="M147">
            <v>195.84699999999998</v>
          </cell>
          <cell r="N147">
            <v>226.02</v>
          </cell>
          <cell r="P147">
            <v>200.886</v>
          </cell>
          <cell r="Q147">
            <v>226.02</v>
          </cell>
          <cell r="GR147" t="str">
            <v>mstag:netIrrecoverableOutgoings</v>
          </cell>
          <cell r="GS147">
            <v>6</v>
          </cell>
          <cell r="GT147" t="str">
            <v>ISO4217:USD</v>
          </cell>
          <cell r="GU147" t="b">
            <v>0</v>
          </cell>
          <cell r="GV147" t="b">
            <v>0</v>
          </cell>
        </row>
        <row r="148">
          <cell r="E148" t="str">
            <v>Property operating expenses</v>
          </cell>
          <cell r="H148">
            <v>40.375</v>
          </cell>
          <cell r="I148">
            <v>59.768999999999998</v>
          </cell>
          <cell r="J148">
            <v>88.403000000000006</v>
          </cell>
          <cell r="K148">
            <v>118.04</v>
          </cell>
          <cell r="L148">
            <v>120.839</v>
          </cell>
          <cell r="M148">
            <v>124.541</v>
          </cell>
          <cell r="N148">
            <v>145.84099999999998</v>
          </cell>
          <cell r="P148">
            <v>127.39099999999999</v>
          </cell>
          <cell r="Q148">
            <v>145.84099999999998</v>
          </cell>
          <cell r="GR148" t="str">
            <v>mstag:propertyOperatingExpenses</v>
          </cell>
          <cell r="GS148">
            <v>6</v>
          </cell>
          <cell r="GT148" t="str">
            <v>ISO4217:USD</v>
          </cell>
          <cell r="GU148" t="b">
            <v>0</v>
          </cell>
          <cell r="GV148" t="b">
            <v>0</v>
          </cell>
        </row>
        <row r="149">
          <cell r="E149" t="str">
            <v>Utility expenses</v>
          </cell>
          <cell r="GR149" t="str">
            <v>mstag:utilityExpenses</v>
          </cell>
          <cell r="GS149">
            <v>6</v>
          </cell>
          <cell r="GT149" t="str">
            <v>ISO4217:USD</v>
          </cell>
          <cell r="GU149" t="b">
            <v>0</v>
          </cell>
          <cell r="GV149" t="b">
            <v>0</v>
          </cell>
        </row>
        <row r="150">
          <cell r="E150" t="str">
            <v>Real estate tax expense</v>
          </cell>
          <cell r="H150">
            <v>20.484999999999999</v>
          </cell>
          <cell r="I150">
            <v>33.905999999999999</v>
          </cell>
          <cell r="J150">
            <v>54.246000000000002</v>
          </cell>
          <cell r="K150">
            <v>70.962999999999994</v>
          </cell>
          <cell r="L150">
            <v>70.415000000000006</v>
          </cell>
          <cell r="M150">
            <v>71.305999999999997</v>
          </cell>
          <cell r="N150">
            <v>80.179000000000002</v>
          </cell>
          <cell r="P150">
            <v>73.495000000000005</v>
          </cell>
          <cell r="Q150">
            <v>80.179000000000002</v>
          </cell>
          <cell r="GR150" t="str">
            <v>mstag:realEstateTaxExpense</v>
          </cell>
          <cell r="GS150">
            <v>6</v>
          </cell>
          <cell r="GT150" t="str">
            <v>ISO4217:USD</v>
          </cell>
          <cell r="GU150" t="b">
            <v>0</v>
          </cell>
          <cell r="GV150" t="b">
            <v>0</v>
          </cell>
        </row>
        <row r="151">
          <cell r="E151" t="str">
            <v>Tenant reimbursements and recoveries</v>
          </cell>
          <cell r="GR151" t="str">
            <v>mstag:tenantReimbursementsAndRecoveries</v>
          </cell>
          <cell r="GS151">
            <v>6</v>
          </cell>
          <cell r="GT151" t="str">
            <v>ISO4217:USD</v>
          </cell>
          <cell r="GU151" t="b">
            <v>0</v>
          </cell>
          <cell r="GV151" t="b">
            <v>0</v>
          </cell>
        </row>
        <row r="152">
          <cell r="C152" t="str">
            <v>Property income excluding rents</v>
          </cell>
          <cell r="H152">
            <v>0.93300000000000005</v>
          </cell>
          <cell r="I152">
            <v>1.1100000000000001</v>
          </cell>
          <cell r="J152">
            <v>1.1619999999999999</v>
          </cell>
          <cell r="K152">
            <v>40.357000000000006</v>
          </cell>
          <cell r="L152">
            <v>38.493000000000002</v>
          </cell>
          <cell r="M152">
            <v>24.850999999999999</v>
          </cell>
          <cell r="N152" t="str">
            <v/>
          </cell>
          <cell r="P152" t="str">
            <v/>
          </cell>
          <cell r="Q152" t="str">
            <v/>
          </cell>
          <cell r="GR152" t="str">
            <v>mstag:propertyIncomeExcludingRentsRecurring</v>
          </cell>
          <cell r="GS152">
            <v>6</v>
          </cell>
          <cell r="GT152" t="str">
            <v>ISO4217:USD</v>
          </cell>
          <cell r="GU152" t="b">
            <v>0</v>
          </cell>
          <cell r="GV152" t="b">
            <v>0</v>
          </cell>
        </row>
        <row r="153">
          <cell r="D153" t="str">
            <v>Service income</v>
          </cell>
          <cell r="K153">
            <v>38.898000000000003</v>
          </cell>
          <cell r="L153">
            <v>34.61</v>
          </cell>
          <cell r="M153">
            <v>21.88</v>
          </cell>
          <cell r="GR153" t="str">
            <v>mstag:serviceIncome</v>
          </cell>
          <cell r="GS153">
            <v>6</v>
          </cell>
          <cell r="GT153" t="str">
            <v>ISO4217:USD</v>
          </cell>
          <cell r="GU153" t="b">
            <v>0</v>
          </cell>
          <cell r="GV153" t="b">
            <v>0</v>
          </cell>
        </row>
        <row r="154">
          <cell r="D154" t="str">
            <v>Parking income</v>
          </cell>
          <cell r="GR154" t="str">
            <v>mstag:parkingIncome</v>
          </cell>
          <cell r="GS154">
            <v>6</v>
          </cell>
          <cell r="GT154" t="str">
            <v>ISO4217:USD</v>
          </cell>
          <cell r="GU154" t="b">
            <v>0</v>
          </cell>
          <cell r="GV154" t="b">
            <v>0</v>
          </cell>
        </row>
        <row r="155">
          <cell r="D155" t="str">
            <v>Other property-related income</v>
          </cell>
          <cell r="H155">
            <v>0.93300000000000005</v>
          </cell>
          <cell r="I155">
            <v>1.1100000000000001</v>
          </cell>
          <cell r="J155">
            <v>1.1619999999999999</v>
          </cell>
          <cell r="K155">
            <v>1.4590000000000001</v>
          </cell>
          <cell r="L155">
            <v>3.883</v>
          </cell>
          <cell r="M155">
            <v>2.9710000000000001</v>
          </cell>
          <cell r="GR155" t="str">
            <v>mstag:otherPropertyRelatedIncomeRecurring</v>
          </cell>
          <cell r="GS155">
            <v>6</v>
          </cell>
          <cell r="GT155" t="str">
            <v>ISO4217:USD</v>
          </cell>
          <cell r="GU155" t="b">
            <v>0</v>
          </cell>
          <cell r="GV155" t="b">
            <v>0</v>
          </cell>
        </row>
        <row r="156">
          <cell r="C156" t="str">
            <v>Profits from third-party property management</v>
          </cell>
          <cell r="H156">
            <v>12.798999999999999</v>
          </cell>
          <cell r="I156">
            <v>13.189</v>
          </cell>
          <cell r="J156">
            <v>21.940999999999999</v>
          </cell>
          <cell r="K156">
            <v>25.477</v>
          </cell>
          <cell r="L156">
            <v>22.824000000000002</v>
          </cell>
          <cell r="M156">
            <v>14.301</v>
          </cell>
          <cell r="N156">
            <v>14.731</v>
          </cell>
          <cell r="P156">
            <v>14.301</v>
          </cell>
          <cell r="Q156">
            <v>14.731</v>
          </cell>
          <cell r="GR156" t="str">
            <v>mstag:profitsFromThirdPartyPropertyManagement</v>
          </cell>
          <cell r="GS156">
            <v>6</v>
          </cell>
          <cell r="GT156" t="str">
            <v>ISO4217:USD</v>
          </cell>
          <cell r="GU156" t="b">
            <v>0</v>
          </cell>
          <cell r="GV156" t="b">
            <v>0</v>
          </cell>
        </row>
        <row r="157">
          <cell r="D157" t="str">
            <v>Third-party property management income</v>
          </cell>
          <cell r="H157">
            <v>12.798999999999999</v>
          </cell>
          <cell r="I157">
            <v>13.189</v>
          </cell>
          <cell r="J157">
            <v>21.940999999999999</v>
          </cell>
          <cell r="K157">
            <v>25.477</v>
          </cell>
          <cell r="L157">
            <v>22.824000000000002</v>
          </cell>
          <cell r="M157">
            <v>14.301</v>
          </cell>
          <cell r="GR157" t="str">
            <v>mstag:thirdPartyPropertyManagementIncome</v>
          </cell>
          <cell r="GS157">
            <v>6</v>
          </cell>
          <cell r="GT157" t="str">
            <v>ISO4217:USD</v>
          </cell>
          <cell r="GU157" t="b">
            <v>0</v>
          </cell>
          <cell r="GV157" t="b">
            <v>0</v>
          </cell>
        </row>
        <row r="158">
          <cell r="D158" t="str">
            <v>Third-party property management expense</v>
          </cell>
          <cell r="GR158" t="str">
            <v>mstag:thirdPartyPropertyManagementExpense</v>
          </cell>
          <cell r="GS158">
            <v>6</v>
          </cell>
          <cell r="GT158" t="str">
            <v>ISO4217:USD</v>
          </cell>
          <cell r="GU158" t="b">
            <v>0</v>
          </cell>
          <cell r="GV158" t="b">
            <v>0</v>
          </cell>
        </row>
        <row r="159">
          <cell r="C159" t="str">
            <v>Profits from sale of trading properties, recurring</v>
          </cell>
          <cell r="H159">
            <v>8.6460000000000008</v>
          </cell>
          <cell r="I159">
            <v>10.417</v>
          </cell>
          <cell r="J159">
            <v>30.928000000000001</v>
          </cell>
          <cell r="K159">
            <v>16.965</v>
          </cell>
          <cell r="L159">
            <v>19.141999999999999</v>
          </cell>
          <cell r="M159">
            <v>29.428000000000001</v>
          </cell>
          <cell r="N159">
            <v>15.485999999999999</v>
          </cell>
          <cell r="P159">
            <v>29.427999999999997</v>
          </cell>
          <cell r="Q159">
            <v>15.485999999999999</v>
          </cell>
          <cell r="GR159" t="str">
            <v>mstag:profitsFromSaleOfTradingProperties</v>
          </cell>
          <cell r="GS159">
            <v>6</v>
          </cell>
          <cell r="GT159" t="str">
            <v>ISO4217:USD</v>
          </cell>
          <cell r="GU159" t="b">
            <v>0</v>
          </cell>
          <cell r="GV159" t="b">
            <v>0</v>
          </cell>
        </row>
        <row r="160">
          <cell r="D160" t="str">
            <v>Income from sales of trading properties</v>
          </cell>
          <cell r="H160">
            <v>8.6460000000000008</v>
          </cell>
          <cell r="I160">
            <v>10.417</v>
          </cell>
          <cell r="J160">
            <v>30.928000000000001</v>
          </cell>
          <cell r="K160">
            <v>16.965</v>
          </cell>
          <cell r="L160">
            <v>19.141999999999999</v>
          </cell>
          <cell r="M160">
            <v>29.428000000000001</v>
          </cell>
          <cell r="GR160" t="str">
            <v>mstag:incomeFromSalesOfTradingProperties</v>
          </cell>
          <cell r="GS160">
            <v>6</v>
          </cell>
          <cell r="GT160" t="str">
            <v>ISO4217:USD</v>
          </cell>
          <cell r="GU160" t="b">
            <v>0</v>
          </cell>
          <cell r="GV160" t="b">
            <v>0</v>
          </cell>
        </row>
        <row r="161">
          <cell r="D161" t="str">
            <v>Cost of selling properties</v>
          </cell>
          <cell r="GR161" t="str">
            <v>mstag:costOfSellingProperties</v>
          </cell>
          <cell r="GS161">
            <v>6</v>
          </cell>
          <cell r="GT161" t="str">
            <v>ISO4217:USD</v>
          </cell>
          <cell r="GU161" t="b">
            <v>0</v>
          </cell>
          <cell r="GV161" t="b">
            <v>0</v>
          </cell>
        </row>
        <row r="162">
          <cell r="C162" t="str">
            <v>Profits from sale of trading properties, one time</v>
          </cell>
          <cell r="H162" t="str">
            <v/>
          </cell>
          <cell r="I162" t="str">
            <v/>
          </cell>
          <cell r="J162" t="str">
            <v/>
          </cell>
          <cell r="K162" t="str">
            <v/>
          </cell>
          <cell r="L162" t="str">
            <v/>
          </cell>
          <cell r="M162" t="str">
            <v/>
          </cell>
          <cell r="N162" t="str">
            <v/>
          </cell>
          <cell r="P162" t="str">
            <v/>
          </cell>
          <cell r="Q162" t="str">
            <v/>
          </cell>
          <cell r="GR162" t="str">
            <v>mstag:profitsFromSaleOfTradingPropertiesOneTime</v>
          </cell>
          <cell r="GS162">
            <v>6</v>
          </cell>
          <cell r="GT162" t="str">
            <v>ISO4217:USD</v>
          </cell>
          <cell r="GU162" t="b">
            <v>0</v>
          </cell>
          <cell r="GV162" t="b">
            <v>0</v>
          </cell>
        </row>
        <row r="163">
          <cell r="D163" t="str">
            <v>Profits from sale of trading properties, one time, gross of tax</v>
          </cell>
          <cell r="GR163" t="str">
            <v>mstag:profitsFromSaleOfTradingPropertiesOneTimeGrossOfTax</v>
          </cell>
          <cell r="GS163">
            <v>6</v>
          </cell>
          <cell r="GT163" t="str">
            <v>ISO4217:USD</v>
          </cell>
          <cell r="GU163" t="b">
            <v>0</v>
          </cell>
          <cell r="GV163" t="b">
            <v>0</v>
          </cell>
        </row>
        <row r="164">
          <cell r="D164" t="str">
            <v>Tax on profits from sale of trading properties, one time</v>
          </cell>
          <cell r="GR164" t="str">
            <v>mstag:taxOnProfitsFromSaleOfTradingPropertiesOneTime</v>
          </cell>
          <cell r="GS164">
            <v>6</v>
          </cell>
          <cell r="GT164" t="str">
            <v>ISO4217:USD</v>
          </cell>
          <cell r="GU164" t="b">
            <v>0</v>
          </cell>
          <cell r="GV164" t="b">
            <v>0</v>
          </cell>
        </row>
        <row r="165">
          <cell r="C165" t="str">
            <v>Gain (loss) on land sales, recurring</v>
          </cell>
          <cell r="I165">
            <v>0</v>
          </cell>
          <cell r="J165">
            <v>1.7769999999999999</v>
          </cell>
          <cell r="K165">
            <v>9.1649999999999991</v>
          </cell>
          <cell r="L165">
            <v>5.08</v>
          </cell>
          <cell r="M165">
            <v>4.4779999999999998</v>
          </cell>
          <cell r="N165">
            <v>7.1349999999999998</v>
          </cell>
          <cell r="P165">
            <v>4.4779999999999998</v>
          </cell>
          <cell r="Q165">
            <v>7.1349999999999998</v>
          </cell>
          <cell r="GR165" t="str">
            <v>mstag:gainLossOnLandSales</v>
          </cell>
          <cell r="GS165">
            <v>6</v>
          </cell>
          <cell r="GT165" t="str">
            <v>ISO4217:USD</v>
          </cell>
          <cell r="GU165" t="b">
            <v>0</v>
          </cell>
          <cell r="GV165" t="b">
            <v>0</v>
          </cell>
        </row>
        <row r="166">
          <cell r="C166" t="str">
            <v>Gain (loss) on land sales, one time</v>
          </cell>
          <cell r="H166" t="str">
            <v/>
          </cell>
          <cell r="I166" t="str">
            <v/>
          </cell>
          <cell r="J166" t="str">
            <v/>
          </cell>
          <cell r="K166" t="str">
            <v/>
          </cell>
          <cell r="L166" t="str">
            <v/>
          </cell>
          <cell r="M166" t="str">
            <v/>
          </cell>
          <cell r="N166" t="str">
            <v/>
          </cell>
          <cell r="P166" t="str">
            <v/>
          </cell>
          <cell r="Q166" t="str">
            <v/>
          </cell>
          <cell r="GR166" t="str">
            <v>mstag:gainLossOnLandSalesOneTime</v>
          </cell>
          <cell r="GS166">
            <v>6</v>
          </cell>
          <cell r="GT166" t="str">
            <v>ISO4217:USD</v>
          </cell>
          <cell r="GU166" t="b">
            <v>0</v>
          </cell>
          <cell r="GV166" t="b">
            <v>0</v>
          </cell>
        </row>
        <row r="167">
          <cell r="D167" t="str">
            <v>Gain (loss) on land sales, one time, gross of tax</v>
          </cell>
          <cell r="GR167" t="str">
            <v>mstag:gainLossOnLandSalesOneTimeGrossOfTax</v>
          </cell>
          <cell r="GS167">
            <v>6</v>
          </cell>
          <cell r="GT167" t="str">
            <v>ISO4217:USD</v>
          </cell>
          <cell r="GU167" t="b">
            <v>0</v>
          </cell>
          <cell r="GV167" t="b">
            <v>0</v>
          </cell>
        </row>
        <row r="168">
          <cell r="D168" t="str">
            <v>Tax on gain (loss) on land sales, one time</v>
          </cell>
          <cell r="GR168" t="str">
            <v>mstag:taxOnGainLossOnLandSalesOneTime</v>
          </cell>
          <cell r="GS168">
            <v>6</v>
          </cell>
          <cell r="GT168" t="str">
            <v>ISO4217:USD</v>
          </cell>
          <cell r="GU168" t="b">
            <v>0</v>
          </cell>
          <cell r="GV168" t="b">
            <v>0</v>
          </cell>
        </row>
        <row r="169">
          <cell r="C169" t="str">
            <v>Nonproperty income, recurring</v>
          </cell>
          <cell r="H169" t="str">
            <v/>
          </cell>
          <cell r="I169" t="str">
            <v/>
          </cell>
          <cell r="J169" t="str">
            <v/>
          </cell>
          <cell r="K169" t="str">
            <v/>
          </cell>
          <cell r="L169" t="str">
            <v/>
          </cell>
          <cell r="M169" t="str">
            <v/>
          </cell>
          <cell r="N169">
            <v>-8.395999999999999</v>
          </cell>
          <cell r="P169">
            <v>-13.449</v>
          </cell>
          <cell r="Q169">
            <v>-8.395999999999999</v>
          </cell>
          <cell r="GR169" t="str">
            <v>mstag:otherNonPropertyIncomeRecurring</v>
          </cell>
          <cell r="GS169">
            <v>6</v>
          </cell>
          <cell r="GT169" t="str">
            <v>ISO4217:USD</v>
          </cell>
          <cell r="GU169" t="b">
            <v>0</v>
          </cell>
          <cell r="GV169" t="b">
            <v>0</v>
          </cell>
        </row>
        <row r="170">
          <cell r="D170" t="str">
            <v>Revenue from nonproperty activities</v>
          </cell>
          <cell r="N170">
            <v>289.16899999999998</v>
          </cell>
          <cell r="P170">
            <v>197.42</v>
          </cell>
          <cell r="Q170">
            <v>289.16899999999998</v>
          </cell>
          <cell r="GR170" t="str">
            <v>mstag:revenueFromNonPropertyActivities</v>
          </cell>
          <cell r="GS170">
            <v>6</v>
          </cell>
          <cell r="GT170" t="str">
            <v>ISO4217:USD</v>
          </cell>
          <cell r="GU170" t="b">
            <v>0</v>
          </cell>
          <cell r="GV170" t="b">
            <v>0</v>
          </cell>
        </row>
        <row r="171">
          <cell r="D171" t="str">
            <v>Expenses from nonproperty activities</v>
          </cell>
          <cell r="N171">
            <v>297.565</v>
          </cell>
          <cell r="P171">
            <v>210.869</v>
          </cell>
          <cell r="Q171">
            <v>297.565</v>
          </cell>
          <cell r="GR171" t="str">
            <v>mstag:expensesFromNonPropertyActivities</v>
          </cell>
          <cell r="GS171">
            <v>6</v>
          </cell>
          <cell r="GT171" t="str">
            <v>ISO4217:USD</v>
          </cell>
          <cell r="GU171" t="b">
            <v>0</v>
          </cell>
          <cell r="GV171" t="b">
            <v>0</v>
          </cell>
        </row>
        <row r="172">
          <cell r="C172" t="str">
            <v>Nonproperty income, one time</v>
          </cell>
          <cell r="H172" t="str">
            <v/>
          </cell>
          <cell r="I172" t="str">
            <v/>
          </cell>
          <cell r="J172" t="str">
            <v/>
          </cell>
          <cell r="K172" t="str">
            <v/>
          </cell>
          <cell r="L172" t="str">
            <v/>
          </cell>
          <cell r="M172" t="str">
            <v/>
          </cell>
          <cell r="N172" t="str">
            <v/>
          </cell>
          <cell r="P172" t="str">
            <v/>
          </cell>
          <cell r="Q172" t="str">
            <v/>
          </cell>
          <cell r="GR172" t="str">
            <v>mstag:nonPropertyIncomeOneTime</v>
          </cell>
          <cell r="GS172">
            <v>6</v>
          </cell>
          <cell r="GT172" t="str">
            <v>ISO4217:USD</v>
          </cell>
          <cell r="GU172" t="b">
            <v>0</v>
          </cell>
          <cell r="GV172" t="b">
            <v>0</v>
          </cell>
        </row>
        <row r="173">
          <cell r="D173" t="str">
            <v>Revenue from nonproperty activities, one time</v>
          </cell>
          <cell r="GR173" t="str">
            <v>mstag:revenueFromNonPropertyActivitiesOneTime</v>
          </cell>
          <cell r="GS173">
            <v>6</v>
          </cell>
          <cell r="GT173" t="str">
            <v>ISO4217:USD</v>
          </cell>
          <cell r="GU173" t="b">
            <v>0</v>
          </cell>
          <cell r="GV173" t="b">
            <v>0</v>
          </cell>
        </row>
        <row r="174">
          <cell r="D174" t="str">
            <v>Expenses from nonproperty activities, one time</v>
          </cell>
          <cell r="GR174" t="str">
            <v>mstag:expensesFromNonPropertyActivitiesOneTime</v>
          </cell>
          <cell r="GS174">
            <v>6</v>
          </cell>
          <cell r="GT174" t="str">
            <v>ISO4217:USD</v>
          </cell>
          <cell r="GU174" t="b">
            <v>0</v>
          </cell>
          <cell r="GV174" t="b">
            <v>0</v>
          </cell>
        </row>
        <row r="175">
          <cell r="D175" t="str">
            <v>Tax on nonproperty activities, one time</v>
          </cell>
          <cell r="GR175" t="str">
            <v>mstag:taxOnNonPropertyActivitiesOneTime</v>
          </cell>
          <cell r="GS175">
            <v>6</v>
          </cell>
          <cell r="GT175" t="str">
            <v>ISO4217:USD</v>
          </cell>
          <cell r="GU175" t="b">
            <v>0</v>
          </cell>
          <cell r="GV175" t="b">
            <v>0</v>
          </cell>
        </row>
        <row r="176">
          <cell r="C176" t="str">
            <v>Development fees</v>
          </cell>
          <cell r="GR176" t="str">
            <v>mstag:developmentFees</v>
          </cell>
          <cell r="GS176">
            <v>6</v>
          </cell>
          <cell r="GT176" t="str">
            <v>ISO4217:USD</v>
          </cell>
          <cell r="GU176" t="b">
            <v>0</v>
          </cell>
          <cell r="GV176" t="b">
            <v>0</v>
          </cell>
        </row>
        <row r="177">
          <cell r="C177" t="str">
            <v>Fund, fee and promotion income, net of expenses</v>
          </cell>
          <cell r="GR177" t="str">
            <v>mstag:fundFeeAndPromotionIncomeNetOfExpenses</v>
          </cell>
          <cell r="GS177">
            <v>6</v>
          </cell>
          <cell r="GT177" t="str">
            <v>ISO4217:USD</v>
          </cell>
          <cell r="GU177" t="b">
            <v>0</v>
          </cell>
          <cell r="GV177" t="b">
            <v>0</v>
          </cell>
        </row>
        <row r="178">
          <cell r="C178" t="str">
            <v>Profits from sale of investment properties, recurring</v>
          </cell>
          <cell r="GR178" t="str">
            <v>mstag:profitsOnSaleOfInvestmentProperties</v>
          </cell>
          <cell r="GS178">
            <v>6</v>
          </cell>
          <cell r="GT178" t="str">
            <v>ISO4217:USD</v>
          </cell>
          <cell r="GU178" t="b">
            <v>0</v>
          </cell>
          <cell r="GV178" t="b">
            <v>0</v>
          </cell>
        </row>
        <row r="179">
          <cell r="C179" t="str">
            <v>Profits from sale of investment properties, one time</v>
          </cell>
          <cell r="H179" t="str">
            <v/>
          </cell>
          <cell r="I179" t="str">
            <v/>
          </cell>
          <cell r="J179" t="str">
            <v/>
          </cell>
          <cell r="K179" t="str">
            <v/>
          </cell>
          <cell r="L179" t="str">
            <v/>
          </cell>
          <cell r="M179" t="str">
            <v/>
          </cell>
          <cell r="N179" t="str">
            <v/>
          </cell>
          <cell r="P179" t="str">
            <v/>
          </cell>
          <cell r="Q179" t="str">
            <v/>
          </cell>
          <cell r="GR179" t="str">
            <v>mstag:profitsFromSaleOfInvestmentPropertiesOneTime</v>
          </cell>
          <cell r="GS179">
            <v>6</v>
          </cell>
          <cell r="GT179" t="str">
            <v>ISO4217:USD</v>
          </cell>
          <cell r="GU179" t="b">
            <v>0</v>
          </cell>
          <cell r="GV179" t="b">
            <v>0</v>
          </cell>
        </row>
        <row r="180">
          <cell r="D180" t="str">
            <v>Profits from sale of investment properties, one time, gross of tax</v>
          </cell>
          <cell r="GR180" t="str">
            <v>mstag:profitsFromSaleOfInvestmentPropertiesOneTimeGrossOfTax</v>
          </cell>
          <cell r="GS180">
            <v>6</v>
          </cell>
          <cell r="GT180" t="str">
            <v>ISO4217:USD</v>
          </cell>
          <cell r="GU180" t="b">
            <v>0</v>
          </cell>
          <cell r="GV180" t="b">
            <v>0</v>
          </cell>
        </row>
        <row r="181">
          <cell r="D181" t="str">
            <v>Tax on profits from sale of investment properties, one time</v>
          </cell>
          <cell r="GR181" t="str">
            <v>mstag:taxOnProfitsFromSaleOfInvestmentPropertiesOneTime</v>
          </cell>
          <cell r="GS181">
            <v>6</v>
          </cell>
          <cell r="GT181" t="str">
            <v>ISO4217:USD</v>
          </cell>
          <cell r="GU181" t="b">
            <v>0</v>
          </cell>
          <cell r="GV181" t="b">
            <v>0</v>
          </cell>
        </row>
        <row r="182">
          <cell r="C182" t="str">
            <v>Revaluation surpluses, recurring</v>
          </cell>
          <cell r="GR182" t="str">
            <v>mstag:revaluationSurpluses</v>
          </cell>
          <cell r="GS182">
            <v>6</v>
          </cell>
          <cell r="GT182" t="str">
            <v>ISO4217:USD</v>
          </cell>
          <cell r="GU182" t="b">
            <v>0</v>
          </cell>
          <cell r="GV182" t="b">
            <v>0</v>
          </cell>
        </row>
        <row r="183">
          <cell r="C183" t="str">
            <v>Revaluation surpluses, one time</v>
          </cell>
          <cell r="GR183" t="str">
            <v>mstag:revaluationSurplusesOneTime</v>
          </cell>
          <cell r="GS183">
            <v>6</v>
          </cell>
          <cell r="GT183" t="str">
            <v>ISO4217:USD</v>
          </cell>
          <cell r="GU183" t="b">
            <v>0</v>
          </cell>
          <cell r="GV183" t="b">
            <v>0</v>
          </cell>
        </row>
        <row r="184">
          <cell r="D184" t="str">
            <v>Revaluation surpluses, one time, gross of tax</v>
          </cell>
          <cell r="GR184" t="str">
            <v>mstag:revaluationSurplusesOneTimeGrossOfTax</v>
          </cell>
          <cell r="GS184">
            <v>6</v>
          </cell>
          <cell r="GT184" t="str">
            <v>ISO4217:USD</v>
          </cell>
          <cell r="GU184" t="b">
            <v>0</v>
          </cell>
          <cell r="GV184" t="b">
            <v>0</v>
          </cell>
        </row>
        <row r="185">
          <cell r="D185" t="str">
            <v>Tax on revaluation surpluses, one time</v>
          </cell>
          <cell r="GR185" t="str">
            <v>mstag:taxOnRevaluationSurplusesOneTime</v>
          </cell>
          <cell r="GS185">
            <v>6</v>
          </cell>
          <cell r="GT185" t="str">
            <v>ISO4217:USD</v>
          </cell>
          <cell r="GU185" t="b">
            <v>0</v>
          </cell>
          <cell r="GV185" t="b">
            <v>0</v>
          </cell>
        </row>
        <row r="186">
          <cell r="C186" t="str">
            <v>Cost of services sold</v>
          </cell>
          <cell r="GR186" t="str">
            <v>mstag:costOfServicesSold</v>
          </cell>
          <cell r="GS186">
            <v>6</v>
          </cell>
          <cell r="GT186" t="str">
            <v>ISO4217:USD</v>
          </cell>
          <cell r="GU186" t="b">
            <v>0</v>
          </cell>
          <cell r="GV186" t="b">
            <v>0</v>
          </cell>
        </row>
        <row r="187">
          <cell r="C187" t="str">
            <v>Stock compensation</v>
          </cell>
          <cell r="GR187" t="str">
            <v>mstag:stockCompensation</v>
          </cell>
          <cell r="GS187">
            <v>6</v>
          </cell>
          <cell r="GT187" t="str">
            <v>ISO4217:USD</v>
          </cell>
          <cell r="GU187" t="b">
            <v>0</v>
          </cell>
          <cell r="GV187" t="b">
            <v>0</v>
          </cell>
        </row>
        <row r="188">
          <cell r="C188" t="str">
            <v>Employee expenses</v>
          </cell>
          <cell r="H188">
            <v>10.760999999999999</v>
          </cell>
          <cell r="I188">
            <v>12.5</v>
          </cell>
          <cell r="J188">
            <v>17.2</v>
          </cell>
          <cell r="GR188" t="str">
            <v>mstag:employeeExpenses</v>
          </cell>
          <cell r="GS188">
            <v>6</v>
          </cell>
          <cell r="GT188" t="str">
            <v>ISO4217:USD</v>
          </cell>
          <cell r="GU188" t="b">
            <v>0</v>
          </cell>
          <cell r="GV188" t="b">
            <v>0</v>
          </cell>
        </row>
        <row r="189">
          <cell r="C189" t="str">
            <v>Marketing costs</v>
          </cell>
          <cell r="GR189" t="str">
            <v>mstag:marketingCosts</v>
          </cell>
          <cell r="GS189">
            <v>6</v>
          </cell>
          <cell r="GT189" t="str">
            <v>ISO4217:USD</v>
          </cell>
          <cell r="GU189" t="b">
            <v>0</v>
          </cell>
          <cell r="GV189" t="b">
            <v>0</v>
          </cell>
        </row>
        <row r="190">
          <cell r="C190" t="str">
            <v>Depreciation, in income statement</v>
          </cell>
          <cell r="H190">
            <v>44.805999999999997</v>
          </cell>
          <cell r="I190">
            <v>68.766000000000005</v>
          </cell>
          <cell r="J190">
            <v>108.68300000000001</v>
          </cell>
          <cell r="K190">
            <v>162.523</v>
          </cell>
          <cell r="L190">
            <v>157.50200000000001</v>
          </cell>
          <cell r="M190">
            <v>170.93799999999999</v>
          </cell>
          <cell r="N190">
            <v>195.73399999999998</v>
          </cell>
          <cell r="P190">
            <v>175.16799999999998</v>
          </cell>
          <cell r="Q190">
            <v>195.73399999999998</v>
          </cell>
          <cell r="GR190" t="str">
            <v>mstag:depreciationInIncomeStatement</v>
          </cell>
          <cell r="GS190">
            <v>6</v>
          </cell>
          <cell r="GT190" t="str">
            <v>ISO4217:USD</v>
          </cell>
          <cell r="GU190" t="b">
            <v>0</v>
          </cell>
          <cell r="GV190" t="b">
            <v>0</v>
          </cell>
        </row>
        <row r="191">
          <cell r="D191" t="str">
            <v>Depreciation, real estate</v>
          </cell>
          <cell r="H191">
            <v>44.805999999999997</v>
          </cell>
          <cell r="I191">
            <v>68.766000000000005</v>
          </cell>
          <cell r="J191">
            <v>108.68300000000001</v>
          </cell>
          <cell r="K191">
            <v>162.523</v>
          </cell>
          <cell r="L191">
            <v>157.50200000000001</v>
          </cell>
          <cell r="M191">
            <v>170.93799999999999</v>
          </cell>
          <cell r="N191">
            <v>196.23399999999998</v>
          </cell>
          <cell r="P191">
            <v>175.62099999999998</v>
          </cell>
          <cell r="Q191">
            <v>196.23399999999998</v>
          </cell>
          <cell r="GR191" t="str">
            <v>mstag:depreciationRealEstate</v>
          </cell>
          <cell r="GS191">
            <v>6</v>
          </cell>
          <cell r="GT191" t="str">
            <v>ISO4217:USD</v>
          </cell>
          <cell r="GU191" t="b">
            <v>0</v>
          </cell>
          <cell r="GV191" t="b">
            <v>0</v>
          </cell>
        </row>
        <row r="192">
          <cell r="D192" t="str">
            <v>Depreciation, nonreal estate</v>
          </cell>
          <cell r="GR192" t="str">
            <v>mstag:depreciationNonRealEstate</v>
          </cell>
          <cell r="GS192">
            <v>6</v>
          </cell>
          <cell r="GT192" t="str">
            <v>ISO4217:USD</v>
          </cell>
          <cell r="GU192" t="b">
            <v>0</v>
          </cell>
          <cell r="GV192" t="b">
            <v>0</v>
          </cell>
        </row>
        <row r="193">
          <cell r="C193" t="str">
            <v>Amortization of goodwill, in income statement</v>
          </cell>
          <cell r="H193" t="str">
            <v/>
          </cell>
          <cell r="I193" t="str">
            <v/>
          </cell>
          <cell r="J193" t="str">
            <v/>
          </cell>
          <cell r="K193" t="str">
            <v/>
          </cell>
          <cell r="L193" t="str">
            <v/>
          </cell>
          <cell r="M193" t="str">
            <v/>
          </cell>
          <cell r="N193" t="str">
            <v/>
          </cell>
          <cell r="P193" t="str">
            <v/>
          </cell>
          <cell r="Q193" t="str">
            <v/>
          </cell>
          <cell r="GR193" t="str">
            <v>mstag:amortizationOfGoodwillInIncomeStatement</v>
          </cell>
          <cell r="GS193">
            <v>6</v>
          </cell>
          <cell r="GT193" t="str">
            <v>ISO4217:USD</v>
          </cell>
          <cell r="GU193" t="b">
            <v>0</v>
          </cell>
          <cell r="GV193" t="b">
            <v>0</v>
          </cell>
        </row>
        <row r="194">
          <cell r="D194" t="str">
            <v>Amortization of goodwill, operating, in income statement</v>
          </cell>
          <cell r="GR194" t="str">
            <v>mstag:amortizationOfGoodwillOperatingInIncomeStatement</v>
          </cell>
          <cell r="GS194">
            <v>6</v>
          </cell>
          <cell r="GT194" t="str">
            <v>ISO4217:USD</v>
          </cell>
          <cell r="GU194" t="b">
            <v>0</v>
          </cell>
          <cell r="GV194" t="b">
            <v>0</v>
          </cell>
        </row>
        <row r="195">
          <cell r="D195" t="str">
            <v>Amortization of goodwill, nonoperating, in income statement</v>
          </cell>
          <cell r="GR195" t="str">
            <v>mstag:amortizationOfGoodwillNonOperatingInIncomeStatement</v>
          </cell>
          <cell r="GS195">
            <v>6</v>
          </cell>
          <cell r="GT195" t="str">
            <v>ISO4217:USD</v>
          </cell>
          <cell r="GU195" t="b">
            <v>0</v>
          </cell>
          <cell r="GV195" t="b">
            <v>0</v>
          </cell>
        </row>
        <row r="196">
          <cell r="C196" t="str">
            <v>Amortization of intangibles assumed to have indefinite life, in income statement</v>
          </cell>
          <cell r="GR196" t="str">
            <v>mstag:amortizationOfIntangiblesAssumedToHaveIndefiniteLifeIncomeStatement</v>
          </cell>
          <cell r="GS196">
            <v>6</v>
          </cell>
          <cell r="GT196" t="str">
            <v>ISO4217:USD</v>
          </cell>
          <cell r="GU196" t="b">
            <v>0</v>
          </cell>
          <cell r="GV196" t="b">
            <v>0</v>
          </cell>
        </row>
        <row r="197">
          <cell r="C197" t="str">
            <v>Amortization of other intangibles, in income statement</v>
          </cell>
          <cell r="H197" t="str">
            <v/>
          </cell>
          <cell r="I197" t="str">
            <v/>
          </cell>
          <cell r="J197" t="str">
            <v/>
          </cell>
          <cell r="K197" t="str">
            <v/>
          </cell>
          <cell r="L197" t="str">
            <v/>
          </cell>
          <cell r="M197" t="str">
            <v/>
          </cell>
          <cell r="N197" t="str">
            <v/>
          </cell>
          <cell r="P197" t="str">
            <v/>
          </cell>
          <cell r="Q197" t="str">
            <v/>
          </cell>
          <cell r="GR197" t="str">
            <v>mstag:amortizationOfOtherIntangiblesInIncomeStatement</v>
          </cell>
          <cell r="GS197">
            <v>6</v>
          </cell>
          <cell r="GT197" t="str">
            <v>ISO4217:USD</v>
          </cell>
          <cell r="GU197" t="b">
            <v>0</v>
          </cell>
          <cell r="GV197" t="b">
            <v>0</v>
          </cell>
        </row>
        <row r="198">
          <cell r="D198" t="str">
            <v>Amortization of taxable other intangibles, in income statement</v>
          </cell>
          <cell r="GR198" t="str">
            <v>mstag:amortizationOfTaxableOtherIntangiblesInIncomeStatement</v>
          </cell>
          <cell r="GS198">
            <v>6</v>
          </cell>
          <cell r="GT198" t="str">
            <v>ISO4217:USD</v>
          </cell>
          <cell r="GU198" t="b">
            <v>0</v>
          </cell>
          <cell r="GV198" t="b">
            <v>0</v>
          </cell>
        </row>
        <row r="199">
          <cell r="D199" t="str">
            <v>Amortization of nontaxable other intangibles, in income statement</v>
          </cell>
          <cell r="GR199" t="str">
            <v>mstag:amortizationOfNonTaxableOtherIntangiblesInIncomeStatement</v>
          </cell>
          <cell r="GS199">
            <v>6</v>
          </cell>
          <cell r="GT199" t="str">
            <v>ISO4217:USD</v>
          </cell>
          <cell r="GU199" t="b">
            <v>0</v>
          </cell>
          <cell r="GV199" t="b">
            <v>0</v>
          </cell>
        </row>
        <row r="200">
          <cell r="C200" t="str">
            <v>Goodwill impairment</v>
          </cell>
          <cell r="GR200" t="str">
            <v>mstag:goodwillImpairment</v>
          </cell>
          <cell r="GS200">
            <v>6</v>
          </cell>
          <cell r="GT200" t="str">
            <v>ISO4217:USD</v>
          </cell>
          <cell r="GU200" t="b">
            <v>0</v>
          </cell>
          <cell r="GV200" t="b">
            <v>0</v>
          </cell>
        </row>
        <row r="201">
          <cell r="C201" t="str">
            <v>Indefinite life intangible impairment</v>
          </cell>
          <cell r="GR201" t="str">
            <v>mstag:indefiniteLifeIntangibleImpairment</v>
          </cell>
          <cell r="GS201">
            <v>6</v>
          </cell>
          <cell r="GT201" t="str">
            <v>ISO4217:USD</v>
          </cell>
          <cell r="GU201" t="b">
            <v>0</v>
          </cell>
          <cell r="GV201" t="b">
            <v>0</v>
          </cell>
        </row>
        <row r="202">
          <cell r="C202" t="str">
            <v>Asset impairment, nongoodwill, one time</v>
          </cell>
          <cell r="H202" t="str">
            <v/>
          </cell>
          <cell r="I202" t="str">
            <v/>
          </cell>
          <cell r="J202" t="str">
            <v/>
          </cell>
          <cell r="K202">
            <v>0.54</v>
          </cell>
          <cell r="L202">
            <v>4.8</v>
          </cell>
          <cell r="M202">
            <v>9.3789999999999996</v>
          </cell>
          <cell r="N202" t="str">
            <v/>
          </cell>
          <cell r="P202" t="str">
            <v/>
          </cell>
          <cell r="Q202" t="str">
            <v/>
          </cell>
          <cell r="GR202" t="str">
            <v>mstag:assetImpairmentNonGoodwillOneTimeIncomeStatement</v>
          </cell>
          <cell r="GS202">
            <v>6</v>
          </cell>
          <cell r="GT202" t="str">
            <v>ISO4217:USD</v>
          </cell>
          <cell r="GU202" t="b">
            <v>0</v>
          </cell>
          <cell r="GV202" t="b">
            <v>0</v>
          </cell>
        </row>
        <row r="203">
          <cell r="D203" t="str">
            <v>Asset impairment, nongoodwill, one time, gross of tax</v>
          </cell>
          <cell r="K203">
            <v>0.54</v>
          </cell>
          <cell r="L203">
            <v>4.8</v>
          </cell>
          <cell r="M203">
            <v>9.3789999999999996</v>
          </cell>
          <cell r="GR203" t="str">
            <v>mstag:assetImpairmentNonGoodwillOneTimeGrossOfTax</v>
          </cell>
          <cell r="GS203">
            <v>6</v>
          </cell>
          <cell r="GT203" t="str">
            <v>ISO4217:USD</v>
          </cell>
          <cell r="GU203" t="b">
            <v>0</v>
          </cell>
          <cell r="GV203" t="b">
            <v>0</v>
          </cell>
        </row>
        <row r="204">
          <cell r="D204" t="str">
            <v>Tax on asset impairment, nongoodwill, one time</v>
          </cell>
          <cell r="K204">
            <v>0</v>
          </cell>
          <cell r="L204">
            <v>0</v>
          </cell>
          <cell r="M204">
            <v>0</v>
          </cell>
          <cell r="GR204" t="str">
            <v>mstag:taxOnAssetImpairmentNonGoodwillOneTime</v>
          </cell>
          <cell r="GS204">
            <v>6</v>
          </cell>
          <cell r="GT204" t="str">
            <v>ISO4217:USD</v>
          </cell>
          <cell r="GU204" t="b">
            <v>0</v>
          </cell>
          <cell r="GV204" t="b">
            <v>0</v>
          </cell>
        </row>
        <row r="205">
          <cell r="C205" t="str">
            <v>General and administrative expenses</v>
          </cell>
          <cell r="H205">
            <v>6.53</v>
          </cell>
          <cell r="I205">
            <v>11.573</v>
          </cell>
          <cell r="J205">
            <v>16.556000000000001</v>
          </cell>
          <cell r="K205">
            <v>21.143999999999998</v>
          </cell>
          <cell r="L205">
            <v>15.553000000000001</v>
          </cell>
          <cell r="M205">
            <v>25.321999999999999</v>
          </cell>
          <cell r="N205">
            <v>22.16</v>
          </cell>
          <cell r="P205">
            <v>25.352999999999998</v>
          </cell>
          <cell r="Q205">
            <v>22.16</v>
          </cell>
          <cell r="GR205" t="str">
            <v>mstag:generalAndAdministrativeExpensesByNature</v>
          </cell>
          <cell r="GS205">
            <v>6</v>
          </cell>
          <cell r="GT205" t="str">
            <v>ISO4217:USD</v>
          </cell>
          <cell r="GU205" t="b">
            <v>0</v>
          </cell>
          <cell r="GV205" t="b">
            <v>0</v>
          </cell>
        </row>
        <row r="206">
          <cell r="C206" t="str">
            <v>Other operating expense (income)</v>
          </cell>
          <cell r="H206">
            <v>4.4640000000000004</v>
          </cell>
          <cell r="I206">
            <v>5.0210000000000008</v>
          </cell>
          <cell r="J206">
            <v>18.959</v>
          </cell>
          <cell r="K206">
            <v>50.039000000000001</v>
          </cell>
          <cell r="L206">
            <v>45.344000000000001</v>
          </cell>
          <cell r="M206">
            <v>38.31</v>
          </cell>
          <cell r="N206" t="str">
            <v/>
          </cell>
          <cell r="P206" t="str">
            <v/>
          </cell>
          <cell r="Q206" t="str">
            <v/>
          </cell>
          <cell r="GR206" t="str">
            <v>mstag:otherOperatingExpense</v>
          </cell>
          <cell r="GS206">
            <v>6</v>
          </cell>
          <cell r="GT206" t="str">
            <v>ISO4217:USD</v>
          </cell>
          <cell r="GU206" t="b">
            <v>0</v>
          </cell>
          <cell r="GV206" t="b">
            <v>0</v>
          </cell>
        </row>
        <row r="207">
          <cell r="D207" t="str">
            <v>Other operating income</v>
          </cell>
          <cell r="GR207" t="str">
            <v>mstag:otherOperatingIncome</v>
          </cell>
          <cell r="GS207">
            <v>6</v>
          </cell>
          <cell r="GT207" t="str">
            <v>ISO4217:USD</v>
          </cell>
          <cell r="GU207" t="b">
            <v>0</v>
          </cell>
          <cell r="GV207" t="b">
            <v>0</v>
          </cell>
        </row>
        <row r="208">
          <cell r="D208" t="str">
            <v>Other operating expense</v>
          </cell>
          <cell r="H208">
            <v>4.4640000000000004</v>
          </cell>
          <cell r="I208">
            <v>5.0210000000000008</v>
          </cell>
          <cell r="J208">
            <v>18.959</v>
          </cell>
          <cell r="K208">
            <v>50.039000000000001</v>
          </cell>
          <cell r="L208">
            <v>45.344000000000001</v>
          </cell>
          <cell r="M208">
            <v>38.31</v>
          </cell>
          <cell r="GR208" t="str">
            <v>mstag:otherOperatingExpenseChild</v>
          </cell>
          <cell r="GS208">
            <v>6</v>
          </cell>
          <cell r="GT208" t="str">
            <v>ISO4217:USD</v>
          </cell>
          <cell r="GU208" t="b">
            <v>0</v>
          </cell>
          <cell r="GV208" t="b">
            <v>0</v>
          </cell>
        </row>
        <row r="209">
          <cell r="C209" t="str">
            <v>Interest and dividend income</v>
          </cell>
          <cell r="H209">
            <v>2.1739999999999999</v>
          </cell>
          <cell r="I209">
            <v>1.5620000000000001</v>
          </cell>
          <cell r="J209">
            <v>2.6739999999999999</v>
          </cell>
          <cell r="K209">
            <v>6.8659999999999997</v>
          </cell>
          <cell r="L209">
            <v>5.3079999999999998</v>
          </cell>
          <cell r="M209">
            <v>3.7829999999999999</v>
          </cell>
          <cell r="N209">
            <v>3.6069999999999998</v>
          </cell>
          <cell r="P209">
            <v>3.8539999999999996</v>
          </cell>
          <cell r="Q209">
            <v>3.6069999999999998</v>
          </cell>
          <cell r="GR209" t="str">
            <v>mstag:interestAndDividendIncome</v>
          </cell>
          <cell r="GS209">
            <v>6</v>
          </cell>
          <cell r="GT209" t="str">
            <v>ISO4217:USD</v>
          </cell>
          <cell r="GU209" t="b">
            <v>0</v>
          </cell>
          <cell r="GV209" t="b">
            <v>0</v>
          </cell>
        </row>
        <row r="210">
          <cell r="D210" t="str">
            <v>Interest income</v>
          </cell>
          <cell r="H210">
            <v>2.1739999999999999</v>
          </cell>
          <cell r="I210">
            <v>1.5620000000000001</v>
          </cell>
          <cell r="J210">
            <v>2.6739999999999999</v>
          </cell>
          <cell r="K210">
            <v>6.8659999999999997</v>
          </cell>
          <cell r="L210">
            <v>5.3079999999999998</v>
          </cell>
          <cell r="M210">
            <v>3.7829999999999999</v>
          </cell>
          <cell r="GR210" t="str">
            <v>mstag:interestIncome</v>
          </cell>
          <cell r="GS210">
            <v>6</v>
          </cell>
          <cell r="GT210" t="str">
            <v>ISO4217:USD</v>
          </cell>
          <cell r="GU210" t="b">
            <v>0</v>
          </cell>
          <cell r="GV210" t="b">
            <v>0</v>
          </cell>
        </row>
        <row r="211">
          <cell r="D211" t="str">
            <v>Dividend income</v>
          </cell>
          <cell r="GR211" t="str">
            <v>mstag:dividendIncome</v>
          </cell>
          <cell r="GS211">
            <v>6</v>
          </cell>
          <cell r="GT211" t="str">
            <v>ISO4217:USD</v>
          </cell>
          <cell r="GU211" t="b">
            <v>0</v>
          </cell>
          <cell r="GV211" t="b">
            <v>0</v>
          </cell>
        </row>
        <row r="212">
          <cell r="C212" t="str">
            <v>Interest expense</v>
          </cell>
          <cell r="H212">
            <v>40.295999999999999</v>
          </cell>
          <cell r="I212">
            <v>60.216999999999999</v>
          </cell>
          <cell r="J212">
            <v>86.757000000000005</v>
          </cell>
          <cell r="K212">
            <v>133.94800000000001</v>
          </cell>
          <cell r="L212">
            <v>111.88</v>
          </cell>
          <cell r="M212">
            <v>114.67500000000001</v>
          </cell>
          <cell r="N212">
            <v>130.66399999999999</v>
          </cell>
          <cell r="P212">
            <v>117.82599999999999</v>
          </cell>
          <cell r="Q212">
            <v>130.66399999999999</v>
          </cell>
          <cell r="GR212" t="str">
            <v>mstag:interestExpense</v>
          </cell>
          <cell r="GS212">
            <v>6</v>
          </cell>
          <cell r="GT212" t="str">
            <v>ISO4217:USD</v>
          </cell>
          <cell r="GU212" t="b">
            <v>0</v>
          </cell>
          <cell r="GV212" t="b">
            <v>0</v>
          </cell>
        </row>
        <row r="213">
          <cell r="D213" t="str">
            <v>Interest paid or payable</v>
          </cell>
          <cell r="H213">
            <v>46.295999999999999</v>
          </cell>
          <cell r="I213">
            <v>68.716999999999999</v>
          </cell>
          <cell r="J213">
            <v>112.75700000000001</v>
          </cell>
          <cell r="K213">
            <v>166.94800000000001</v>
          </cell>
          <cell r="L213">
            <v>137.78</v>
          </cell>
          <cell r="M213">
            <v>128.17500000000001</v>
          </cell>
          <cell r="GR213" t="str">
            <v>mstag:interestPaid</v>
          </cell>
          <cell r="GS213">
            <v>6</v>
          </cell>
          <cell r="GT213" t="str">
            <v>ISO4217:USD</v>
          </cell>
          <cell r="GU213" t="b">
            <v>0</v>
          </cell>
          <cell r="GV213" t="b">
            <v>0</v>
          </cell>
        </row>
        <row r="214">
          <cell r="D214" t="str">
            <v>Interest capitalized</v>
          </cell>
          <cell r="H214">
            <v>6</v>
          </cell>
          <cell r="I214">
            <v>8.5</v>
          </cell>
          <cell r="J214">
            <v>26</v>
          </cell>
          <cell r="K214">
            <v>33</v>
          </cell>
          <cell r="L214">
            <v>25.9</v>
          </cell>
          <cell r="M214">
            <v>13.5</v>
          </cell>
          <cell r="GR214" t="str">
            <v>mstag:interestCapitalized</v>
          </cell>
          <cell r="GS214">
            <v>6</v>
          </cell>
          <cell r="GT214" t="str">
            <v>ISO4217:USD</v>
          </cell>
          <cell r="GU214" t="b">
            <v>0</v>
          </cell>
          <cell r="GV214" t="b">
            <v>0</v>
          </cell>
        </row>
        <row r="215">
          <cell r="D215" t="str">
            <v>Net interest cost, FRS 17</v>
          </cell>
          <cell r="GR215" t="str">
            <v>mstag:netInterestCostFrs17</v>
          </cell>
          <cell r="GS215">
            <v>6</v>
          </cell>
          <cell r="GT215" t="str">
            <v>ISO4217:USD</v>
          </cell>
          <cell r="GU215" t="b">
            <v>0</v>
          </cell>
          <cell r="GV215" t="b">
            <v>0</v>
          </cell>
        </row>
        <row r="216">
          <cell r="C216" t="str">
            <v>Income (losses) from investments, nonoperating</v>
          </cell>
          <cell r="GR216" t="str">
            <v>mstag:incomeLossesFromInvestmentsNonOperating</v>
          </cell>
          <cell r="GS216">
            <v>6</v>
          </cell>
          <cell r="GT216" t="str">
            <v>ISO4217:USD</v>
          </cell>
          <cell r="GU216" t="b">
            <v>0</v>
          </cell>
          <cell r="GV216" t="b">
            <v>0</v>
          </cell>
        </row>
        <row r="217">
          <cell r="C217" t="str">
            <v>Income (loss) from investments under the equity method, operating</v>
          </cell>
          <cell r="H217">
            <v>8.7319999999999993</v>
          </cell>
          <cell r="I217">
            <v>10.856999999999999</v>
          </cell>
          <cell r="J217">
            <v>11.613</v>
          </cell>
          <cell r="K217">
            <v>14.555999999999997</v>
          </cell>
          <cell r="L217">
            <v>31.390999999999998</v>
          </cell>
          <cell r="M217">
            <v>27.18</v>
          </cell>
          <cell r="N217">
            <v>23.687999999999999</v>
          </cell>
          <cell r="P217">
            <v>27.18</v>
          </cell>
          <cell r="Q217">
            <v>23.687999999999999</v>
          </cell>
          <cell r="GR217" t="str">
            <v>mstag:incomeLossFromInvestmentsAccountedForUnderTheEquityMethodOperatingIncomeStatement</v>
          </cell>
          <cell r="GS217">
            <v>6</v>
          </cell>
          <cell r="GT217" t="str">
            <v>ISO4217:USD</v>
          </cell>
          <cell r="GU217" t="b">
            <v>0</v>
          </cell>
          <cell r="GV217" t="b">
            <v>0</v>
          </cell>
        </row>
        <row r="218">
          <cell r="D218" t="str">
            <v>Share of net rental income from associate companies or joint ventures</v>
          </cell>
          <cell r="H218">
            <v>11.748999999999999</v>
          </cell>
          <cell r="I218">
            <v>15.158999999999999</v>
          </cell>
          <cell r="J218">
            <v>16.881</v>
          </cell>
          <cell r="K218">
            <v>23.659999999999997</v>
          </cell>
          <cell r="L218">
            <v>45.567999999999998</v>
          </cell>
          <cell r="M218">
            <v>44.777999999999999</v>
          </cell>
          <cell r="N218" t="str">
            <v/>
          </cell>
          <cell r="P218" t="str">
            <v/>
          </cell>
          <cell r="Q218" t="str">
            <v/>
          </cell>
          <cell r="GR218" t="str">
            <v>mstag:netRentalIncomeFromJointVentures</v>
          </cell>
          <cell r="GS218">
            <v>6</v>
          </cell>
          <cell r="GT218" t="str">
            <v>ISO4217:USD</v>
          </cell>
          <cell r="GU218" t="b">
            <v>0</v>
          </cell>
          <cell r="GV218" t="b">
            <v>0</v>
          </cell>
        </row>
        <row r="219">
          <cell r="E219" t="str">
            <v>Share of associate company or joint venture revenue</v>
          </cell>
          <cell r="H219">
            <v>11.748999999999999</v>
          </cell>
          <cell r="I219">
            <v>15.158999999999999</v>
          </cell>
          <cell r="J219">
            <v>16.881</v>
          </cell>
          <cell r="K219">
            <v>23.659999999999997</v>
          </cell>
          <cell r="L219">
            <v>45.567999999999998</v>
          </cell>
          <cell r="M219">
            <v>44.777999999999999</v>
          </cell>
          <cell r="GR219" t="str">
            <v>mstag:jointVentureRevenues</v>
          </cell>
          <cell r="GS219">
            <v>6</v>
          </cell>
          <cell r="GT219" t="str">
            <v>ISO4217:USD</v>
          </cell>
          <cell r="GU219" t="b">
            <v>0</v>
          </cell>
          <cell r="GV219" t="b">
            <v>0</v>
          </cell>
        </row>
        <row r="220">
          <cell r="E220" t="str">
            <v>Share of associate company or joint venture expenses</v>
          </cell>
          <cell r="GR220" t="str">
            <v>mstag:jointVentureExpenses</v>
          </cell>
          <cell r="GS220">
            <v>6</v>
          </cell>
          <cell r="GT220" t="str">
            <v>ISO4217:USD</v>
          </cell>
          <cell r="GU220" t="b">
            <v>0</v>
          </cell>
          <cell r="GV220" t="b">
            <v>0</v>
          </cell>
        </row>
        <row r="221">
          <cell r="D221" t="str">
            <v>Share of associate company's or joint venture's real-estate depreciation</v>
          </cell>
          <cell r="H221">
            <v>3.0169999999999999</v>
          </cell>
          <cell r="I221">
            <v>4.3019999999999996</v>
          </cell>
          <cell r="J221">
            <v>5.2679999999999998</v>
          </cell>
          <cell r="K221">
            <v>9.1039999999999992</v>
          </cell>
          <cell r="L221">
            <v>14.177</v>
          </cell>
          <cell r="M221">
            <v>17.597999999999999</v>
          </cell>
          <cell r="N221">
            <v>18.838999999999999</v>
          </cell>
          <cell r="P221">
            <v>17.657</v>
          </cell>
          <cell r="Q221">
            <v>18.838999999999999</v>
          </cell>
          <cell r="GR221" t="str">
            <v>mstag:jointVentureRealEstateDepreciation</v>
          </cell>
          <cell r="GS221">
            <v>6</v>
          </cell>
          <cell r="GT221" t="str">
            <v>ISO4217:USD</v>
          </cell>
          <cell r="GU221" t="b">
            <v>0</v>
          </cell>
          <cell r="GV221" t="b">
            <v>0</v>
          </cell>
        </row>
        <row r="222">
          <cell r="D222" t="str">
            <v>Share of associate company's or joint venture's nonreal-estate depreciation</v>
          </cell>
          <cell r="GR222" t="str">
            <v>mstag:jointVentureNonRealEstateDepreciation</v>
          </cell>
          <cell r="GS222">
            <v>6</v>
          </cell>
          <cell r="GT222" t="str">
            <v>ISO4217:USD</v>
          </cell>
          <cell r="GU222" t="b">
            <v>0</v>
          </cell>
          <cell r="GV222" t="b">
            <v>0</v>
          </cell>
        </row>
        <row r="223">
          <cell r="D223" t="str">
            <v>Share of associate company's or joint venture's amortization of goodwill</v>
          </cell>
          <cell r="GR223" t="str">
            <v>mstag:shareOfAssociateAmortizationOfGoodwill</v>
          </cell>
          <cell r="GS223">
            <v>6</v>
          </cell>
          <cell r="GT223" t="str">
            <v>ISO4217:USD</v>
          </cell>
          <cell r="GU223" t="b">
            <v>0</v>
          </cell>
          <cell r="GV223" t="b">
            <v>0</v>
          </cell>
        </row>
        <row r="224">
          <cell r="D224" t="str">
            <v>Share of associate company's or joint venture's interest expense</v>
          </cell>
          <cell r="GR224" t="str">
            <v>mstag:jointVentureInterestExpense</v>
          </cell>
          <cell r="GS224">
            <v>6</v>
          </cell>
          <cell r="GT224" t="str">
            <v>ISO4217:USD</v>
          </cell>
          <cell r="GU224" t="b">
            <v>0</v>
          </cell>
          <cell r="GV224" t="b">
            <v>0</v>
          </cell>
        </row>
        <row r="225">
          <cell r="D225" t="str">
            <v>Other associate company or joint venture net income</v>
          </cell>
          <cell r="GR225" t="str">
            <v>mstag:otherJointVenureNetIncome</v>
          </cell>
          <cell r="GS225">
            <v>6</v>
          </cell>
          <cell r="GT225" t="str">
            <v>ISO4217:USD</v>
          </cell>
          <cell r="GU225" t="b">
            <v>0</v>
          </cell>
          <cell r="GV225" t="b">
            <v>0</v>
          </cell>
        </row>
        <row r="226">
          <cell r="C226" t="str">
            <v>Income (loss) from investments under the equity method, operating, pretax</v>
          </cell>
          <cell r="GR226" t="str">
            <v>mstag:incomeLossFromInvestmentsUnderTheEquityMethodOperatingPreTax</v>
          </cell>
          <cell r="GS226">
            <v>6</v>
          </cell>
          <cell r="GT226" t="str">
            <v>ISO4217:USD</v>
          </cell>
          <cell r="GU226" t="b">
            <v>0</v>
          </cell>
          <cell r="GV226" t="b">
            <v>0</v>
          </cell>
        </row>
        <row r="227">
          <cell r="C227" t="str">
            <v>Income (loss) from investments under the equity method, nonoperating</v>
          </cell>
          <cell r="GR227" t="str">
            <v>mstag:incomeLossFromInvestmentsAccountedForUnderTheEquityMethodNonOperatingIncomeStatement</v>
          </cell>
          <cell r="GS227">
            <v>6</v>
          </cell>
          <cell r="GT227" t="str">
            <v>ISO4217:USD</v>
          </cell>
          <cell r="GU227" t="b">
            <v>0</v>
          </cell>
          <cell r="GV227" t="b">
            <v>0</v>
          </cell>
        </row>
        <row r="228">
          <cell r="C228" t="str">
            <v>Income (loss) from investments under the equity method, nonoperating, pretax</v>
          </cell>
          <cell r="GR228" t="str">
            <v>mstag:incomeLossFromInvestmentsUnderTheEquityMethodNonOperatingPreTax</v>
          </cell>
          <cell r="GS228">
            <v>6</v>
          </cell>
          <cell r="GT228" t="str">
            <v>ISO4217:USD</v>
          </cell>
          <cell r="GU228" t="b">
            <v>0</v>
          </cell>
          <cell r="GV228" t="b">
            <v>0</v>
          </cell>
        </row>
        <row r="229">
          <cell r="C229" t="str">
            <v>Cumulative NOI from acquisitions, developments, and dispositions</v>
          </cell>
          <cell r="GR229" t="str">
            <v>mstag:cumulativeNoiFromAcquisitionsDevelopmentsAndDispositions</v>
          </cell>
          <cell r="GS229">
            <v>6</v>
          </cell>
          <cell r="GT229" t="str">
            <v>ISO4217:USD</v>
          </cell>
          <cell r="GU229" t="b">
            <v>0</v>
          </cell>
          <cell r="GV229" t="b">
            <v>0</v>
          </cell>
        </row>
        <row r="230">
          <cell r="C230" t="str">
            <v>Gains (losses) from sale of PPE and intangibles, recurring</v>
          </cell>
          <cell r="GR230" t="str">
            <v>mstag:gainsLossesFromSaleOfOperatingAssetsRecurringIncomeStatement</v>
          </cell>
          <cell r="GS230">
            <v>6</v>
          </cell>
          <cell r="GT230" t="str">
            <v>ISO4217:USD</v>
          </cell>
          <cell r="GU230" t="b">
            <v>0</v>
          </cell>
          <cell r="GV230" t="b">
            <v>0</v>
          </cell>
        </row>
        <row r="231">
          <cell r="C231" t="str">
            <v>Gains (losses) from sale of PPE and intangibles, one time</v>
          </cell>
          <cell r="H231">
            <v>1.7749999999999999</v>
          </cell>
          <cell r="I231">
            <v>1.351</v>
          </cell>
          <cell r="J231">
            <v>6.1550000000000002</v>
          </cell>
          <cell r="K231">
            <v>52.067</v>
          </cell>
          <cell r="L231">
            <v>45.427999999999997</v>
          </cell>
          <cell r="M231">
            <v>7.2409999999999997</v>
          </cell>
          <cell r="N231">
            <v>18.14</v>
          </cell>
          <cell r="P231">
            <v>-2.4409999999999998</v>
          </cell>
          <cell r="Q231">
            <v>18.14</v>
          </cell>
          <cell r="GR231" t="str">
            <v>mstag:gainsLossesFromSaleOfOperatingAssetsOneTimeIncomeStatement</v>
          </cell>
          <cell r="GS231">
            <v>6</v>
          </cell>
          <cell r="GT231" t="str">
            <v>ISO4217:USD</v>
          </cell>
          <cell r="GU231" t="b">
            <v>0</v>
          </cell>
          <cell r="GV231" t="b">
            <v>0</v>
          </cell>
        </row>
        <row r="232">
          <cell r="D232" t="str">
            <v>Gains (losses) from sale of PPE and intangibles, one time, gross of tax</v>
          </cell>
          <cell r="H232">
            <v>1.7749999999999999</v>
          </cell>
          <cell r="I232">
            <v>1.351</v>
          </cell>
          <cell r="J232">
            <v>6.1550000000000002</v>
          </cell>
          <cell r="K232">
            <v>52.067</v>
          </cell>
          <cell r="L232">
            <v>45.427999999999997</v>
          </cell>
          <cell r="M232">
            <v>7.2409999999999997</v>
          </cell>
          <cell r="GR232" t="str">
            <v>mstag:gainsLossesFromSaleOfOperatingAssetsOneTimeGrossOfTax</v>
          </cell>
          <cell r="GS232">
            <v>6</v>
          </cell>
          <cell r="GT232" t="str">
            <v>ISO4217:USD</v>
          </cell>
          <cell r="GU232" t="b">
            <v>0</v>
          </cell>
          <cell r="GV232" t="b">
            <v>0</v>
          </cell>
        </row>
        <row r="233">
          <cell r="D233" t="str">
            <v>Tax on gains (losses) from sale of PPE and intangibles, one time</v>
          </cell>
          <cell r="H233">
            <v>0</v>
          </cell>
          <cell r="I233">
            <v>0</v>
          </cell>
          <cell r="J233">
            <v>0</v>
          </cell>
          <cell r="K233">
            <v>0</v>
          </cell>
          <cell r="L233">
            <v>0</v>
          </cell>
          <cell r="M233">
            <v>0</v>
          </cell>
          <cell r="GR233" t="str">
            <v>mstag:taxOnGainsLossesFromSaleOfOperatingAssetsOneTime</v>
          </cell>
          <cell r="GS233">
            <v>6</v>
          </cell>
          <cell r="GT233" t="str">
            <v>ISO4217:USD</v>
          </cell>
          <cell r="GU233" t="b">
            <v>0</v>
          </cell>
          <cell r="GV233" t="b">
            <v>0</v>
          </cell>
        </row>
        <row r="234">
          <cell r="C234" t="str">
            <v>Net monetary gains (losses) from inflationary accounting</v>
          </cell>
          <cell r="GR234" t="str">
            <v>mstag:netMonetaryGainsLossesFromInflationaryAccounting</v>
          </cell>
          <cell r="GS234">
            <v>6</v>
          </cell>
          <cell r="GT234" t="str">
            <v>ISO4217:USD</v>
          </cell>
          <cell r="GU234" t="b">
            <v>0</v>
          </cell>
          <cell r="GV234" t="b">
            <v>0</v>
          </cell>
        </row>
        <row r="235">
          <cell r="C235" t="str">
            <v>Gain (loss) on redemption and extinguishment of debt</v>
          </cell>
          <cell r="GR235" t="str">
            <v>mstag:gainLossOnRedemptionAndExtinguishmentOfDebt</v>
          </cell>
          <cell r="GS235">
            <v>6</v>
          </cell>
          <cell r="GT235" t="str">
            <v>ISO4217:USD</v>
          </cell>
          <cell r="GU235" t="b">
            <v>0</v>
          </cell>
          <cell r="GV235" t="b">
            <v>0</v>
          </cell>
        </row>
        <row r="236">
          <cell r="C236" t="str">
            <v>Foreign currency exchange gains (losses)</v>
          </cell>
          <cell r="H236" t="str">
            <v/>
          </cell>
          <cell r="I236" t="str">
            <v/>
          </cell>
          <cell r="J236" t="str">
            <v/>
          </cell>
          <cell r="K236" t="str">
            <v/>
          </cell>
          <cell r="L236" t="str">
            <v/>
          </cell>
          <cell r="M236" t="str">
            <v/>
          </cell>
          <cell r="N236" t="str">
            <v/>
          </cell>
          <cell r="P236" t="str">
            <v/>
          </cell>
          <cell r="Q236" t="str">
            <v/>
          </cell>
          <cell r="GR236" t="str">
            <v>mstag:foreignCurrencyExchangeGainsLosses</v>
          </cell>
          <cell r="GS236">
            <v>6</v>
          </cell>
          <cell r="GT236" t="str">
            <v>ISO4217:USD</v>
          </cell>
          <cell r="GU236" t="b">
            <v>0</v>
          </cell>
          <cell r="GV236" t="b">
            <v>0</v>
          </cell>
        </row>
        <row r="237">
          <cell r="D237" t="str">
            <v>Foreign currency exchange gains (losses), operating</v>
          </cell>
          <cell r="H237" t="str">
            <v/>
          </cell>
          <cell r="I237" t="str">
            <v/>
          </cell>
          <cell r="J237" t="str">
            <v/>
          </cell>
          <cell r="K237" t="str">
            <v/>
          </cell>
          <cell r="L237" t="str">
            <v/>
          </cell>
          <cell r="M237" t="str">
            <v/>
          </cell>
          <cell r="N237" t="str">
            <v/>
          </cell>
          <cell r="P237" t="str">
            <v/>
          </cell>
          <cell r="Q237" t="str">
            <v/>
          </cell>
          <cell r="GR237" t="str">
            <v>mstag:foreignCurrencyExchangeGainsLossesOperating</v>
          </cell>
          <cell r="GS237">
            <v>6</v>
          </cell>
          <cell r="GT237" t="str">
            <v>ISO4217:USD</v>
          </cell>
          <cell r="GU237" t="b">
            <v>0</v>
          </cell>
          <cell r="GV237" t="b">
            <v>0</v>
          </cell>
        </row>
        <row r="238">
          <cell r="E238" t="str">
            <v>Realized foreign currency exchange gains (losses) in net operating assets</v>
          </cell>
          <cell r="GR238" t="str">
            <v>mstag:realizedForeignCurrencyExchangeGainsLossesInNetOperatingAssets</v>
          </cell>
          <cell r="GS238">
            <v>6</v>
          </cell>
          <cell r="GT238" t="str">
            <v>ISO4217:USD</v>
          </cell>
          <cell r="GU238" t="b">
            <v>0</v>
          </cell>
          <cell r="GV238" t="b">
            <v>0</v>
          </cell>
        </row>
        <row r="239">
          <cell r="E239" t="str">
            <v>Unrealized foreign currency exchange gains (losses) in net operating assets</v>
          </cell>
          <cell r="GR239" t="str">
            <v>mstag:unrealizedForeignCurrencyExchangeGainsLossesInNetOperatingAssets</v>
          </cell>
          <cell r="GS239">
            <v>6</v>
          </cell>
          <cell r="GT239" t="str">
            <v>ISO4217:USD</v>
          </cell>
          <cell r="GU239" t="b">
            <v>0</v>
          </cell>
          <cell r="GV239" t="b">
            <v>0</v>
          </cell>
        </row>
        <row r="240">
          <cell r="D240" t="str">
            <v>Foreign currency exchange gains (losses), financing</v>
          </cell>
          <cell r="H240" t="str">
            <v/>
          </cell>
          <cell r="I240" t="str">
            <v/>
          </cell>
          <cell r="J240" t="str">
            <v/>
          </cell>
          <cell r="K240" t="str">
            <v/>
          </cell>
          <cell r="L240" t="str">
            <v/>
          </cell>
          <cell r="M240" t="str">
            <v/>
          </cell>
          <cell r="N240" t="str">
            <v/>
          </cell>
          <cell r="P240" t="str">
            <v/>
          </cell>
          <cell r="Q240" t="str">
            <v/>
          </cell>
          <cell r="GR240" t="str">
            <v>mstag:foreignCurrencyExchangeGainsLossesFinancing</v>
          </cell>
          <cell r="GS240">
            <v>6</v>
          </cell>
          <cell r="GT240" t="str">
            <v>ISO4217:USD</v>
          </cell>
          <cell r="GU240" t="b">
            <v>0</v>
          </cell>
          <cell r="GV240" t="b">
            <v>0</v>
          </cell>
        </row>
        <row r="241">
          <cell r="E241" t="str">
            <v>Realized foreign currency exchange gains (losses) in net financing obligations</v>
          </cell>
          <cell r="GR241" t="str">
            <v>mstag:realizedForeignCurrencyExchangeGainsLossesInNetFinancingObligations</v>
          </cell>
          <cell r="GS241">
            <v>6</v>
          </cell>
          <cell r="GT241" t="str">
            <v>ISO4217:USD</v>
          </cell>
          <cell r="GU241" t="b">
            <v>0</v>
          </cell>
          <cell r="GV241" t="b">
            <v>0</v>
          </cell>
        </row>
        <row r="242">
          <cell r="E242" t="str">
            <v>Unrealized foreign currency exchange gains (losses) in net financing obligations</v>
          </cell>
          <cell r="GR242" t="str">
            <v>mstag:unrealizedForeignCurrencyExchangeGainsLossesInNetFinancingObligations</v>
          </cell>
          <cell r="GS242">
            <v>6</v>
          </cell>
          <cell r="GT242" t="str">
            <v>ISO4217:USD</v>
          </cell>
          <cell r="GU242" t="b">
            <v>0</v>
          </cell>
          <cell r="GV242" t="b">
            <v>0</v>
          </cell>
        </row>
        <row r="243">
          <cell r="C243" t="str">
            <v>Restructuring costs, recurring</v>
          </cell>
          <cell r="GR243" t="str">
            <v>mstag:restructuringCostsRecurring</v>
          </cell>
          <cell r="GS243">
            <v>6</v>
          </cell>
          <cell r="GT243" t="str">
            <v>ISO4217:USD</v>
          </cell>
          <cell r="GU243" t="b">
            <v>0</v>
          </cell>
          <cell r="GV243" t="b">
            <v>0</v>
          </cell>
        </row>
        <row r="244">
          <cell r="C244" t="str">
            <v>Restructuring costs, one time</v>
          </cell>
          <cell r="H244" t="str">
            <v/>
          </cell>
          <cell r="I244" t="str">
            <v/>
          </cell>
          <cell r="J244" t="str">
            <v/>
          </cell>
          <cell r="K244" t="str">
            <v/>
          </cell>
          <cell r="L244" t="str">
            <v/>
          </cell>
          <cell r="M244" t="str">
            <v/>
          </cell>
          <cell r="N244" t="str">
            <v/>
          </cell>
          <cell r="P244" t="str">
            <v/>
          </cell>
          <cell r="Q244" t="str">
            <v/>
          </cell>
          <cell r="GR244" t="str">
            <v>mstag:restructuringCostsOneTime</v>
          </cell>
          <cell r="GS244">
            <v>6</v>
          </cell>
          <cell r="GT244" t="str">
            <v>ISO4217:USD</v>
          </cell>
          <cell r="GU244" t="b">
            <v>0</v>
          </cell>
          <cell r="GV244" t="b">
            <v>0</v>
          </cell>
        </row>
        <row r="245">
          <cell r="D245" t="str">
            <v>Restructuring costs, one time, gross of tax</v>
          </cell>
          <cell r="GR245" t="str">
            <v>mstag:restructuringCostsOneTimeGrossOfTax</v>
          </cell>
          <cell r="GS245">
            <v>6</v>
          </cell>
          <cell r="GT245" t="str">
            <v>ISO4217:USD</v>
          </cell>
          <cell r="GU245" t="b">
            <v>0</v>
          </cell>
          <cell r="GV245" t="b">
            <v>0</v>
          </cell>
        </row>
        <row r="246">
          <cell r="D246" t="str">
            <v>Tax on restructuring costs, one time</v>
          </cell>
          <cell r="GR246" t="str">
            <v>mstag:taxOnRestructuringCostsOneTime</v>
          </cell>
          <cell r="GS246">
            <v>6</v>
          </cell>
          <cell r="GT246" t="str">
            <v>ISO4217:USD</v>
          </cell>
          <cell r="GU246" t="b">
            <v>0</v>
          </cell>
          <cell r="GV246" t="b">
            <v>0</v>
          </cell>
        </row>
        <row r="247">
          <cell r="C247" t="str">
            <v>Legal provision, recurring</v>
          </cell>
          <cell r="GR247" t="str">
            <v>mstag:legalProvisionRecurring</v>
          </cell>
          <cell r="GS247">
            <v>6</v>
          </cell>
          <cell r="GT247" t="str">
            <v>ISO4217:USD</v>
          </cell>
          <cell r="GU247" t="b">
            <v>0</v>
          </cell>
          <cell r="GV247" t="b">
            <v>0</v>
          </cell>
        </row>
        <row r="248">
          <cell r="C248" t="str">
            <v>Legal provision, one time</v>
          </cell>
          <cell r="H248" t="str">
            <v/>
          </cell>
          <cell r="I248" t="str">
            <v/>
          </cell>
          <cell r="J248" t="str">
            <v/>
          </cell>
          <cell r="K248" t="str">
            <v/>
          </cell>
          <cell r="L248" t="str">
            <v/>
          </cell>
          <cell r="M248" t="str">
            <v/>
          </cell>
          <cell r="N248" t="str">
            <v/>
          </cell>
          <cell r="P248" t="str">
            <v/>
          </cell>
          <cell r="Q248" t="str">
            <v/>
          </cell>
          <cell r="GR248" t="str">
            <v>mstag:legalProvisionOneTime</v>
          </cell>
          <cell r="GS248">
            <v>6</v>
          </cell>
          <cell r="GT248" t="str">
            <v>ISO4217:USD</v>
          </cell>
          <cell r="GU248" t="b">
            <v>0</v>
          </cell>
          <cell r="GV248" t="b">
            <v>0</v>
          </cell>
        </row>
        <row r="249">
          <cell r="D249" t="str">
            <v>Legal provision, one time, gross of tax</v>
          </cell>
          <cell r="GR249" t="str">
            <v>mstag:legalProvisionOneTimeGrossOfTax</v>
          </cell>
          <cell r="GS249">
            <v>6</v>
          </cell>
          <cell r="GT249" t="str">
            <v>ISO4217:USD</v>
          </cell>
          <cell r="GU249" t="b">
            <v>0</v>
          </cell>
          <cell r="GV249" t="b">
            <v>0</v>
          </cell>
        </row>
        <row r="250">
          <cell r="D250" t="str">
            <v>Tax on legal provision, one time</v>
          </cell>
          <cell r="GR250" t="str">
            <v>mstag:taxOnLegalProvisionOneTime</v>
          </cell>
          <cell r="GS250">
            <v>6</v>
          </cell>
          <cell r="GT250" t="str">
            <v>ISO4217:USD</v>
          </cell>
          <cell r="GU250" t="b">
            <v>0</v>
          </cell>
          <cell r="GV250" t="b">
            <v>0</v>
          </cell>
        </row>
        <row r="251">
          <cell r="C251" t="str">
            <v>Environmental provision, recurring</v>
          </cell>
          <cell r="GR251" t="str">
            <v>mstag:environmentalProvisionRecurring</v>
          </cell>
          <cell r="GS251">
            <v>6</v>
          </cell>
          <cell r="GT251" t="str">
            <v>ISO4217:USD</v>
          </cell>
          <cell r="GU251" t="b">
            <v>0</v>
          </cell>
          <cell r="GV251" t="b">
            <v>0</v>
          </cell>
        </row>
        <row r="252">
          <cell r="C252" t="str">
            <v>Environmental provision, one time</v>
          </cell>
          <cell r="H252" t="str">
            <v/>
          </cell>
          <cell r="I252" t="str">
            <v/>
          </cell>
          <cell r="J252" t="str">
            <v/>
          </cell>
          <cell r="K252" t="str">
            <v/>
          </cell>
          <cell r="L252" t="str">
            <v/>
          </cell>
          <cell r="M252" t="str">
            <v/>
          </cell>
          <cell r="N252" t="str">
            <v/>
          </cell>
          <cell r="P252" t="str">
            <v/>
          </cell>
          <cell r="Q252" t="str">
            <v/>
          </cell>
          <cell r="GR252" t="str">
            <v>mstag:environmentalProvisionOneTime</v>
          </cell>
          <cell r="GS252">
            <v>6</v>
          </cell>
          <cell r="GT252" t="str">
            <v>ISO4217:USD</v>
          </cell>
          <cell r="GU252" t="b">
            <v>0</v>
          </cell>
          <cell r="GV252" t="b">
            <v>0</v>
          </cell>
        </row>
        <row r="253">
          <cell r="D253" t="str">
            <v>Environmental provision, one time, gross of tax</v>
          </cell>
          <cell r="GR253" t="str">
            <v>mstag:environmentalProvisionOneTimeGrossOfTax</v>
          </cell>
          <cell r="GS253">
            <v>6</v>
          </cell>
          <cell r="GT253" t="str">
            <v>ISO4217:USD</v>
          </cell>
          <cell r="GU253" t="b">
            <v>0</v>
          </cell>
          <cell r="GV253" t="b">
            <v>0</v>
          </cell>
        </row>
        <row r="254">
          <cell r="D254" t="str">
            <v>Tax on environmental provision, one time</v>
          </cell>
          <cell r="GR254" t="str">
            <v>mstag:taxOnEnvironmentalProvisionOneTime</v>
          </cell>
          <cell r="GS254">
            <v>6</v>
          </cell>
          <cell r="GT254" t="str">
            <v>ISO4217:USD</v>
          </cell>
          <cell r="GU254" t="b">
            <v>0</v>
          </cell>
          <cell r="GV254" t="b">
            <v>0</v>
          </cell>
        </row>
        <row r="255">
          <cell r="C255" t="str">
            <v>Other provisions, recurring</v>
          </cell>
          <cell r="GR255" t="str">
            <v>mstag:otherProvisionsRecurring</v>
          </cell>
          <cell r="GS255">
            <v>6</v>
          </cell>
          <cell r="GT255" t="str">
            <v>ISO4217:USD</v>
          </cell>
          <cell r="GU255" t="b">
            <v>0</v>
          </cell>
          <cell r="GV255" t="b">
            <v>0</v>
          </cell>
        </row>
        <row r="256">
          <cell r="C256" t="str">
            <v>Other provisions, one time</v>
          </cell>
          <cell r="H256" t="str">
            <v/>
          </cell>
          <cell r="I256" t="str">
            <v/>
          </cell>
          <cell r="J256" t="str">
            <v/>
          </cell>
          <cell r="K256" t="str">
            <v/>
          </cell>
          <cell r="L256" t="str">
            <v/>
          </cell>
          <cell r="M256" t="str">
            <v/>
          </cell>
          <cell r="N256" t="str">
            <v/>
          </cell>
          <cell r="P256" t="str">
            <v/>
          </cell>
          <cell r="Q256" t="str">
            <v/>
          </cell>
          <cell r="GR256" t="str">
            <v>mstag:otherProvisionsOneTime</v>
          </cell>
          <cell r="GS256">
            <v>6</v>
          </cell>
          <cell r="GT256" t="str">
            <v>ISO4217:USD</v>
          </cell>
          <cell r="GU256" t="b">
            <v>0</v>
          </cell>
          <cell r="GV256" t="b">
            <v>0</v>
          </cell>
        </row>
        <row r="257">
          <cell r="D257" t="str">
            <v>Other provisions, one time, gross of tax</v>
          </cell>
          <cell r="GR257" t="str">
            <v>mstag:otherProvisionsOneTimeGrossOfTax</v>
          </cell>
          <cell r="GS257">
            <v>6</v>
          </cell>
          <cell r="GT257" t="str">
            <v>ISO4217:USD</v>
          </cell>
          <cell r="GU257" t="b">
            <v>0</v>
          </cell>
          <cell r="GV257" t="b">
            <v>0</v>
          </cell>
        </row>
        <row r="258">
          <cell r="D258" t="str">
            <v>Tax on other provisions, one time</v>
          </cell>
          <cell r="GR258" t="str">
            <v>mstag:taxOnOtherProvisionsOneTime</v>
          </cell>
          <cell r="GS258">
            <v>6</v>
          </cell>
          <cell r="GT258" t="str">
            <v>ISO4217:USD</v>
          </cell>
          <cell r="GU258" t="b">
            <v>0</v>
          </cell>
          <cell r="GV258" t="b">
            <v>0</v>
          </cell>
        </row>
        <row r="259">
          <cell r="C259" t="str">
            <v>Pension settlement and curtailment gains (losses), one time</v>
          </cell>
          <cell r="H259" t="str">
            <v/>
          </cell>
          <cell r="I259" t="str">
            <v/>
          </cell>
          <cell r="J259" t="str">
            <v/>
          </cell>
          <cell r="K259" t="str">
            <v/>
          </cell>
          <cell r="L259" t="str">
            <v/>
          </cell>
          <cell r="M259" t="str">
            <v/>
          </cell>
          <cell r="N259" t="str">
            <v/>
          </cell>
          <cell r="P259" t="str">
            <v/>
          </cell>
          <cell r="Q259" t="str">
            <v/>
          </cell>
          <cell r="GR259" t="str">
            <v>mstag:pensionSettlementAndCurtailmentGainsLossesOneTime</v>
          </cell>
          <cell r="GS259">
            <v>6</v>
          </cell>
          <cell r="GT259" t="str">
            <v>ISO4217:USD</v>
          </cell>
          <cell r="GU259" t="b">
            <v>0</v>
          </cell>
          <cell r="GV259" t="b">
            <v>0</v>
          </cell>
        </row>
        <row r="260">
          <cell r="D260" t="str">
            <v>Daiko Henjo: special settlement gain (loss) (Japan)</v>
          </cell>
          <cell r="GR260" t="str">
            <v>mstag:daikoHenjoSpecialSettlementGainLossJapan</v>
          </cell>
          <cell r="GS260">
            <v>6</v>
          </cell>
          <cell r="GT260" t="str">
            <v>ISO4217:USD</v>
          </cell>
          <cell r="GU260" t="b">
            <v>0</v>
          </cell>
          <cell r="GV260" t="b">
            <v>0</v>
          </cell>
        </row>
        <row r="261">
          <cell r="D261" t="str">
            <v>Other pension settlement and curtailment gains (losses), one time</v>
          </cell>
          <cell r="GR261" t="str">
            <v>mstag:otherPensionSettlementAndCurtailmentGainsLossesOneTime</v>
          </cell>
          <cell r="GS261">
            <v>6</v>
          </cell>
          <cell r="GT261" t="str">
            <v>ISO4217:USD</v>
          </cell>
          <cell r="GU261" t="b">
            <v>0</v>
          </cell>
          <cell r="GV261" t="b">
            <v>0</v>
          </cell>
        </row>
        <row r="262">
          <cell r="C262" t="str">
            <v>Other nonoperating income (expense)</v>
          </cell>
          <cell r="H262">
            <v>-1.083</v>
          </cell>
          <cell r="I262">
            <v>-0.30499999999999999</v>
          </cell>
          <cell r="J262">
            <v>-1.091</v>
          </cell>
          <cell r="K262">
            <v>-0.96299999999999997</v>
          </cell>
          <cell r="L262">
            <v>-2.5819999999999999</v>
          </cell>
          <cell r="M262">
            <v>0.182</v>
          </cell>
          <cell r="N262">
            <v>-0.73399999999999999</v>
          </cell>
          <cell r="P262">
            <v>0.182</v>
          </cell>
          <cell r="Q262">
            <v>-0.73399999999999999</v>
          </cell>
          <cell r="GR262" t="str">
            <v>mstag:otherNonOperatingIncomeExpense</v>
          </cell>
          <cell r="GS262">
            <v>6</v>
          </cell>
          <cell r="GT262" t="str">
            <v>ISO4217:USD</v>
          </cell>
          <cell r="GU262" t="b">
            <v>0</v>
          </cell>
          <cell r="GV262" t="b">
            <v>0</v>
          </cell>
        </row>
        <row r="263">
          <cell r="C263" t="str">
            <v>Tax expense (income)</v>
          </cell>
          <cell r="G263">
            <v>0</v>
          </cell>
          <cell r="H263">
            <v>0</v>
          </cell>
          <cell r="I263">
            <v>0</v>
          </cell>
          <cell r="J263">
            <v>0</v>
          </cell>
          <cell r="K263">
            <v>0</v>
          </cell>
          <cell r="L263">
            <v>0</v>
          </cell>
          <cell r="M263">
            <v>0</v>
          </cell>
          <cell r="N263">
            <v>0</v>
          </cell>
          <cell r="P263">
            <v>0</v>
          </cell>
          <cell r="Q263">
            <v>0</v>
          </cell>
          <cell r="GR263" t="str">
            <v>mstag:taxExpenseIncome</v>
          </cell>
          <cell r="GS263">
            <v>6</v>
          </cell>
          <cell r="GT263" t="str">
            <v>ISO4217:USD</v>
          </cell>
          <cell r="GU263" t="b">
            <v>0</v>
          </cell>
          <cell r="GV263" t="b">
            <v>0</v>
          </cell>
        </row>
        <row r="264">
          <cell r="D264" t="str">
            <v>Current income tax expense</v>
          </cell>
          <cell r="GR264" t="str">
            <v>mstag:currentIncomeTax</v>
          </cell>
          <cell r="GS264">
            <v>6</v>
          </cell>
          <cell r="GT264" t="str">
            <v>ISO4217:USD</v>
          </cell>
          <cell r="GU264" t="b">
            <v>0</v>
          </cell>
          <cell r="GV264" t="b">
            <v>0</v>
          </cell>
        </row>
        <row r="265">
          <cell r="D265" t="str">
            <v>Deferred income tax expense</v>
          </cell>
          <cell r="H265" t="str">
            <v/>
          </cell>
          <cell r="I265" t="str">
            <v/>
          </cell>
          <cell r="J265" t="str">
            <v/>
          </cell>
          <cell r="K265" t="str">
            <v/>
          </cell>
          <cell r="L265" t="str">
            <v/>
          </cell>
          <cell r="M265" t="str">
            <v/>
          </cell>
          <cell r="N265" t="str">
            <v/>
          </cell>
          <cell r="P265" t="str">
            <v/>
          </cell>
          <cell r="Q265" t="str">
            <v/>
          </cell>
          <cell r="GR265" t="str">
            <v>mstag:deferredIncomeTax</v>
          </cell>
          <cell r="GS265">
            <v>6</v>
          </cell>
          <cell r="GT265" t="str">
            <v>ISO4217:USD</v>
          </cell>
          <cell r="GU265" t="b">
            <v>0</v>
          </cell>
          <cell r="GV265" t="b">
            <v>0</v>
          </cell>
        </row>
        <row r="266">
          <cell r="E266" t="str">
            <v>Deferred income tax expense, benefit for NOLs</v>
          </cell>
          <cell r="GR266" t="str">
            <v>mstag:deferredIncomeTaxBenefitForNols</v>
          </cell>
          <cell r="GS266">
            <v>6</v>
          </cell>
          <cell r="GT266" t="str">
            <v>ISO4217:USD</v>
          </cell>
          <cell r="GU266" t="b">
            <v>0</v>
          </cell>
          <cell r="GV266" t="b">
            <v>0</v>
          </cell>
        </row>
        <row r="267">
          <cell r="E267" t="str">
            <v>Other deferred income tax expense</v>
          </cell>
          <cell r="GR267" t="str">
            <v>mstag:otherDeferredIncomeTax</v>
          </cell>
          <cell r="GS267">
            <v>6</v>
          </cell>
          <cell r="GT267" t="str">
            <v>ISO4217:USD</v>
          </cell>
          <cell r="GU267" t="b">
            <v>0</v>
          </cell>
          <cell r="GV267" t="b">
            <v>0</v>
          </cell>
        </row>
        <row r="268">
          <cell r="C268" t="str">
            <v>Minority interests in net income</v>
          </cell>
          <cell r="H268">
            <v>8.7449999999999992</v>
          </cell>
          <cell r="I268">
            <v>13.493</v>
          </cell>
          <cell r="J268">
            <v>26.065000000000001</v>
          </cell>
          <cell r="K268">
            <v>42.624000000000002</v>
          </cell>
          <cell r="L268">
            <v>42.838000000000001</v>
          </cell>
          <cell r="M268">
            <v>25.793999999999997</v>
          </cell>
          <cell r="N268">
            <v>22.234999999999999</v>
          </cell>
          <cell r="P268">
            <v>26.642999999999997</v>
          </cell>
          <cell r="Q268">
            <v>22.234999999999999</v>
          </cell>
          <cell r="GR268" t="str">
            <v>mstag:minorityInterestsInNetIncome</v>
          </cell>
          <cell r="GS268">
            <v>6</v>
          </cell>
          <cell r="GT268" t="str">
            <v>ISO4217:USD</v>
          </cell>
          <cell r="GU268" t="b">
            <v>0</v>
          </cell>
          <cell r="GV268" t="b">
            <v>0</v>
          </cell>
        </row>
        <row r="269">
          <cell r="D269" t="str">
            <v>Share of net income to common unitholders of operating partnership</v>
          </cell>
          <cell r="H269">
            <v>7.5739999999999998</v>
          </cell>
          <cell r="I269">
            <v>12.241</v>
          </cell>
          <cell r="J269">
            <v>19.811</v>
          </cell>
          <cell r="K269">
            <v>32.070999999999998</v>
          </cell>
          <cell r="L269">
            <v>32.018999999999998</v>
          </cell>
          <cell r="M269">
            <v>17.140999999999998</v>
          </cell>
          <cell r="N269">
            <v>17.545999999999999</v>
          </cell>
          <cell r="P269">
            <v>18.567999999999998</v>
          </cell>
          <cell r="Q269">
            <v>17.545999999999999</v>
          </cell>
          <cell r="GR269" t="str">
            <v>mstag:shareOfNetIncomeToCommonUnitholdersOfOperatingPartnership</v>
          </cell>
          <cell r="GS269">
            <v>6</v>
          </cell>
          <cell r="GT269" t="str">
            <v>ISO4217:USD</v>
          </cell>
          <cell r="GU269" t="b">
            <v>0</v>
          </cell>
          <cell r="GV269" t="b">
            <v>0</v>
          </cell>
        </row>
        <row r="270">
          <cell r="D270" t="str">
            <v>Share of net income to preferred unitholders of operating partnership</v>
          </cell>
          <cell r="I270">
            <v>0</v>
          </cell>
          <cell r="J270">
            <v>4.2039999999999997</v>
          </cell>
          <cell r="K270">
            <v>8.4079999999999995</v>
          </cell>
          <cell r="L270">
            <v>8.4079999999999995</v>
          </cell>
          <cell r="M270">
            <v>7.56</v>
          </cell>
          <cell r="N270">
            <v>5.5039999999999996</v>
          </cell>
          <cell r="P270">
            <v>7.56</v>
          </cell>
          <cell r="Q270">
            <v>5.5039999999999996</v>
          </cell>
          <cell r="GR270" t="str">
            <v>mstag:shareOfNetIncomeToPreferredUnitholdersOfOperatingPartnership</v>
          </cell>
          <cell r="GS270">
            <v>6</v>
          </cell>
          <cell r="GT270" t="str">
            <v>ISO4217:USD</v>
          </cell>
          <cell r="GU270" t="b">
            <v>0</v>
          </cell>
          <cell r="GV270" t="b">
            <v>0</v>
          </cell>
        </row>
        <row r="271">
          <cell r="D271" t="str">
            <v>Other minority interests in net income</v>
          </cell>
          <cell r="H271">
            <v>1.171</v>
          </cell>
          <cell r="I271">
            <v>1.252</v>
          </cell>
          <cell r="J271">
            <v>2.0499999999999998</v>
          </cell>
          <cell r="K271">
            <v>2.145</v>
          </cell>
          <cell r="L271">
            <v>2.411</v>
          </cell>
          <cell r="M271">
            <v>1.093</v>
          </cell>
          <cell r="N271">
            <v>-0.81499999999999995</v>
          </cell>
          <cell r="P271">
            <v>0.51500000000000001</v>
          </cell>
          <cell r="Q271">
            <v>-0.81499999999999995</v>
          </cell>
          <cell r="GR271" t="str">
            <v>mstag:otherMinorityInterestsInNetIncome</v>
          </cell>
          <cell r="GS271">
            <v>6</v>
          </cell>
          <cell r="GT271" t="str">
            <v>ISO4217:USD</v>
          </cell>
          <cell r="GU271" t="b">
            <v>0</v>
          </cell>
          <cell r="GV271" t="b">
            <v>0</v>
          </cell>
        </row>
        <row r="272">
          <cell r="C272" t="str">
            <v>Cumulative effect of change in accounting principle, net of tax</v>
          </cell>
          <cell r="GR272" t="str">
            <v>mstag:cumulativeEffectOfChangeInAccountingPrincipleNetOfTax</v>
          </cell>
          <cell r="GS272">
            <v>6</v>
          </cell>
          <cell r="GT272" t="str">
            <v>ISO4217:USD</v>
          </cell>
          <cell r="GU272" t="b">
            <v>0</v>
          </cell>
          <cell r="GV272" t="b">
            <v>0</v>
          </cell>
        </row>
        <row r="273">
          <cell r="C273" t="str">
            <v>Income (loss) from extraordinary items, net of tax</v>
          </cell>
          <cell r="H273" t="str">
            <v/>
          </cell>
          <cell r="I273" t="str">
            <v/>
          </cell>
          <cell r="J273" t="str">
            <v/>
          </cell>
          <cell r="K273" t="str">
            <v/>
          </cell>
          <cell r="L273" t="str">
            <v/>
          </cell>
          <cell r="M273">
            <v>-8.1449999999999996</v>
          </cell>
          <cell r="N273" t="str">
            <v/>
          </cell>
          <cell r="P273" t="str">
            <v/>
          </cell>
          <cell r="Q273" t="str">
            <v/>
          </cell>
          <cell r="GR273" t="str">
            <v>mstag:incomeLossFromExtraordinaryItemsNetOfTax</v>
          </cell>
          <cell r="GS273">
            <v>6</v>
          </cell>
          <cell r="GT273" t="str">
            <v>ISO4217:USD</v>
          </cell>
          <cell r="GU273" t="b">
            <v>0</v>
          </cell>
          <cell r="GV273" t="b">
            <v>0</v>
          </cell>
        </row>
        <row r="274">
          <cell r="D274" t="str">
            <v>Income (loss) from extraordinary items, pretax</v>
          </cell>
          <cell r="M274">
            <v>-8.1449999999999996</v>
          </cell>
          <cell r="GR274" t="str">
            <v>mstag:incomeLossFromExtraordinaryItemsPretax</v>
          </cell>
          <cell r="GS274">
            <v>6</v>
          </cell>
          <cell r="GT274" t="str">
            <v>ISO4217:USD</v>
          </cell>
          <cell r="GU274" t="b">
            <v>0</v>
          </cell>
          <cell r="GV274" t="b">
            <v>0</v>
          </cell>
        </row>
        <row r="275">
          <cell r="D275" t="str">
            <v>Tax on income (loss) from extraordinary items</v>
          </cell>
          <cell r="GR275" t="str">
            <v>mstag:taxOnIncomeLossFromExtraordinaryItems</v>
          </cell>
          <cell r="GS275">
            <v>6</v>
          </cell>
          <cell r="GT275" t="str">
            <v>ISO4217:USD</v>
          </cell>
          <cell r="GU275" t="b">
            <v>0</v>
          </cell>
          <cell r="GV275" t="b">
            <v>0</v>
          </cell>
        </row>
        <row r="276">
          <cell r="C276" t="str">
            <v>Income (loss) from discontinued operations, net of tax</v>
          </cell>
          <cell r="H276" t="str">
            <v/>
          </cell>
          <cell r="I276" t="str">
            <v/>
          </cell>
          <cell r="J276" t="str">
            <v/>
          </cell>
          <cell r="K276" t="str">
            <v/>
          </cell>
          <cell r="L276">
            <v>3.1480000000000001</v>
          </cell>
          <cell r="M276">
            <v>5.0960000000000001</v>
          </cell>
          <cell r="N276">
            <v>3.4859999999999998</v>
          </cell>
          <cell r="P276">
            <v>2.5369999999999999</v>
          </cell>
          <cell r="Q276">
            <v>3.4859999999999998</v>
          </cell>
          <cell r="GR276" t="str">
            <v>mstag:incomeLossFromDiscontinuedOperationsNetOfTax</v>
          </cell>
          <cell r="GS276">
            <v>6</v>
          </cell>
          <cell r="GT276" t="str">
            <v>ISO4217:USD</v>
          </cell>
          <cell r="GU276" t="b">
            <v>0</v>
          </cell>
          <cell r="GV276" t="b">
            <v>0</v>
          </cell>
        </row>
        <row r="277">
          <cell r="D277" t="str">
            <v>Income (loss) from discontinued operations, pretax</v>
          </cell>
          <cell r="L277">
            <v>3.1480000000000001</v>
          </cell>
          <cell r="M277">
            <v>5.0960000000000001</v>
          </cell>
          <cell r="GR277" t="str">
            <v>mstag:incomeLossFromDiscontinuedOperationsPretax</v>
          </cell>
          <cell r="GS277">
            <v>6</v>
          </cell>
          <cell r="GT277" t="str">
            <v>ISO4217:USD</v>
          </cell>
          <cell r="GU277" t="b">
            <v>0</v>
          </cell>
          <cell r="GV277" t="b">
            <v>0</v>
          </cell>
        </row>
        <row r="278">
          <cell r="D278" t="str">
            <v>Tax on income (loss) from discontinued operations</v>
          </cell>
          <cell r="GR278" t="str">
            <v>mstag:taxOnIncomeLossFromDiscontinuedOperations</v>
          </cell>
          <cell r="GS278">
            <v>6</v>
          </cell>
          <cell r="GT278" t="str">
            <v>ISO4217:USD</v>
          </cell>
          <cell r="GU278" t="b">
            <v>0</v>
          </cell>
          <cell r="GV278" t="b">
            <v>0</v>
          </cell>
        </row>
        <row r="279">
          <cell r="C279" t="str">
            <v>Preferred dividends paid</v>
          </cell>
          <cell r="H279">
            <v>12.484999999999999</v>
          </cell>
          <cell r="I279">
            <v>19.832999999999998</v>
          </cell>
          <cell r="J279">
            <v>42.603999999999999</v>
          </cell>
          <cell r="K279">
            <v>48.981000000000002</v>
          </cell>
          <cell r="L279">
            <v>52.442</v>
          </cell>
          <cell r="M279">
            <v>45.052999999999997</v>
          </cell>
          <cell r="N279">
            <v>33.720999999999997</v>
          </cell>
          <cell r="P279">
            <v>45.052999999999997</v>
          </cell>
          <cell r="Q279">
            <v>33.720999999999997</v>
          </cell>
          <cell r="GR279" t="str">
            <v>mstag:preferredDividendsPaid</v>
          </cell>
          <cell r="GS279">
            <v>6</v>
          </cell>
          <cell r="GT279" t="str">
            <v>ISO4217:USD</v>
          </cell>
          <cell r="GU279" t="b">
            <v>0</v>
          </cell>
          <cell r="GV279" t="b">
            <v>0</v>
          </cell>
        </row>
        <row r="280">
          <cell r="D280" t="str">
            <v>Preferred dividends paid, convertible</v>
          </cell>
          <cell r="GR280" t="str">
            <v>mstag:preferredDividendsPaidConvertible</v>
          </cell>
          <cell r="GS280">
            <v>6</v>
          </cell>
          <cell r="GT280" t="str">
            <v>ISO4217:USD</v>
          </cell>
          <cell r="GU280" t="b">
            <v>0</v>
          </cell>
          <cell r="GV280" t="b">
            <v>0</v>
          </cell>
        </row>
        <row r="281">
          <cell r="D281" t="str">
            <v>Preferred dividends paid, nonconvertible</v>
          </cell>
          <cell r="GR281" t="str">
            <v>mstag:preferredDividendsPaidNonConvertible</v>
          </cell>
          <cell r="GS281">
            <v>6</v>
          </cell>
          <cell r="GT281" t="str">
            <v>ISO4217:USD</v>
          </cell>
          <cell r="GU281" t="b">
            <v>0</v>
          </cell>
          <cell r="GV281" t="b">
            <v>0</v>
          </cell>
        </row>
        <row r="282">
          <cell r="C282" t="str">
            <v>Preferred dividends attributable to current period earnings</v>
          </cell>
          <cell r="GR282" t="str">
            <v>mstag:preferredDividendsAttributableToCurrentPeriodEarnings</v>
          </cell>
          <cell r="GS282">
            <v>6</v>
          </cell>
          <cell r="GT282" t="str">
            <v>ISO4217:USD</v>
          </cell>
          <cell r="GU282" t="b">
            <v>0</v>
          </cell>
          <cell r="GV282" t="b">
            <v>0</v>
          </cell>
        </row>
        <row r="283">
          <cell r="C283" t="str">
            <v>Adjustment to net income for dilutive items</v>
          </cell>
          <cell r="H283" t="str">
            <v/>
          </cell>
          <cell r="I283" t="str">
            <v/>
          </cell>
          <cell r="J283" t="str">
            <v/>
          </cell>
          <cell r="K283" t="str">
            <v/>
          </cell>
          <cell r="L283" t="str">
            <v/>
          </cell>
          <cell r="M283" t="str">
            <v/>
          </cell>
          <cell r="N283" t="str">
            <v/>
          </cell>
          <cell r="P283" t="str">
            <v/>
          </cell>
          <cell r="Q283" t="str">
            <v/>
          </cell>
          <cell r="GR283" t="str">
            <v>mstag:adjustmentToNetIncomeForDilutiveItems</v>
          </cell>
          <cell r="GS283">
            <v>6</v>
          </cell>
          <cell r="GT283" t="str">
            <v>ISO4217:USD</v>
          </cell>
          <cell r="GU283" t="b">
            <v>0</v>
          </cell>
          <cell r="GV283" t="b">
            <v>0</v>
          </cell>
        </row>
        <row r="284">
          <cell r="D284" t="str">
            <v>Impact of assumed conversion of preferred stock</v>
          </cell>
          <cell r="GR284" t="str">
            <v>mstag:impactOfAssumedConversionOfPreferredStock</v>
          </cell>
          <cell r="GS284">
            <v>6</v>
          </cell>
          <cell r="GT284" t="str">
            <v>ISO4217:USD</v>
          </cell>
          <cell r="GU284" t="b">
            <v>0</v>
          </cell>
          <cell r="GV284" t="b">
            <v>0</v>
          </cell>
        </row>
        <row r="285">
          <cell r="D285" t="str">
            <v>Impact of assumed conversion of convertible bonds</v>
          </cell>
          <cell r="GR285" t="str">
            <v>mstag:impactOfAssumedConversionOfConvertibleBonds</v>
          </cell>
          <cell r="GS285">
            <v>6</v>
          </cell>
          <cell r="GT285" t="str">
            <v>ISO4217:USD</v>
          </cell>
          <cell r="GU285" t="b">
            <v>0</v>
          </cell>
          <cell r="GV285" t="b">
            <v>0</v>
          </cell>
        </row>
        <row r="286">
          <cell r="D286" t="str">
            <v>Impact of stock options compensation</v>
          </cell>
          <cell r="GR286" t="str">
            <v>mstag:impactOfStockOptionsCompensation</v>
          </cell>
          <cell r="GS286">
            <v>6</v>
          </cell>
          <cell r="GT286" t="str">
            <v>ISO4217:USD</v>
          </cell>
          <cell r="GU286" t="b">
            <v>0</v>
          </cell>
          <cell r="GV286" t="b">
            <v>0</v>
          </cell>
        </row>
        <row r="287">
          <cell r="C287" t="str">
            <v>Adjustment to funds from operations (FFO) for dilutive items</v>
          </cell>
          <cell r="N287">
            <v>9.847999999999999</v>
          </cell>
          <cell r="P287">
            <v>11.808999999999999</v>
          </cell>
          <cell r="Q287">
            <v>9.847999999999999</v>
          </cell>
          <cell r="GR287" t="str">
            <v>mstag:adjustmentToFundsFromOperationsFffoForDilutiveItems</v>
          </cell>
          <cell r="GS287">
            <v>6</v>
          </cell>
          <cell r="GT287" t="str">
            <v>ISO4217:USD</v>
          </cell>
          <cell r="GU287" t="b">
            <v>0</v>
          </cell>
          <cell r="GV287" t="b">
            <v>0</v>
          </cell>
        </row>
        <row r="288">
          <cell r="C288" t="str">
            <v>Company-reported revenue</v>
          </cell>
          <cell r="GR288" t="str">
            <v>mstag:companyReportedRevenue</v>
          </cell>
          <cell r="GS288">
            <v>6</v>
          </cell>
          <cell r="GT288" t="str">
            <v>ISO4217:USD</v>
          </cell>
          <cell r="GU288" t="b">
            <v>0</v>
          </cell>
          <cell r="GV288" t="b">
            <v>0</v>
          </cell>
        </row>
        <row r="289">
          <cell r="C289" t="str">
            <v>EPS adjusted for consensus</v>
          </cell>
          <cell r="GR289" t="str">
            <v>mstag:adjEpsForConsensus</v>
          </cell>
          <cell r="GS289">
            <v>0</v>
          </cell>
          <cell r="GT289" t="str">
            <v>ISO4217:USD</v>
          </cell>
          <cell r="GU289" t="b">
            <v>0</v>
          </cell>
          <cell r="GV289" t="b">
            <v>0</v>
          </cell>
        </row>
        <row r="290">
          <cell r="C290" t="str">
            <v>Period-end diluted shares outstanding</v>
          </cell>
          <cell r="N290">
            <v>136.18199999999999</v>
          </cell>
          <cell r="P290">
            <v>134.947</v>
          </cell>
          <cell r="Q290">
            <v>136.18199999999999</v>
          </cell>
          <cell r="GS290">
            <v>6</v>
          </cell>
          <cell r="GT290" t="str">
            <v>ms_eqr_gcim_Decimal:ms_eqr_gcim_decimal</v>
          </cell>
          <cell r="GU290" t="b">
            <v>0</v>
          </cell>
          <cell r="GV290" t="b">
            <v>0</v>
          </cell>
        </row>
        <row r="291">
          <cell r="C291" t="str">
            <v>Period-end basic shares outstanding</v>
          </cell>
          <cell r="G291">
            <v>0</v>
          </cell>
          <cell r="H291">
            <v>76.064999999999998</v>
          </cell>
          <cell r="I291">
            <v>86.052999999999997</v>
          </cell>
          <cell r="J291">
            <v>125.82299999999999</v>
          </cell>
          <cell r="K291">
            <v>127.932</v>
          </cell>
          <cell r="L291">
            <v>131.416</v>
          </cell>
          <cell r="M291">
            <v>135.00700000000001</v>
          </cell>
          <cell r="N291">
            <v>136.23538374999998</v>
          </cell>
          <cell r="P291">
            <v>134.79739674999999</v>
          </cell>
          <cell r="Q291">
            <v>136.23538374999998</v>
          </cell>
          <cell r="GR291" t="str">
            <v>mstag:periodEndBasicSharesOutstanding</v>
          </cell>
          <cell r="GS291">
            <v>6</v>
          </cell>
          <cell r="GT291" t="str">
            <v>ms_eqr_gcim_Decimal:ms_eqr_gcim_decimal</v>
          </cell>
          <cell r="GU291" t="b">
            <v>0</v>
          </cell>
          <cell r="GV291" t="b">
            <v>0</v>
          </cell>
        </row>
        <row r="292">
          <cell r="C292" t="str">
            <v>Current diluted shares outstanding</v>
          </cell>
          <cell r="GR292" t="str">
            <v>mstag:currentDilutedSharesOutstanding</v>
          </cell>
          <cell r="GS292">
            <v>6</v>
          </cell>
          <cell r="GT292" t="str">
            <v>ms_eqr_gcim_Decimal:ms_eqr_gcim_decimal</v>
          </cell>
          <cell r="GU292" t="b">
            <v>0</v>
          </cell>
          <cell r="GV292" t="b">
            <v>0</v>
          </cell>
        </row>
        <row r="293">
          <cell r="C293" t="str">
            <v>Current basic shares outstanding</v>
          </cell>
          <cell r="GR293" t="str">
            <v>mstag:currentBasicSharesOutstanding</v>
          </cell>
          <cell r="GS293">
            <v>6</v>
          </cell>
          <cell r="GT293" t="str">
            <v>ms_eqr_gcim_Decimal:ms_eqr_gcim_decimal</v>
          </cell>
          <cell r="GU293" t="b">
            <v>0</v>
          </cell>
          <cell r="GV293" t="b">
            <v>0</v>
          </cell>
        </row>
        <row r="294">
          <cell r="C294" t="str">
            <v>Average diluted shares outstanding</v>
          </cell>
          <cell r="G294">
            <v>0</v>
          </cell>
          <cell r="H294">
            <v>67.278000000000006</v>
          </cell>
          <cell r="I294">
            <v>81.595999999999989</v>
          </cell>
          <cell r="J294">
            <v>105.928</v>
          </cell>
          <cell r="K294">
            <v>128.37100000000001</v>
          </cell>
          <cell r="L294">
            <v>133.40900000000002</v>
          </cell>
          <cell r="M294">
            <v>135.4</v>
          </cell>
          <cell r="N294">
            <v>136.45099999999999</v>
          </cell>
          <cell r="P294">
            <v>135.38749999999999</v>
          </cell>
          <cell r="Q294">
            <v>136.45099999999999</v>
          </cell>
          <cell r="GR294" t="str">
            <v>mstag:averageDilutedSharesOutstanding</v>
          </cell>
          <cell r="GS294">
            <v>6</v>
          </cell>
          <cell r="GT294" t="str">
            <v>ms_eqr_gcim_Decimal:ms_eqr_gcim_decimal</v>
          </cell>
          <cell r="GU294" t="b">
            <v>0</v>
          </cell>
          <cell r="GV294" t="b">
            <v>0</v>
          </cell>
        </row>
        <row r="295">
          <cell r="C295" t="str">
            <v>Number of preferred shares outstanding</v>
          </cell>
          <cell r="H295">
            <v>0.6</v>
          </cell>
          <cell r="I295">
            <v>1.1400000000000001</v>
          </cell>
          <cell r="J295">
            <v>2.14</v>
          </cell>
          <cell r="K295">
            <v>2.1350000000000002</v>
          </cell>
          <cell r="L295">
            <v>2.1349999999999998</v>
          </cell>
          <cell r="M295">
            <v>1.4990000000000001</v>
          </cell>
          <cell r="GR295" t="str">
            <v>mstag:numberOfPreferredSharesOutstanding</v>
          </cell>
          <cell r="GS295">
            <v>6</v>
          </cell>
          <cell r="GT295" t="str">
            <v>ms_eqr_gcim_Decimal:ms_eqr_gcim_decimal</v>
          </cell>
          <cell r="GU295" t="b">
            <v>0</v>
          </cell>
          <cell r="GV295" t="b">
            <v>0</v>
          </cell>
        </row>
        <row r="296">
          <cell r="C296" t="str">
            <v>Average diluted shares outstanding for FFO</v>
          </cell>
          <cell r="H296">
            <v>74.992999999999995</v>
          </cell>
          <cell r="I296">
            <v>92.468000000000004</v>
          </cell>
          <cell r="J296">
            <v>124.849</v>
          </cell>
          <cell r="K296">
            <v>153.96700000000001</v>
          </cell>
          <cell r="L296">
            <v>156.07499999999999</v>
          </cell>
          <cell r="M296">
            <v>156.85400000000001</v>
          </cell>
          <cell r="N296">
            <v>156.142</v>
          </cell>
          <cell r="P296">
            <v>156.85399999999998</v>
          </cell>
          <cell r="Q296">
            <v>156.142</v>
          </cell>
          <cell r="GR296" t="str">
            <v>mstag:averageDilutedSharesOutstandingForFfo</v>
          </cell>
          <cell r="GS296">
            <v>6</v>
          </cell>
          <cell r="GT296" t="str">
            <v>ms_eqr_gcim_Decimal:ms_eqr_gcim_decimal</v>
          </cell>
          <cell r="GU296" t="b">
            <v>0</v>
          </cell>
          <cell r="GV296" t="b">
            <v>0</v>
          </cell>
        </row>
        <row r="297">
          <cell r="C297" t="str">
            <v>REIT operating partnership units outstanding</v>
          </cell>
          <cell r="H297">
            <v>7.7149999999999999</v>
          </cell>
          <cell r="I297">
            <v>10.872</v>
          </cell>
          <cell r="J297">
            <v>14.583</v>
          </cell>
          <cell r="K297">
            <v>19.07</v>
          </cell>
          <cell r="L297">
            <v>18.300999999999998</v>
          </cell>
          <cell r="M297">
            <v>15.442</v>
          </cell>
          <cell r="N297">
            <v>14.68675</v>
          </cell>
          <cell r="P297">
            <v>15.451499999999999</v>
          </cell>
          <cell r="Q297">
            <v>14.68675</v>
          </cell>
          <cell r="GR297" t="str">
            <v>mstag:opUnitsOutstanding</v>
          </cell>
          <cell r="GS297">
            <v>6</v>
          </cell>
          <cell r="GT297" t="str">
            <v>ms_eqr_gcim_Decimal:ms_eqr_gcim_decimal</v>
          </cell>
          <cell r="GU297" t="b">
            <v>0</v>
          </cell>
          <cell r="GV297" t="b">
            <v>0</v>
          </cell>
        </row>
        <row r="298">
          <cell r="C298" t="str">
            <v>Average basic shares outstanding</v>
          </cell>
          <cell r="G298">
            <v>0</v>
          </cell>
          <cell r="H298">
            <v>66.427000000000007</v>
          </cell>
          <cell r="I298">
            <v>80.703999999999994</v>
          </cell>
          <cell r="J298">
            <v>104.884</v>
          </cell>
          <cell r="K298">
            <v>126.836</v>
          </cell>
          <cell r="L298">
            <v>129.66</v>
          </cell>
          <cell r="M298">
            <v>133.98099999999999</v>
          </cell>
          <cell r="N298">
            <v>135.59174999999999</v>
          </cell>
          <cell r="P298">
            <v>133.98099999999999</v>
          </cell>
          <cell r="Q298">
            <v>135.59174999999999</v>
          </cell>
          <cell r="GR298" t="str">
            <v>mstag:averageBasicSharesOutstanding</v>
          </cell>
          <cell r="GS298">
            <v>6</v>
          </cell>
          <cell r="GT298" t="str">
            <v>ms_eqr_gcim_Decimal:ms_eqr_gcim_decimal</v>
          </cell>
          <cell r="GU298" t="b">
            <v>0</v>
          </cell>
          <cell r="GV298" t="b">
            <v>0</v>
          </cell>
        </row>
        <row r="299">
          <cell r="C299" t="str">
            <v>ADR ratio</v>
          </cell>
          <cell r="GR299" t="str">
            <v>mstag:adrRatioNew</v>
          </cell>
          <cell r="GS299">
            <v>0</v>
          </cell>
          <cell r="GT299" t="str">
            <v>ms_eqr_gcim_Decimal:ms_eqr_gcim_decimal</v>
          </cell>
          <cell r="GU299" t="b">
            <v>0</v>
          </cell>
          <cell r="GV299" t="b">
            <v>0</v>
          </cell>
        </row>
        <row r="300">
          <cell r="C300" t="str">
            <v>Current ADR ratio</v>
          </cell>
          <cell r="GR300" t="str">
            <v>mstag:currentAdrRatio</v>
          </cell>
          <cell r="GS300">
            <v>0</v>
          </cell>
          <cell r="GT300" t="str">
            <v>ms_eqr_gcim_Decimal:ms_eqr_gcim_decimal</v>
          </cell>
          <cell r="GU300" t="b">
            <v>0</v>
          </cell>
          <cell r="GV300" t="b">
            <v>0</v>
          </cell>
        </row>
        <row r="301">
          <cell r="C301" t="str">
            <v>Analyst's average FX rate</v>
          </cell>
          <cell r="GR301" t="str">
            <v>mstag:analystsAverageFxRate</v>
          </cell>
          <cell r="GS301">
            <v>0</v>
          </cell>
          <cell r="GT301" t="str">
            <v>ms_eqr_gcim_Decimal:ms_eqr_gcim_decimal</v>
          </cell>
          <cell r="GU301" t="b">
            <v>0</v>
          </cell>
          <cell r="GV301" t="b">
            <v>0</v>
          </cell>
        </row>
        <row r="302">
          <cell r="C302" t="str">
            <v>Analyst's period-end FX rate</v>
          </cell>
          <cell r="GR302" t="str">
            <v>mstag:analystsPeriodEndFxRate</v>
          </cell>
          <cell r="GS302">
            <v>0</v>
          </cell>
          <cell r="GT302" t="str">
            <v>ms_eqr_gcim_Decimal:ms_eqr_gcim_decimal</v>
          </cell>
          <cell r="GU302" t="b">
            <v>0</v>
          </cell>
          <cell r="GV302" t="b">
            <v>0</v>
          </cell>
        </row>
        <row r="303">
          <cell r="C303" t="str">
            <v>Percent ownership</v>
          </cell>
          <cell r="GR303" t="str">
            <v>mstag:percentOwnership</v>
          </cell>
          <cell r="GS303">
            <v>0</v>
          </cell>
          <cell r="GT303" t="str">
            <v>ms_eqr_gcim_Decimal:ms_eqr_gcim_decimal</v>
          </cell>
          <cell r="GU303" t="b">
            <v>0</v>
          </cell>
          <cell r="GV303" t="b">
            <v>0</v>
          </cell>
        </row>
        <row r="304">
          <cell r="C304" t="str">
            <v>Statutory tax rate</v>
          </cell>
          <cell r="G304">
            <v>0</v>
          </cell>
          <cell r="H304">
            <v>0</v>
          </cell>
          <cell r="I304">
            <v>0</v>
          </cell>
          <cell r="J304">
            <v>0</v>
          </cell>
          <cell r="K304">
            <v>0</v>
          </cell>
          <cell r="L304">
            <v>0</v>
          </cell>
          <cell r="M304">
            <v>0</v>
          </cell>
          <cell r="N304">
            <v>0</v>
          </cell>
          <cell r="P304">
            <v>0</v>
          </cell>
          <cell r="Q304">
            <v>0</v>
          </cell>
          <cell r="GR304" t="str">
            <v>mstag:statutoryTaxRate</v>
          </cell>
          <cell r="GS304">
            <v>0</v>
          </cell>
          <cell r="GT304" t="str">
            <v>ms_eqr_gcim_Decimal:ms_eqr_gcim_decimal</v>
          </cell>
          <cell r="GU304" t="b">
            <v>0</v>
          </cell>
          <cell r="GV304" t="b">
            <v>0</v>
          </cell>
        </row>
        <row r="305">
          <cell r="C305" t="str">
            <v>Dividends per share</v>
          </cell>
          <cell r="H305">
            <v>1.1000000000000001</v>
          </cell>
          <cell r="I305">
            <v>1.28</v>
          </cell>
          <cell r="J305">
            <v>1.46</v>
          </cell>
          <cell r="K305">
            <v>1.64</v>
          </cell>
          <cell r="L305">
            <v>1.76</v>
          </cell>
          <cell r="M305">
            <v>1.81</v>
          </cell>
          <cell r="N305">
            <v>1.83</v>
          </cell>
          <cell r="P305">
            <v>1.81</v>
          </cell>
          <cell r="Q305">
            <v>1.83</v>
          </cell>
          <cell r="GS305">
            <v>0</v>
          </cell>
          <cell r="GT305" t="str">
            <v>ISO4217:USD</v>
          </cell>
          <cell r="GU305" t="b">
            <v>0</v>
          </cell>
          <cell r="GV305" t="b">
            <v>0</v>
          </cell>
        </row>
        <row r="306">
          <cell r="B306" t="str">
            <v>Balance sheet</v>
          </cell>
          <cell r="GS306">
            <v>0</v>
          </cell>
          <cell r="GT306" t="str">
            <v>ms_eqr_gcim_String:ms_eqr_gcim_string</v>
          </cell>
          <cell r="GU306" t="b">
            <v>0</v>
          </cell>
          <cell r="GV306" t="b">
            <v>0</v>
          </cell>
        </row>
        <row r="307">
          <cell r="C307" t="str">
            <v>Assets</v>
          </cell>
          <cell r="N307">
            <v>5561.2489999999998</v>
          </cell>
          <cell r="P307">
            <v>5348.8229999999994</v>
          </cell>
          <cell r="Q307">
            <v>5561.2489999999998</v>
          </cell>
          <cell r="GR307" t="str">
            <v>mstag:assets</v>
          </cell>
          <cell r="GS307">
            <v>6</v>
          </cell>
          <cell r="GT307" t="str">
            <v>ISO4217:USD</v>
          </cell>
          <cell r="GU307" t="b">
            <v>0</v>
          </cell>
          <cell r="GV307" t="b">
            <v>0</v>
          </cell>
        </row>
        <row r="308">
          <cell r="D308" t="str">
            <v>Cash and cash equivalents</v>
          </cell>
          <cell r="G308">
            <v>5.3339999999999996</v>
          </cell>
          <cell r="H308">
            <v>10.353</v>
          </cell>
          <cell r="I308">
            <v>6.95</v>
          </cell>
          <cell r="J308">
            <v>18.765000000000001</v>
          </cell>
          <cell r="K308">
            <v>39.191000000000003</v>
          </cell>
          <cell r="L308">
            <v>9.4830000000000005</v>
          </cell>
          <cell r="M308">
            <v>17.414000000000001</v>
          </cell>
          <cell r="N308">
            <v>12.632</v>
          </cell>
          <cell r="P308">
            <v>17.413999999999998</v>
          </cell>
          <cell r="Q308">
            <v>12.632</v>
          </cell>
          <cell r="GR308" t="str">
            <v>mstag:cashAndCashEquivalents</v>
          </cell>
          <cell r="GS308">
            <v>6</v>
          </cell>
          <cell r="GT308" t="str">
            <v>ISO4217:USD</v>
          </cell>
          <cell r="GU308" t="b">
            <v>0</v>
          </cell>
          <cell r="GV308" t="b">
            <v>0</v>
          </cell>
        </row>
        <row r="309">
          <cell r="D309" t="str">
            <v>Restricted cash required for operations</v>
          </cell>
          <cell r="GR309" t="str">
            <v>mstag:restrictedCashRequiredForOperations</v>
          </cell>
          <cell r="GS309">
            <v>6</v>
          </cell>
          <cell r="GT309" t="str">
            <v>ISO4217:USD</v>
          </cell>
          <cell r="GU309" t="b">
            <v>0</v>
          </cell>
          <cell r="GV309" t="b">
            <v>0</v>
          </cell>
        </row>
        <row r="310">
          <cell r="D310" t="str">
            <v>Trade receivables</v>
          </cell>
          <cell r="H310">
            <v>5.9320000000000004</v>
          </cell>
          <cell r="I310">
            <v>9.641</v>
          </cell>
          <cell r="J310">
            <v>26.844000000000001</v>
          </cell>
          <cell r="K310">
            <v>19.454000000000001</v>
          </cell>
          <cell r="L310">
            <v>23.141999999999999</v>
          </cell>
          <cell r="M310">
            <v>15.414999999999999</v>
          </cell>
          <cell r="N310">
            <v>16.215</v>
          </cell>
          <cell r="P310">
            <v>15.414999999999999</v>
          </cell>
          <cell r="Q310">
            <v>16.215</v>
          </cell>
          <cell r="GR310" t="str">
            <v>mstag:tradeReceivables</v>
          </cell>
          <cell r="GS310">
            <v>6</v>
          </cell>
          <cell r="GT310" t="str">
            <v>ISO4217:USD</v>
          </cell>
          <cell r="GU310" t="b">
            <v>0</v>
          </cell>
          <cell r="GV310" t="b">
            <v>0</v>
          </cell>
        </row>
        <row r="311">
          <cell r="E311" t="str">
            <v>Trade receivables, current</v>
          </cell>
          <cell r="H311">
            <v>5.9320000000000004</v>
          </cell>
          <cell r="I311">
            <v>9.641</v>
          </cell>
          <cell r="J311">
            <v>26.844000000000001</v>
          </cell>
          <cell r="K311">
            <v>19.454000000000001</v>
          </cell>
          <cell r="L311">
            <v>23.141999999999999</v>
          </cell>
          <cell r="M311">
            <v>15.414999999999999</v>
          </cell>
          <cell r="N311" t="str">
            <v/>
          </cell>
          <cell r="P311" t="str">
            <v/>
          </cell>
          <cell r="Q311" t="str">
            <v/>
          </cell>
          <cell r="GR311" t="str">
            <v>mstag:tradeReceivablesCurrent</v>
          </cell>
          <cell r="GS311">
            <v>6</v>
          </cell>
          <cell r="GT311" t="str">
            <v>ISO4217:USD</v>
          </cell>
          <cell r="GU311" t="b">
            <v>0</v>
          </cell>
          <cell r="GV311" t="b">
            <v>0</v>
          </cell>
        </row>
        <row r="312">
          <cell r="F312" t="str">
            <v>Trade receivables, gross, current</v>
          </cell>
          <cell r="H312">
            <v>6.3520000000000003</v>
          </cell>
          <cell r="I312">
            <v>10.537000000000001</v>
          </cell>
          <cell r="J312">
            <v>28.619</v>
          </cell>
          <cell r="K312">
            <v>20.994</v>
          </cell>
          <cell r="L312">
            <v>25.962</v>
          </cell>
          <cell r="M312">
            <v>17.422999999999998</v>
          </cell>
          <cell r="GR312" t="str">
            <v>mstag:tradeReceivablesGrossCurrent</v>
          </cell>
          <cell r="GS312">
            <v>6</v>
          </cell>
          <cell r="GT312" t="str">
            <v>ISO4217:USD</v>
          </cell>
          <cell r="GU312" t="b">
            <v>0</v>
          </cell>
          <cell r="GV312" t="b">
            <v>0</v>
          </cell>
        </row>
        <row r="313">
          <cell r="F313" t="str">
            <v>Allowance for doubtful accounts, current</v>
          </cell>
          <cell r="H313">
            <v>0.42</v>
          </cell>
          <cell r="I313">
            <v>0.89600000000000002</v>
          </cell>
          <cell r="J313">
            <v>1.7749999999999999</v>
          </cell>
          <cell r="K313">
            <v>1.54</v>
          </cell>
          <cell r="L313">
            <v>2.82</v>
          </cell>
          <cell r="M313">
            <v>2.008</v>
          </cell>
          <cell r="GR313" t="str">
            <v>mstag:allowanceForDoubtfulAccountsCurrent</v>
          </cell>
          <cell r="GS313">
            <v>6</v>
          </cell>
          <cell r="GT313" t="str">
            <v>ISO4217:USD</v>
          </cell>
          <cell r="GU313" t="b">
            <v>0</v>
          </cell>
          <cell r="GV313" t="b">
            <v>0</v>
          </cell>
        </row>
        <row r="314">
          <cell r="E314" t="str">
            <v>Trade receivables, noncurrent</v>
          </cell>
          <cell r="H314" t="str">
            <v/>
          </cell>
          <cell r="I314" t="str">
            <v/>
          </cell>
          <cell r="J314" t="str">
            <v/>
          </cell>
          <cell r="K314" t="str">
            <v/>
          </cell>
          <cell r="L314" t="str">
            <v/>
          </cell>
          <cell r="M314" t="str">
            <v/>
          </cell>
          <cell r="N314" t="str">
            <v/>
          </cell>
          <cell r="P314" t="str">
            <v/>
          </cell>
          <cell r="Q314" t="str">
            <v/>
          </cell>
          <cell r="GR314" t="str">
            <v>mstag:tradeReceivablesNonCurrent</v>
          </cell>
          <cell r="GS314">
            <v>6</v>
          </cell>
          <cell r="GT314" t="str">
            <v>ISO4217:USD</v>
          </cell>
          <cell r="GU314" t="b">
            <v>0</v>
          </cell>
          <cell r="GV314" t="b">
            <v>0</v>
          </cell>
        </row>
        <row r="315">
          <cell r="F315" t="str">
            <v>Trade receivables, gross, noncurrent</v>
          </cell>
          <cell r="GR315" t="str">
            <v>mstag:tradeReceivablesGrossNonCurrent</v>
          </cell>
          <cell r="GS315">
            <v>6</v>
          </cell>
          <cell r="GT315" t="str">
            <v>ISO4217:USD</v>
          </cell>
          <cell r="GU315" t="b">
            <v>0</v>
          </cell>
          <cell r="GV315" t="b">
            <v>0</v>
          </cell>
        </row>
        <row r="316">
          <cell r="F316" t="str">
            <v>Allowance for doubtful accounts, noncurrent</v>
          </cell>
          <cell r="GR316" t="str">
            <v>mstag:allowanceForDoubtfulAccountsNonCurrent</v>
          </cell>
          <cell r="GS316">
            <v>6</v>
          </cell>
          <cell r="GT316" t="str">
            <v>ISO4217:USD</v>
          </cell>
          <cell r="GU316" t="b">
            <v>0</v>
          </cell>
          <cell r="GV316" t="b">
            <v>0</v>
          </cell>
        </row>
        <row r="317">
          <cell r="D317" t="str">
            <v>Finance lease receivables</v>
          </cell>
          <cell r="H317" t="str">
            <v/>
          </cell>
          <cell r="I317" t="str">
            <v/>
          </cell>
          <cell r="J317" t="str">
            <v/>
          </cell>
          <cell r="K317" t="str">
            <v/>
          </cell>
          <cell r="L317" t="str">
            <v/>
          </cell>
          <cell r="M317" t="str">
            <v/>
          </cell>
          <cell r="N317" t="str">
            <v/>
          </cell>
          <cell r="P317" t="str">
            <v/>
          </cell>
          <cell r="Q317" t="str">
            <v/>
          </cell>
          <cell r="GR317" t="str">
            <v>mstag:financeLeaseReceivables</v>
          </cell>
          <cell r="GS317">
            <v>6</v>
          </cell>
          <cell r="GT317" t="str">
            <v>ISO4217:USD</v>
          </cell>
          <cell r="GU317" t="b">
            <v>0</v>
          </cell>
          <cell r="GV317" t="b">
            <v>0</v>
          </cell>
        </row>
        <row r="318">
          <cell r="E318" t="str">
            <v>Finance lease receivables, current</v>
          </cell>
          <cell r="GR318" t="str">
            <v>mstag:financeLeaseReceivablesCurrent</v>
          </cell>
          <cell r="GS318">
            <v>6</v>
          </cell>
          <cell r="GT318" t="str">
            <v>ISO4217:USD</v>
          </cell>
          <cell r="GU318" t="b">
            <v>0</v>
          </cell>
          <cell r="GV318" t="b">
            <v>0</v>
          </cell>
        </row>
        <row r="319">
          <cell r="E319" t="str">
            <v>Finance lease receivables, noncurrent</v>
          </cell>
          <cell r="GR319" t="str">
            <v>mstag:financeLeaseReceivablesNonCurrent</v>
          </cell>
          <cell r="GS319">
            <v>6</v>
          </cell>
          <cell r="GT319" t="str">
            <v>ISO4217:USD</v>
          </cell>
          <cell r="GU319" t="b">
            <v>0</v>
          </cell>
          <cell r="GV319" t="b">
            <v>0</v>
          </cell>
        </row>
        <row r="320">
          <cell r="D320" t="str">
            <v>Notes receivable</v>
          </cell>
          <cell r="H320" t="str">
            <v/>
          </cell>
          <cell r="I320" t="str">
            <v/>
          </cell>
          <cell r="J320" t="str">
            <v/>
          </cell>
          <cell r="K320" t="str">
            <v/>
          </cell>
          <cell r="L320" t="str">
            <v/>
          </cell>
          <cell r="M320" t="str">
            <v/>
          </cell>
          <cell r="N320" t="str">
            <v/>
          </cell>
          <cell r="P320" t="str">
            <v/>
          </cell>
          <cell r="Q320" t="str">
            <v/>
          </cell>
          <cell r="GR320" t="str">
            <v>mstag:notesReceivable</v>
          </cell>
          <cell r="GS320">
            <v>6</v>
          </cell>
          <cell r="GT320" t="str">
            <v>ISO4217:USD</v>
          </cell>
          <cell r="GU320" t="b">
            <v>0</v>
          </cell>
          <cell r="GV320" t="b">
            <v>0</v>
          </cell>
        </row>
        <row r="321">
          <cell r="E321" t="str">
            <v>Notes receivable, current</v>
          </cell>
          <cell r="GR321" t="str">
            <v>mstag:notesReceivableCurrent</v>
          </cell>
          <cell r="GS321">
            <v>6</v>
          </cell>
          <cell r="GT321" t="str">
            <v>ISO4217:USD</v>
          </cell>
          <cell r="GU321" t="b">
            <v>0</v>
          </cell>
          <cell r="GV321" t="b">
            <v>0</v>
          </cell>
        </row>
        <row r="322">
          <cell r="E322" t="str">
            <v>Notes receivable, noncurrent</v>
          </cell>
          <cell r="GR322" t="str">
            <v>mstag:notesReceivableNonCurrent</v>
          </cell>
          <cell r="GS322">
            <v>6</v>
          </cell>
          <cell r="GT322" t="str">
            <v>ISO4217:USD</v>
          </cell>
          <cell r="GU322" t="b">
            <v>0</v>
          </cell>
          <cell r="GV322" t="b">
            <v>0</v>
          </cell>
        </row>
        <row r="323">
          <cell r="D323" t="str">
            <v>Unbilled receivables</v>
          </cell>
          <cell r="H323" t="str">
            <v/>
          </cell>
          <cell r="I323" t="str">
            <v/>
          </cell>
          <cell r="J323" t="str">
            <v/>
          </cell>
          <cell r="K323" t="str">
            <v/>
          </cell>
          <cell r="L323" t="str">
            <v/>
          </cell>
          <cell r="M323" t="str">
            <v/>
          </cell>
          <cell r="N323" t="str">
            <v/>
          </cell>
          <cell r="P323" t="str">
            <v/>
          </cell>
          <cell r="Q323" t="str">
            <v/>
          </cell>
          <cell r="GR323" t="str">
            <v>mstag:unbilledReceivables</v>
          </cell>
          <cell r="GS323">
            <v>6</v>
          </cell>
          <cell r="GT323" t="str">
            <v>ISO4217:USD</v>
          </cell>
          <cell r="GU323" t="b">
            <v>0</v>
          </cell>
          <cell r="GV323" t="b">
            <v>0</v>
          </cell>
        </row>
        <row r="324">
          <cell r="E324" t="str">
            <v>Unbilled receivables, current</v>
          </cell>
          <cell r="GR324" t="str">
            <v>mstag:unbilledReceivablesCurrent</v>
          </cell>
          <cell r="GS324">
            <v>6</v>
          </cell>
          <cell r="GT324" t="str">
            <v>ISO4217:USD</v>
          </cell>
          <cell r="GU324" t="b">
            <v>0</v>
          </cell>
          <cell r="GV324" t="b">
            <v>0</v>
          </cell>
        </row>
        <row r="325">
          <cell r="E325" t="str">
            <v>Unbilled receivables, noncurrent</v>
          </cell>
          <cell r="GR325" t="str">
            <v>mstag:unbilledReceivablesNonCurrent</v>
          </cell>
          <cell r="GS325">
            <v>6</v>
          </cell>
          <cell r="GT325" t="str">
            <v>ISO4217:USD</v>
          </cell>
          <cell r="GU325" t="b">
            <v>0</v>
          </cell>
          <cell r="GV325" t="b">
            <v>0</v>
          </cell>
        </row>
        <row r="326">
          <cell r="D326" t="str">
            <v>Other receivables</v>
          </cell>
          <cell r="H326">
            <v>37.445999999999998</v>
          </cell>
          <cell r="I326">
            <v>49.494</v>
          </cell>
          <cell r="J326">
            <v>59.307000000000002</v>
          </cell>
          <cell r="K326">
            <v>79.906000000000006</v>
          </cell>
          <cell r="L326">
            <v>72.828000000000003</v>
          </cell>
          <cell r="M326">
            <v>75.242999999999995</v>
          </cell>
          <cell r="N326">
            <v>115.95399999999999</v>
          </cell>
          <cell r="P326">
            <v>75.242999999999995</v>
          </cell>
          <cell r="Q326">
            <v>115.95399999999999</v>
          </cell>
          <cell r="GR326" t="str">
            <v>mstag:otherReceivables</v>
          </cell>
          <cell r="GS326">
            <v>6</v>
          </cell>
          <cell r="GT326" t="str">
            <v>ISO4217:USD</v>
          </cell>
          <cell r="GU326" t="b">
            <v>0</v>
          </cell>
          <cell r="GV326" t="b">
            <v>0</v>
          </cell>
        </row>
        <row r="327">
          <cell r="E327" t="str">
            <v>Other receivables, current</v>
          </cell>
          <cell r="H327">
            <v>37.445999999999998</v>
          </cell>
          <cell r="I327">
            <v>49.494</v>
          </cell>
          <cell r="J327">
            <v>59.307000000000002</v>
          </cell>
          <cell r="K327">
            <v>79.906000000000006</v>
          </cell>
          <cell r="L327">
            <v>72.828000000000003</v>
          </cell>
          <cell r="M327">
            <v>75.242999999999995</v>
          </cell>
          <cell r="GR327" t="str">
            <v>mstag:otherReceivablesCurrent</v>
          </cell>
          <cell r="GS327">
            <v>6</v>
          </cell>
          <cell r="GT327" t="str">
            <v>ISO4217:USD</v>
          </cell>
          <cell r="GU327" t="b">
            <v>0</v>
          </cell>
          <cell r="GV327" t="b">
            <v>0</v>
          </cell>
        </row>
        <row r="328">
          <cell r="E328" t="str">
            <v>Other receivables, noncurrent</v>
          </cell>
          <cell r="GR328" t="str">
            <v>mstag:otherReceivablesNonCurrent</v>
          </cell>
          <cell r="GS328">
            <v>6</v>
          </cell>
          <cell r="GT328" t="str">
            <v>ISO4217:USD</v>
          </cell>
          <cell r="GU328" t="b">
            <v>0</v>
          </cell>
          <cell r="GV328" t="b">
            <v>0</v>
          </cell>
        </row>
        <row r="329">
          <cell r="D329" t="str">
            <v>Prepaid expenses</v>
          </cell>
          <cell r="H329" t="str">
            <v/>
          </cell>
          <cell r="I329" t="str">
            <v/>
          </cell>
          <cell r="J329" t="str">
            <v/>
          </cell>
          <cell r="K329" t="str">
            <v/>
          </cell>
          <cell r="L329" t="str">
            <v/>
          </cell>
          <cell r="M329" t="str">
            <v/>
          </cell>
          <cell r="N329" t="str">
            <v/>
          </cell>
          <cell r="P329" t="str">
            <v/>
          </cell>
          <cell r="Q329" t="str">
            <v/>
          </cell>
          <cell r="GR329" t="str">
            <v>mstag:prepaidExpenses</v>
          </cell>
          <cell r="GS329">
            <v>6</v>
          </cell>
          <cell r="GT329" t="str">
            <v>ISO4217:USD</v>
          </cell>
          <cell r="GU329" t="b">
            <v>0</v>
          </cell>
          <cell r="GV329" t="b">
            <v>0</v>
          </cell>
        </row>
        <row r="330">
          <cell r="E330" t="str">
            <v>Prepaid expenses, current</v>
          </cell>
          <cell r="GR330" t="str">
            <v>mstag:prepaidExpensesCurrent</v>
          </cell>
          <cell r="GS330">
            <v>6</v>
          </cell>
          <cell r="GT330" t="str">
            <v>ISO4217:USD</v>
          </cell>
          <cell r="GU330" t="b">
            <v>0</v>
          </cell>
          <cell r="GV330" t="b">
            <v>0</v>
          </cell>
        </row>
        <row r="331">
          <cell r="E331" t="str">
            <v>Prepaid expenses, noncurrent</v>
          </cell>
          <cell r="GR331" t="str">
            <v>mstag:prepaidExpensesNonCurrent</v>
          </cell>
          <cell r="GS331">
            <v>6</v>
          </cell>
          <cell r="GT331" t="str">
            <v>ISO4217:USD</v>
          </cell>
          <cell r="GU331" t="b">
            <v>0</v>
          </cell>
          <cell r="GV331" t="b">
            <v>0</v>
          </cell>
        </row>
        <row r="332">
          <cell r="D332" t="str">
            <v>Income tax receivable</v>
          </cell>
          <cell r="H332" t="str">
            <v/>
          </cell>
          <cell r="I332" t="str">
            <v/>
          </cell>
          <cell r="J332" t="str">
            <v/>
          </cell>
          <cell r="K332" t="str">
            <v/>
          </cell>
          <cell r="L332" t="str">
            <v/>
          </cell>
          <cell r="M332" t="str">
            <v/>
          </cell>
          <cell r="N332" t="str">
            <v/>
          </cell>
          <cell r="P332" t="str">
            <v/>
          </cell>
          <cell r="Q332" t="str">
            <v/>
          </cell>
          <cell r="GR332" t="str">
            <v>mstag:incomeTaxReceivable</v>
          </cell>
          <cell r="GS332">
            <v>6</v>
          </cell>
          <cell r="GT332" t="str">
            <v>ISO4217:USD</v>
          </cell>
          <cell r="GU332" t="b">
            <v>0</v>
          </cell>
          <cell r="GV332" t="b">
            <v>0</v>
          </cell>
        </row>
        <row r="333">
          <cell r="E333" t="str">
            <v>Income tax receivable, operating</v>
          </cell>
          <cell r="GR333" t="str">
            <v>mstag:incomeTaxReceivableOperating</v>
          </cell>
          <cell r="GS333">
            <v>6</v>
          </cell>
          <cell r="GT333" t="str">
            <v>ISO4217:USD</v>
          </cell>
          <cell r="GU333" t="b">
            <v>0</v>
          </cell>
          <cell r="GV333" t="b">
            <v>0</v>
          </cell>
        </row>
        <row r="334">
          <cell r="E334" t="str">
            <v>Income tax receivable, financing</v>
          </cell>
          <cell r="GR334" t="str">
            <v>mstag:incomeTaxReceivableFinancing</v>
          </cell>
          <cell r="GS334">
            <v>6</v>
          </cell>
          <cell r="GT334" t="str">
            <v>ISO4217:USD</v>
          </cell>
          <cell r="GU334" t="b">
            <v>0</v>
          </cell>
          <cell r="GV334" t="b">
            <v>0</v>
          </cell>
        </row>
        <row r="335">
          <cell r="E335" t="str">
            <v>Income tax receivable, other</v>
          </cell>
          <cell r="GR335" t="str">
            <v>mstag:incomeTaxReceivableOther</v>
          </cell>
          <cell r="GS335">
            <v>6</v>
          </cell>
          <cell r="GT335" t="str">
            <v>ISO4217:USD</v>
          </cell>
          <cell r="GU335" t="b">
            <v>0</v>
          </cell>
          <cell r="GV335" t="b">
            <v>0</v>
          </cell>
        </row>
        <row r="336">
          <cell r="D336" t="str">
            <v>Trading properties</v>
          </cell>
          <cell r="H336" t="str">
            <v/>
          </cell>
          <cell r="I336" t="str">
            <v/>
          </cell>
          <cell r="J336" t="str">
            <v/>
          </cell>
          <cell r="K336" t="str">
            <v/>
          </cell>
          <cell r="L336" t="str">
            <v/>
          </cell>
          <cell r="M336" t="str">
            <v/>
          </cell>
          <cell r="N336" t="str">
            <v/>
          </cell>
          <cell r="P336" t="str">
            <v/>
          </cell>
          <cell r="Q336" t="str">
            <v/>
          </cell>
          <cell r="GR336" t="str">
            <v>mstag:tradingProperties</v>
          </cell>
          <cell r="GS336">
            <v>6</v>
          </cell>
          <cell r="GT336" t="str">
            <v>ISO4217:USD</v>
          </cell>
          <cell r="GU336" t="b">
            <v>0</v>
          </cell>
          <cell r="GV336" t="b">
            <v>0</v>
          </cell>
        </row>
        <row r="337">
          <cell r="E337" t="str">
            <v>Land held for trading</v>
          </cell>
          <cell r="GR337" t="str">
            <v>mstag:landHeldForTrading</v>
          </cell>
          <cell r="GS337">
            <v>6</v>
          </cell>
          <cell r="GT337" t="str">
            <v>ISO4217:USD</v>
          </cell>
          <cell r="GU337" t="b">
            <v>0</v>
          </cell>
          <cell r="GV337" t="b">
            <v>0</v>
          </cell>
        </row>
        <row r="338">
          <cell r="E338" t="str">
            <v>Properties held for trading</v>
          </cell>
          <cell r="GR338" t="str">
            <v>mstag:propertiesHeldForTrading</v>
          </cell>
          <cell r="GS338">
            <v>6</v>
          </cell>
          <cell r="GT338" t="str">
            <v>ISO4217:USD</v>
          </cell>
          <cell r="GU338" t="b">
            <v>0</v>
          </cell>
          <cell r="GV338" t="b">
            <v>0</v>
          </cell>
        </row>
        <row r="339">
          <cell r="D339" t="str">
            <v>Investment properties</v>
          </cell>
          <cell r="G339">
            <v>0</v>
          </cell>
          <cell r="H339">
            <v>1954.0130000000001</v>
          </cell>
          <cell r="I339">
            <v>2556.7529999999997</v>
          </cell>
          <cell r="J339">
            <v>5046.8090000000002</v>
          </cell>
          <cell r="K339">
            <v>4706.8540000000003</v>
          </cell>
          <cell r="L339">
            <v>4703.7460000000001</v>
          </cell>
          <cell r="M339">
            <v>4702.7879999999996</v>
          </cell>
          <cell r="N339">
            <v>4851.2479999999996</v>
          </cell>
          <cell r="P339">
            <v>4702.7879999999996</v>
          </cell>
          <cell r="Q339">
            <v>4851.2479999999996</v>
          </cell>
          <cell r="GR339" t="str">
            <v>mstag:investmentProperties</v>
          </cell>
          <cell r="GS339">
            <v>6</v>
          </cell>
          <cell r="GT339" t="str">
            <v>ISO4217:USD</v>
          </cell>
          <cell r="GU339" t="b">
            <v>0</v>
          </cell>
          <cell r="GV339" t="b">
            <v>0</v>
          </cell>
        </row>
        <row r="340">
          <cell r="E340" t="str">
            <v>Land held for investment</v>
          </cell>
          <cell r="H340">
            <v>371.43100000000004</v>
          </cell>
          <cell r="I340">
            <v>458.93299999999999</v>
          </cell>
          <cell r="J340">
            <v>849.322</v>
          </cell>
          <cell r="K340">
            <v>839.30899999999997</v>
          </cell>
          <cell r="L340">
            <v>906.43700000000001</v>
          </cell>
          <cell r="M340">
            <v>935.53</v>
          </cell>
          <cell r="N340">
            <v>956.54</v>
          </cell>
          <cell r="P340">
            <v>935.53</v>
          </cell>
          <cell r="Q340">
            <v>956.54</v>
          </cell>
          <cell r="GR340" t="str">
            <v>mstag:landInvestmentProperties</v>
          </cell>
          <cell r="GS340">
            <v>6</v>
          </cell>
          <cell r="GT340" t="str">
            <v>ISO4217:USD</v>
          </cell>
          <cell r="GU340" t="b">
            <v>0</v>
          </cell>
          <cell r="GV340" t="b">
            <v>0</v>
          </cell>
        </row>
        <row r="341">
          <cell r="E341" t="str">
            <v>Properties not for sale or development, net</v>
          </cell>
          <cell r="H341">
            <v>1475.3400000000001</v>
          </cell>
          <cell r="I341">
            <v>1911.8700000000001</v>
          </cell>
          <cell r="J341">
            <v>3869.5430000000001</v>
          </cell>
          <cell r="K341">
            <v>3650.607</v>
          </cell>
          <cell r="L341">
            <v>3643.223</v>
          </cell>
          <cell r="M341">
            <v>3681.5019999999995</v>
          </cell>
          <cell r="N341">
            <v>3775.2669999999998</v>
          </cell>
          <cell r="P341">
            <v>3681.502</v>
          </cell>
          <cell r="Q341">
            <v>3775.2669999999998</v>
          </cell>
          <cell r="GR341" t="str">
            <v>mstag:propertiesNotForSaleOrDevelopment</v>
          </cell>
          <cell r="GS341">
            <v>6</v>
          </cell>
          <cell r="GT341" t="str">
            <v>ISO4217:USD</v>
          </cell>
          <cell r="GU341" t="b">
            <v>0</v>
          </cell>
          <cell r="GV341" t="b">
            <v>0</v>
          </cell>
        </row>
        <row r="342">
          <cell r="F342" t="str">
            <v>Properties not for sale or development, gross</v>
          </cell>
          <cell r="H342">
            <v>1591.604</v>
          </cell>
          <cell r="I342">
            <v>2091.7570000000001</v>
          </cell>
          <cell r="J342">
            <v>4124.1170000000002</v>
          </cell>
          <cell r="K342">
            <v>3989.0329999999999</v>
          </cell>
          <cell r="L342">
            <v>4068.944</v>
          </cell>
          <cell r="M342">
            <v>4237.3599999999997</v>
          </cell>
          <cell r="N342">
            <v>4452.6239999999998</v>
          </cell>
          <cell r="P342">
            <v>4237.3599999999997</v>
          </cell>
          <cell r="Q342">
            <v>4452.6239999999998</v>
          </cell>
          <cell r="GR342" t="str">
            <v>mstag:propertiesNotForSaleOrDevelopmentGross</v>
          </cell>
          <cell r="GS342">
            <v>6</v>
          </cell>
          <cell r="GT342" t="str">
            <v>ISO4217:USD</v>
          </cell>
          <cell r="GU342" t="b">
            <v>0</v>
          </cell>
          <cell r="GV342" t="b">
            <v>0</v>
          </cell>
        </row>
        <row r="343">
          <cell r="F343" t="str">
            <v>Accumulated depreciation on properties not for sale or development</v>
          </cell>
          <cell r="H343">
            <v>116.264</v>
          </cell>
          <cell r="I343">
            <v>179.887</v>
          </cell>
          <cell r="J343">
            <v>254.57400000000001</v>
          </cell>
          <cell r="K343">
            <v>338.42599999999999</v>
          </cell>
          <cell r="L343">
            <v>425.721</v>
          </cell>
          <cell r="M343">
            <v>555.85799999999995</v>
          </cell>
          <cell r="N343">
            <v>677.35699999999997</v>
          </cell>
          <cell r="P343">
            <v>555.85799999999995</v>
          </cell>
          <cell r="Q343">
            <v>677.35699999999997</v>
          </cell>
          <cell r="GR343" t="str">
            <v>mstag:accumulatedDepreciationOnPropertiesNotForSaleOrDevelopment</v>
          </cell>
          <cell r="GS343">
            <v>6</v>
          </cell>
          <cell r="GT343" t="str">
            <v>ISO4217:USD</v>
          </cell>
          <cell r="GU343" t="b">
            <v>0</v>
          </cell>
          <cell r="GV343" t="b">
            <v>0</v>
          </cell>
        </row>
        <row r="344">
          <cell r="E344" t="str">
            <v>Properties held for sale</v>
          </cell>
          <cell r="GR344" t="str">
            <v>mstag:propertiesForSale</v>
          </cell>
          <cell r="GS344">
            <v>6</v>
          </cell>
          <cell r="GT344" t="str">
            <v>ISO4217:USD</v>
          </cell>
          <cell r="GU344" t="b">
            <v>0</v>
          </cell>
          <cell r="GV344" t="b">
            <v>0</v>
          </cell>
        </row>
        <row r="345">
          <cell r="E345" t="str">
            <v>Development properties</v>
          </cell>
          <cell r="H345">
            <v>107.242</v>
          </cell>
          <cell r="I345">
            <v>185.95</v>
          </cell>
          <cell r="J345">
            <v>327.94400000000002</v>
          </cell>
          <cell r="K345">
            <v>216.93799999999999</v>
          </cell>
          <cell r="L345">
            <v>154.08600000000001</v>
          </cell>
          <cell r="M345">
            <v>85.756</v>
          </cell>
          <cell r="N345">
            <v>119.44099999999999</v>
          </cell>
          <cell r="P345">
            <v>85.756</v>
          </cell>
          <cell r="Q345">
            <v>119.44099999999999</v>
          </cell>
          <cell r="GR345" t="str">
            <v>mstag:developmentProperties</v>
          </cell>
          <cell r="GS345">
            <v>6</v>
          </cell>
          <cell r="GT345" t="str">
            <v>ISO4217:USD</v>
          </cell>
          <cell r="GU345" t="b">
            <v>0</v>
          </cell>
          <cell r="GV345" t="b">
            <v>0</v>
          </cell>
        </row>
        <row r="346">
          <cell r="D346" t="str">
            <v>Property, plant, and equipment, net</v>
          </cell>
          <cell r="GR346" t="str">
            <v>mstag:propertyPlantAndEquipmentNet</v>
          </cell>
          <cell r="GS346">
            <v>6</v>
          </cell>
          <cell r="GT346" t="str">
            <v>ISO4217:USD</v>
          </cell>
          <cell r="GU346" t="b">
            <v>0</v>
          </cell>
          <cell r="GV346" t="b">
            <v>0</v>
          </cell>
        </row>
        <row r="347">
          <cell r="D347" t="str">
            <v>Goodwill</v>
          </cell>
          <cell r="H347" t="str">
            <v/>
          </cell>
          <cell r="I347" t="str">
            <v/>
          </cell>
          <cell r="J347" t="str">
            <v/>
          </cell>
          <cell r="K347" t="str">
            <v/>
          </cell>
          <cell r="L347" t="str">
            <v/>
          </cell>
          <cell r="M347" t="str">
            <v/>
          </cell>
          <cell r="N347" t="str">
            <v/>
          </cell>
          <cell r="P347" t="str">
            <v/>
          </cell>
          <cell r="Q347" t="str">
            <v/>
          </cell>
          <cell r="GR347" t="str">
            <v>mstag:goodwill</v>
          </cell>
          <cell r="GS347">
            <v>6</v>
          </cell>
          <cell r="GT347" t="str">
            <v>ISO4217:USD</v>
          </cell>
          <cell r="GU347" t="b">
            <v>0</v>
          </cell>
          <cell r="GV347" t="b">
            <v>0</v>
          </cell>
        </row>
        <row r="348">
          <cell r="E348" t="str">
            <v>Gross goodwill</v>
          </cell>
          <cell r="GR348" t="str">
            <v>mstag:grossGoodwill</v>
          </cell>
          <cell r="GS348">
            <v>6</v>
          </cell>
          <cell r="GT348" t="str">
            <v>ISO4217:USD</v>
          </cell>
          <cell r="GU348" t="b">
            <v>0</v>
          </cell>
          <cell r="GV348" t="b">
            <v>0</v>
          </cell>
        </row>
        <row r="349">
          <cell r="E349" t="str">
            <v>Accumulated amortization of goodwill</v>
          </cell>
          <cell r="GR349" t="str">
            <v>mstag:accumulatedAmortizationOfGoodwill</v>
          </cell>
          <cell r="GS349">
            <v>6</v>
          </cell>
          <cell r="GT349" t="str">
            <v>ISO4217:USD</v>
          </cell>
          <cell r="GU349" t="b">
            <v>0</v>
          </cell>
          <cell r="GV349" t="b">
            <v>0</v>
          </cell>
        </row>
        <row r="350">
          <cell r="D350" t="str">
            <v>Other intangible assets</v>
          </cell>
          <cell r="H350" t="str">
            <v/>
          </cell>
          <cell r="I350" t="str">
            <v/>
          </cell>
          <cell r="J350" t="str">
            <v/>
          </cell>
          <cell r="K350" t="str">
            <v/>
          </cell>
          <cell r="L350" t="str">
            <v/>
          </cell>
          <cell r="M350" t="str">
            <v/>
          </cell>
          <cell r="N350" t="str">
            <v/>
          </cell>
          <cell r="P350" t="str">
            <v/>
          </cell>
          <cell r="Q350" t="str">
            <v/>
          </cell>
          <cell r="GR350" t="str">
            <v>mstag:otherIntangibleAssets</v>
          </cell>
          <cell r="GS350">
            <v>6</v>
          </cell>
          <cell r="GT350" t="str">
            <v>ISO4217:USD</v>
          </cell>
          <cell r="GU350" t="b">
            <v>0</v>
          </cell>
          <cell r="GV350" t="b">
            <v>0</v>
          </cell>
        </row>
        <row r="351">
          <cell r="E351" t="str">
            <v>Other finite life intangible assets</v>
          </cell>
          <cell r="GR351" t="str">
            <v>mstag:otherFiniteLifeIntangibleAssets</v>
          </cell>
          <cell r="GS351">
            <v>6</v>
          </cell>
          <cell r="GT351" t="str">
            <v>ISO4217:USD</v>
          </cell>
          <cell r="GU351" t="b">
            <v>0</v>
          </cell>
          <cell r="GV351" t="b">
            <v>0</v>
          </cell>
        </row>
        <row r="352">
          <cell r="E352" t="str">
            <v>Other indefinite life intangible assets</v>
          </cell>
          <cell r="GR352" t="str">
            <v>mstag:otherIndefiniteLifeIntangibleAssets</v>
          </cell>
          <cell r="GS352">
            <v>6</v>
          </cell>
          <cell r="GT352" t="str">
            <v>ISO4217:USD</v>
          </cell>
          <cell r="GU352" t="b">
            <v>0</v>
          </cell>
          <cell r="GV352" t="b">
            <v>0</v>
          </cell>
        </row>
        <row r="353">
          <cell r="D353" t="str">
            <v>Investments, nonoperating</v>
          </cell>
          <cell r="H353" t="str">
            <v/>
          </cell>
          <cell r="I353" t="str">
            <v/>
          </cell>
          <cell r="J353" t="str">
            <v/>
          </cell>
          <cell r="K353" t="str">
            <v/>
          </cell>
          <cell r="L353" t="str">
            <v/>
          </cell>
          <cell r="M353" t="str">
            <v/>
          </cell>
          <cell r="N353" t="str">
            <v/>
          </cell>
          <cell r="P353" t="str">
            <v/>
          </cell>
          <cell r="Q353" t="str">
            <v/>
          </cell>
          <cell r="GR353" t="str">
            <v>mstag:investmentsNonOperating</v>
          </cell>
          <cell r="GS353">
            <v>6</v>
          </cell>
          <cell r="GT353" t="str">
            <v>ISO4217:USD</v>
          </cell>
          <cell r="GU353" t="b">
            <v>0</v>
          </cell>
          <cell r="GV353" t="b">
            <v>0</v>
          </cell>
        </row>
        <row r="354">
          <cell r="E354" t="str">
            <v>Short-term investments</v>
          </cell>
          <cell r="GR354" t="str">
            <v>mstag:shortTermInvestments</v>
          </cell>
          <cell r="GS354">
            <v>6</v>
          </cell>
          <cell r="GT354" t="str">
            <v>ISO4217:USD</v>
          </cell>
          <cell r="GU354" t="b">
            <v>0</v>
          </cell>
          <cell r="GV354" t="b">
            <v>0</v>
          </cell>
        </row>
        <row r="355">
          <cell r="E355" t="str">
            <v>Long-term investments, nonoperating</v>
          </cell>
          <cell r="GR355" t="str">
            <v>mstag:longTermInvestmentsNonOperating</v>
          </cell>
          <cell r="GS355">
            <v>6</v>
          </cell>
          <cell r="GT355" t="str">
            <v>ISO4217:USD</v>
          </cell>
          <cell r="GU355" t="b">
            <v>0</v>
          </cell>
          <cell r="GV355" t="b">
            <v>0</v>
          </cell>
        </row>
        <row r="356">
          <cell r="D356" t="str">
            <v>Investments under the equity method, operating</v>
          </cell>
          <cell r="H356">
            <v>106.45</v>
          </cell>
          <cell r="I356">
            <v>125.746</v>
          </cell>
          <cell r="J356">
            <v>145.58699999999999</v>
          </cell>
          <cell r="K356">
            <v>367.58100000000002</v>
          </cell>
          <cell r="L356">
            <v>323.68200000000002</v>
          </cell>
          <cell r="M356">
            <v>315.589</v>
          </cell>
          <cell r="N356">
            <v>295.83699999999999</v>
          </cell>
          <cell r="P356">
            <v>315.589</v>
          </cell>
          <cell r="Q356">
            <v>295.83699999999999</v>
          </cell>
          <cell r="GR356" t="str">
            <v>mstag:investmentsUnderTheEquityMethodOperating</v>
          </cell>
          <cell r="GS356">
            <v>6</v>
          </cell>
          <cell r="GT356" t="str">
            <v>ISO4217:USD</v>
          </cell>
          <cell r="GU356" t="b">
            <v>0</v>
          </cell>
          <cell r="GV356" t="b">
            <v>0</v>
          </cell>
        </row>
        <row r="357">
          <cell r="E357" t="str">
            <v>Investments in subsidiaries</v>
          </cell>
          <cell r="GR357" t="str">
            <v>mstag:investmentsInSubsidiaries</v>
          </cell>
          <cell r="GS357">
            <v>6</v>
          </cell>
          <cell r="GT357" t="str">
            <v>ISO4217:USD</v>
          </cell>
          <cell r="GU357" t="b">
            <v>0</v>
          </cell>
          <cell r="GV357" t="b">
            <v>0</v>
          </cell>
        </row>
        <row r="358">
          <cell r="E358" t="str">
            <v>Investments in associates</v>
          </cell>
          <cell r="GR358" t="str">
            <v>mstag:investmentsInAssociates</v>
          </cell>
          <cell r="GS358">
            <v>6</v>
          </cell>
          <cell r="GT358" t="str">
            <v>ISO4217:USD</v>
          </cell>
          <cell r="GU358" t="b">
            <v>0</v>
          </cell>
          <cell r="GV358" t="b">
            <v>0</v>
          </cell>
        </row>
        <row r="359">
          <cell r="E359" t="str">
            <v>Investments in joint ventures</v>
          </cell>
          <cell r="H359">
            <v>106.45</v>
          </cell>
          <cell r="I359">
            <v>125.746</v>
          </cell>
          <cell r="J359">
            <v>145.58699999999999</v>
          </cell>
          <cell r="K359">
            <v>367.58100000000002</v>
          </cell>
          <cell r="L359">
            <v>323.68200000000002</v>
          </cell>
          <cell r="M359">
            <v>315.589</v>
          </cell>
          <cell r="GR359" t="str">
            <v>mstag:investmentsInJointVentures</v>
          </cell>
          <cell r="GS359">
            <v>6</v>
          </cell>
          <cell r="GT359" t="str">
            <v>ISO4217:USD</v>
          </cell>
          <cell r="GU359" t="b">
            <v>0</v>
          </cell>
          <cell r="GV359" t="b">
            <v>0</v>
          </cell>
        </row>
        <row r="360">
          <cell r="D360" t="str">
            <v>Investments under the equity method, nonoperating</v>
          </cell>
          <cell r="GR360" t="str">
            <v>mstag:investmentsUnderTheEquityMethodNonOperating</v>
          </cell>
          <cell r="GS360">
            <v>6</v>
          </cell>
          <cell r="GT360" t="str">
            <v>ISO4217:USD</v>
          </cell>
          <cell r="GU360" t="b">
            <v>0</v>
          </cell>
          <cell r="GV360" t="b">
            <v>0</v>
          </cell>
        </row>
        <row r="361">
          <cell r="D361" t="str">
            <v>Deferred tax assets</v>
          </cell>
          <cell r="H361" t="str">
            <v/>
          </cell>
          <cell r="I361" t="str">
            <v/>
          </cell>
          <cell r="J361" t="str">
            <v/>
          </cell>
          <cell r="K361" t="str">
            <v/>
          </cell>
          <cell r="L361" t="str">
            <v/>
          </cell>
          <cell r="M361" t="str">
            <v/>
          </cell>
          <cell r="N361" t="str">
            <v/>
          </cell>
          <cell r="P361" t="str">
            <v/>
          </cell>
          <cell r="Q361" t="str">
            <v/>
          </cell>
          <cell r="GR361" t="str">
            <v>mstag:deferredTaxAssets</v>
          </cell>
          <cell r="GS361">
            <v>6</v>
          </cell>
          <cell r="GT361" t="str">
            <v>ISO4217:USD</v>
          </cell>
          <cell r="GU361" t="b">
            <v>0</v>
          </cell>
          <cell r="GV361" t="b">
            <v>0</v>
          </cell>
        </row>
        <row r="362">
          <cell r="E362" t="str">
            <v>Deferred tax assets, current</v>
          </cell>
          <cell r="GR362" t="str">
            <v>mstag:deferredTaxAssetsCurrent</v>
          </cell>
          <cell r="GS362">
            <v>6</v>
          </cell>
          <cell r="GT362" t="str">
            <v>ISO4217:USD</v>
          </cell>
          <cell r="GU362" t="b">
            <v>0</v>
          </cell>
          <cell r="GV362" t="b">
            <v>0</v>
          </cell>
        </row>
        <row r="363">
          <cell r="E363" t="str">
            <v>Deferred tax assets, noncurrent</v>
          </cell>
          <cell r="GR363" t="str">
            <v>mstag:deferredTaxAssetsNonCurrent</v>
          </cell>
          <cell r="GS363">
            <v>6</v>
          </cell>
          <cell r="GT363" t="str">
            <v>ISO4217:USD</v>
          </cell>
          <cell r="GU363" t="b">
            <v>0</v>
          </cell>
          <cell r="GV363" t="b">
            <v>0</v>
          </cell>
        </row>
        <row r="364">
          <cell r="D364" t="str">
            <v>Pension and other postretirement assets</v>
          </cell>
          <cell r="GR364" t="str">
            <v>mstag:pensionAndOtherPostRetirementAssets</v>
          </cell>
          <cell r="GS364">
            <v>6</v>
          </cell>
          <cell r="GT364" t="str">
            <v>ISO4217:USD</v>
          </cell>
          <cell r="GU364" t="b">
            <v>0</v>
          </cell>
          <cell r="GV364" t="b">
            <v>0</v>
          </cell>
        </row>
        <row r="365">
          <cell r="D365" t="str">
            <v>Investment in own shares, asset</v>
          </cell>
          <cell r="H365" t="str">
            <v/>
          </cell>
          <cell r="I365" t="str">
            <v/>
          </cell>
          <cell r="J365" t="str">
            <v/>
          </cell>
          <cell r="K365" t="str">
            <v/>
          </cell>
          <cell r="L365" t="str">
            <v/>
          </cell>
          <cell r="M365" t="str">
            <v/>
          </cell>
          <cell r="N365" t="str">
            <v/>
          </cell>
          <cell r="P365" t="str">
            <v/>
          </cell>
          <cell r="Q365" t="str">
            <v/>
          </cell>
          <cell r="GR365" t="str">
            <v>mstag:investmentInOwnSharesAsset</v>
          </cell>
          <cell r="GS365">
            <v>6</v>
          </cell>
          <cell r="GT365" t="str">
            <v>ISO4217:USD</v>
          </cell>
          <cell r="GU365" t="b">
            <v>0</v>
          </cell>
          <cell r="GV365" t="b">
            <v>0</v>
          </cell>
        </row>
        <row r="366">
          <cell r="E366" t="str">
            <v>Investment in ESOP trusts</v>
          </cell>
          <cell r="GR366" t="str">
            <v>mstag:investmentInEsopTrusts</v>
          </cell>
          <cell r="GS366">
            <v>6</v>
          </cell>
          <cell r="GT366" t="str">
            <v>ISO4217:USD</v>
          </cell>
          <cell r="GU366" t="b">
            <v>0</v>
          </cell>
          <cell r="GV366" t="b">
            <v>0</v>
          </cell>
        </row>
        <row r="367">
          <cell r="D367" t="str">
            <v>Other assets, operating</v>
          </cell>
          <cell r="H367">
            <v>15.265000000000001</v>
          </cell>
          <cell r="I367">
            <v>40.405999999999999</v>
          </cell>
          <cell r="J367">
            <v>89.122</v>
          </cell>
          <cell r="K367">
            <v>132.09700000000001</v>
          </cell>
          <cell r="L367">
            <v>87.484999999999999</v>
          </cell>
          <cell r="M367">
            <v>98.108999999999995</v>
          </cell>
          <cell r="N367">
            <v>97.38</v>
          </cell>
          <cell r="P367">
            <v>98.108999999999995</v>
          </cell>
          <cell r="Q367">
            <v>97.38</v>
          </cell>
          <cell r="GR367" t="str">
            <v>mstag:otherAssets</v>
          </cell>
          <cell r="GS367">
            <v>6</v>
          </cell>
          <cell r="GT367" t="str">
            <v>ISO4217:USD</v>
          </cell>
          <cell r="GU367" t="b">
            <v>0</v>
          </cell>
          <cell r="GV367" t="b">
            <v>0</v>
          </cell>
        </row>
        <row r="368">
          <cell r="E368" t="str">
            <v>Other assets, operating, current</v>
          </cell>
          <cell r="GR368" t="str">
            <v>mstag:otherAssetsOperatingCurrent</v>
          </cell>
          <cell r="GS368">
            <v>6</v>
          </cell>
          <cell r="GT368" t="str">
            <v>ISO4217:USD</v>
          </cell>
          <cell r="GU368" t="b">
            <v>0</v>
          </cell>
          <cell r="GV368" t="b">
            <v>0</v>
          </cell>
        </row>
        <row r="369">
          <cell r="E369" t="str">
            <v>Other assets, operating, noncurrent</v>
          </cell>
          <cell r="H369">
            <v>15.265000000000001</v>
          </cell>
          <cell r="I369">
            <v>40.405999999999999</v>
          </cell>
          <cell r="J369">
            <v>89.122</v>
          </cell>
          <cell r="K369">
            <v>132.09700000000001</v>
          </cell>
          <cell r="L369">
            <v>87.484999999999999</v>
          </cell>
          <cell r="M369">
            <v>98.108999999999995</v>
          </cell>
          <cell r="GR369" t="str">
            <v>mstag:otherAssetsOperatingNonCurrent</v>
          </cell>
          <cell r="GS369">
            <v>6</v>
          </cell>
          <cell r="GT369" t="str">
            <v>ISO4217:USD</v>
          </cell>
          <cell r="GU369" t="b">
            <v>0</v>
          </cell>
          <cell r="GV369" t="b">
            <v>0</v>
          </cell>
        </row>
        <row r="370">
          <cell r="D370" t="str">
            <v>Other assets, nonoperating</v>
          </cell>
          <cell r="H370">
            <v>46.754999999999995</v>
          </cell>
          <cell r="I370">
            <v>64.662999999999997</v>
          </cell>
          <cell r="J370">
            <v>99.804000000000002</v>
          </cell>
          <cell r="K370">
            <v>114.953</v>
          </cell>
          <cell r="L370">
            <v>109.667</v>
          </cell>
          <cell r="M370">
            <v>124.265</v>
          </cell>
          <cell r="N370">
            <v>171.983</v>
          </cell>
          <cell r="P370">
            <v>124.265</v>
          </cell>
          <cell r="Q370">
            <v>171.983</v>
          </cell>
          <cell r="GR370" t="str">
            <v>mstag:otherAssetsNonOperating</v>
          </cell>
          <cell r="GS370">
            <v>6</v>
          </cell>
          <cell r="GT370" t="str">
            <v>ISO4217:USD</v>
          </cell>
          <cell r="GU370" t="b">
            <v>0</v>
          </cell>
          <cell r="GV370" t="b">
            <v>0</v>
          </cell>
        </row>
        <row r="371">
          <cell r="E371" t="str">
            <v>Other assets, nonoperating, current</v>
          </cell>
          <cell r="GR371" t="str">
            <v>mstag:otherAssetsNonOperatingCurrent</v>
          </cell>
          <cell r="GS371">
            <v>6</v>
          </cell>
          <cell r="GT371" t="str">
            <v>ISO4217:USD</v>
          </cell>
          <cell r="GU371" t="b">
            <v>0</v>
          </cell>
          <cell r="GV371" t="b">
            <v>0</v>
          </cell>
        </row>
        <row r="372">
          <cell r="E372" t="str">
            <v>Other assets, nonoperating, noncurrent</v>
          </cell>
          <cell r="H372">
            <v>46.754999999999995</v>
          </cell>
          <cell r="I372">
            <v>64.662999999999997</v>
          </cell>
          <cell r="J372">
            <v>99.804000000000002</v>
          </cell>
          <cell r="K372">
            <v>114.953</v>
          </cell>
          <cell r="L372">
            <v>109.667</v>
          </cell>
          <cell r="M372">
            <v>124.265</v>
          </cell>
          <cell r="GR372" t="str">
            <v>mstag:otherAssetsNonOperatingNonCurrent</v>
          </cell>
          <cell r="GS372">
            <v>6</v>
          </cell>
          <cell r="GT372" t="str">
            <v>ISO4217:USD</v>
          </cell>
          <cell r="GU372" t="b">
            <v>0</v>
          </cell>
          <cell r="GV372" t="b">
            <v>0</v>
          </cell>
        </row>
        <row r="373">
          <cell r="D373" t="str">
            <v>Assets of discontinued operations</v>
          </cell>
          <cell r="GR373" t="str">
            <v>mstag:assetsOfDiscontinuedOperations</v>
          </cell>
          <cell r="GS373">
            <v>6</v>
          </cell>
          <cell r="GT373" t="str">
            <v>ISO4217:USD</v>
          </cell>
          <cell r="GU373" t="b">
            <v>0</v>
          </cell>
          <cell r="GV373" t="b">
            <v>0</v>
          </cell>
        </row>
        <row r="374">
          <cell r="C374" t="str">
            <v>Liabilities and equity</v>
          </cell>
          <cell r="N374">
            <v>5561.2489999999998</v>
          </cell>
          <cell r="P374">
            <v>5348.8229999999994</v>
          </cell>
          <cell r="Q374">
            <v>5561.2489999999998</v>
          </cell>
          <cell r="GR374" t="str">
            <v>mstag:liabilitiesAndEquity</v>
          </cell>
          <cell r="GS374">
            <v>6</v>
          </cell>
          <cell r="GT374" t="str">
            <v>ISO4217:USD</v>
          </cell>
          <cell r="GU374" t="b">
            <v>0</v>
          </cell>
          <cell r="GV374" t="b">
            <v>0</v>
          </cell>
        </row>
        <row r="375">
          <cell r="D375" t="str">
            <v>Trade and other payables</v>
          </cell>
          <cell r="H375">
            <v>1.3420000000000001</v>
          </cell>
          <cell r="I375">
            <v>4.8360000000000003</v>
          </cell>
          <cell r="J375">
            <v>3.1789999999999998</v>
          </cell>
          <cell r="K375">
            <v>4.3120000000000003</v>
          </cell>
          <cell r="L375">
            <v>2.274</v>
          </cell>
          <cell r="M375">
            <v>0.54800000000000004</v>
          </cell>
          <cell r="N375">
            <v>2.2679999999999998</v>
          </cell>
          <cell r="P375">
            <v>0.54799999999999993</v>
          </cell>
          <cell r="Q375">
            <v>2.2679999999999998</v>
          </cell>
          <cell r="GR375" t="str">
            <v>mstag:tradeAndOtherPayables</v>
          </cell>
          <cell r="GS375">
            <v>6</v>
          </cell>
          <cell r="GT375" t="str">
            <v>ISO4217:USD</v>
          </cell>
          <cell r="GU375" t="b">
            <v>0</v>
          </cell>
          <cell r="GV375" t="b">
            <v>0</v>
          </cell>
        </row>
        <row r="376">
          <cell r="E376" t="str">
            <v>Trade and other payables, current</v>
          </cell>
          <cell r="H376">
            <v>1.3420000000000001</v>
          </cell>
          <cell r="I376">
            <v>4.8360000000000003</v>
          </cell>
          <cell r="J376">
            <v>3.1789999999999998</v>
          </cell>
          <cell r="K376">
            <v>4.3120000000000003</v>
          </cell>
          <cell r="L376">
            <v>2.274</v>
          </cell>
          <cell r="M376">
            <v>0.54800000000000004</v>
          </cell>
          <cell r="N376" t="str">
            <v/>
          </cell>
          <cell r="P376" t="str">
            <v/>
          </cell>
          <cell r="Q376" t="str">
            <v/>
          </cell>
          <cell r="GR376" t="str">
            <v>mstag:tradeAndOtherPayablesCurrent</v>
          </cell>
          <cell r="GS376">
            <v>6</v>
          </cell>
          <cell r="GT376" t="str">
            <v>ISO4217:USD</v>
          </cell>
          <cell r="GU376" t="b">
            <v>0</v>
          </cell>
          <cell r="GV376" t="b">
            <v>0</v>
          </cell>
        </row>
        <row r="377">
          <cell r="F377" t="str">
            <v>Trade payables, current</v>
          </cell>
          <cell r="H377">
            <v>1.3420000000000001</v>
          </cell>
          <cell r="I377">
            <v>4.8360000000000003</v>
          </cell>
          <cell r="J377">
            <v>3.1789999999999998</v>
          </cell>
          <cell r="K377">
            <v>4.3120000000000003</v>
          </cell>
          <cell r="L377">
            <v>2.274</v>
          </cell>
          <cell r="M377">
            <v>0.54800000000000004</v>
          </cell>
          <cell r="GR377" t="str">
            <v>mstag:tradePayablesCurrent</v>
          </cell>
          <cell r="GS377">
            <v>6</v>
          </cell>
          <cell r="GT377" t="str">
            <v>ISO4217:USD</v>
          </cell>
          <cell r="GU377" t="b">
            <v>0</v>
          </cell>
          <cell r="GV377" t="b">
            <v>0</v>
          </cell>
        </row>
        <row r="378">
          <cell r="F378" t="str">
            <v>Other payables, current</v>
          </cell>
          <cell r="GR378" t="str">
            <v>mstag:otherPayablesCurrent</v>
          </cell>
          <cell r="GS378">
            <v>6</v>
          </cell>
          <cell r="GT378" t="str">
            <v>ISO4217:USD</v>
          </cell>
          <cell r="GU378" t="b">
            <v>0</v>
          </cell>
          <cell r="GV378" t="b">
            <v>0</v>
          </cell>
        </row>
        <row r="379">
          <cell r="E379" t="str">
            <v>Trade and other payables, noncurrent</v>
          </cell>
          <cell r="H379" t="str">
            <v/>
          </cell>
          <cell r="I379" t="str">
            <v/>
          </cell>
          <cell r="J379" t="str">
            <v/>
          </cell>
          <cell r="K379" t="str">
            <v/>
          </cell>
          <cell r="L379" t="str">
            <v/>
          </cell>
          <cell r="M379" t="str">
            <v/>
          </cell>
          <cell r="N379" t="str">
            <v/>
          </cell>
          <cell r="P379" t="str">
            <v/>
          </cell>
          <cell r="Q379" t="str">
            <v/>
          </cell>
          <cell r="GR379" t="str">
            <v>mstag:tradeAndOtherPayablesNonCurrent</v>
          </cell>
          <cell r="GS379">
            <v>6</v>
          </cell>
          <cell r="GT379" t="str">
            <v>ISO4217:USD</v>
          </cell>
          <cell r="GU379" t="b">
            <v>0</v>
          </cell>
          <cell r="GV379" t="b">
            <v>0</v>
          </cell>
        </row>
        <row r="380">
          <cell r="F380" t="str">
            <v>Trade payables, noncurrent</v>
          </cell>
          <cell r="GR380" t="str">
            <v>mstag:tradePayablesNonCurrent</v>
          </cell>
          <cell r="GS380">
            <v>6</v>
          </cell>
          <cell r="GT380" t="str">
            <v>ISO4217:USD</v>
          </cell>
          <cell r="GU380" t="b">
            <v>0</v>
          </cell>
          <cell r="GV380" t="b">
            <v>0</v>
          </cell>
        </row>
        <row r="381">
          <cell r="F381" t="str">
            <v>Other payables, noncurrent</v>
          </cell>
          <cell r="GR381" t="str">
            <v>mstag:otherPayablesNonCurrent</v>
          </cell>
          <cell r="GS381">
            <v>6</v>
          </cell>
          <cell r="GT381" t="str">
            <v>ISO4217:USD</v>
          </cell>
          <cell r="GU381" t="b">
            <v>0</v>
          </cell>
          <cell r="GV381" t="b">
            <v>0</v>
          </cell>
        </row>
        <row r="382">
          <cell r="D382" t="str">
            <v>Dividends payable</v>
          </cell>
          <cell r="GR382" t="str">
            <v>mstag:dividendsPayable</v>
          </cell>
          <cell r="GS382">
            <v>6</v>
          </cell>
          <cell r="GT382" t="str">
            <v>ISO4217:USD</v>
          </cell>
          <cell r="GU382" t="b">
            <v>0</v>
          </cell>
          <cell r="GV382" t="b">
            <v>0</v>
          </cell>
        </row>
        <row r="383">
          <cell r="D383" t="str">
            <v>Short-term borrowings, up to 1 year</v>
          </cell>
          <cell r="H383" t="str">
            <v/>
          </cell>
          <cell r="I383" t="str">
            <v/>
          </cell>
          <cell r="J383" t="str">
            <v/>
          </cell>
          <cell r="K383" t="str">
            <v/>
          </cell>
          <cell r="L383" t="str">
            <v/>
          </cell>
          <cell r="M383" t="str">
            <v/>
          </cell>
          <cell r="N383" t="str">
            <v/>
          </cell>
          <cell r="P383" t="str">
            <v/>
          </cell>
          <cell r="Q383" t="str">
            <v/>
          </cell>
          <cell r="GR383" t="str">
            <v>mstag:shortTermBorrowings</v>
          </cell>
          <cell r="GS383">
            <v>6</v>
          </cell>
          <cell r="GT383" t="str">
            <v>ISO4217:USD</v>
          </cell>
          <cell r="GU383" t="b">
            <v>0</v>
          </cell>
          <cell r="GV383" t="b">
            <v>0</v>
          </cell>
        </row>
        <row r="384">
          <cell r="E384" t="str">
            <v>Short-term borrowings, secured</v>
          </cell>
          <cell r="GR384" t="str">
            <v>mstag:shortTermBorrowingsSecured</v>
          </cell>
          <cell r="GS384">
            <v>6</v>
          </cell>
          <cell r="GT384" t="str">
            <v>ISO4217:USD</v>
          </cell>
          <cell r="GU384" t="b">
            <v>0</v>
          </cell>
          <cell r="GV384" t="b">
            <v>0</v>
          </cell>
        </row>
        <row r="385">
          <cell r="E385" t="str">
            <v>Short-term borrowings, unsecured</v>
          </cell>
          <cell r="GR385" t="str">
            <v>mstag:shortTermBorrowingsUnsecured</v>
          </cell>
          <cell r="GS385">
            <v>6</v>
          </cell>
          <cell r="GT385" t="str">
            <v>ISO4217:USD</v>
          </cell>
          <cell r="GU385" t="b">
            <v>0</v>
          </cell>
          <cell r="GV385" t="b">
            <v>0</v>
          </cell>
        </row>
        <row r="386">
          <cell r="E386" t="str">
            <v>Short-term borrowings, other</v>
          </cell>
          <cell r="GR386" t="str">
            <v>mstag:shortTermBorrowingsOther</v>
          </cell>
          <cell r="GS386">
            <v>6</v>
          </cell>
          <cell r="GT386" t="str">
            <v>ISO4217:USD</v>
          </cell>
          <cell r="GU386" t="b">
            <v>0</v>
          </cell>
          <cell r="GV386" t="b">
            <v>0</v>
          </cell>
        </row>
        <row r="387">
          <cell r="D387" t="str">
            <v>Short-term borrowings, up to 5 years</v>
          </cell>
          <cell r="GR387" t="str">
            <v>mstag:shortTermBorrowingsUpTo5Years</v>
          </cell>
          <cell r="GS387">
            <v>6</v>
          </cell>
          <cell r="GT387" t="str">
            <v>ISO4217:USD</v>
          </cell>
          <cell r="GU387" t="b">
            <v>0</v>
          </cell>
          <cell r="GV387" t="b">
            <v>0</v>
          </cell>
        </row>
        <row r="388">
          <cell r="D388" t="str">
            <v>Short-term borrowings, for financial services</v>
          </cell>
          <cell r="GR388" t="str">
            <v>mstag:shortTermBorrowingsForFinancialServices</v>
          </cell>
          <cell r="GS388">
            <v>6</v>
          </cell>
          <cell r="GT388" t="str">
            <v>ISO4217:USD</v>
          </cell>
          <cell r="GU388" t="b">
            <v>0</v>
          </cell>
          <cell r="GV388" t="b">
            <v>0</v>
          </cell>
        </row>
        <row r="389">
          <cell r="D389" t="str">
            <v>Other interest bearing liabilities</v>
          </cell>
          <cell r="H389" t="str">
            <v/>
          </cell>
          <cell r="I389" t="str">
            <v/>
          </cell>
          <cell r="J389" t="str">
            <v/>
          </cell>
          <cell r="K389" t="str">
            <v/>
          </cell>
          <cell r="L389" t="str">
            <v/>
          </cell>
          <cell r="M389" t="str">
            <v/>
          </cell>
          <cell r="N389" t="str">
            <v/>
          </cell>
          <cell r="P389" t="str">
            <v/>
          </cell>
          <cell r="Q389" t="str">
            <v/>
          </cell>
          <cell r="GR389" t="str">
            <v>mstag:otherInterestBearingLiabilities</v>
          </cell>
          <cell r="GS389">
            <v>6</v>
          </cell>
          <cell r="GT389" t="str">
            <v>ISO4217:USD</v>
          </cell>
          <cell r="GU389" t="b">
            <v>0</v>
          </cell>
          <cell r="GV389" t="b">
            <v>0</v>
          </cell>
        </row>
        <row r="390">
          <cell r="E390" t="str">
            <v>Asset retirement obligations</v>
          </cell>
          <cell r="GR390" t="str">
            <v>mstag:assetRetirementObligations</v>
          </cell>
          <cell r="GS390">
            <v>6</v>
          </cell>
          <cell r="GT390" t="str">
            <v>ISO4217:USD</v>
          </cell>
          <cell r="GU390" t="b">
            <v>0</v>
          </cell>
          <cell r="GV390" t="b">
            <v>0</v>
          </cell>
        </row>
        <row r="391">
          <cell r="E391" t="str">
            <v>Decommissioning, restoration, and similar liabilities</v>
          </cell>
          <cell r="GR391" t="str">
            <v>mstag:decommissioningRestorationAndSimilarLiabilities</v>
          </cell>
          <cell r="GS391">
            <v>6</v>
          </cell>
          <cell r="GT391" t="str">
            <v>ISO4217:USD</v>
          </cell>
          <cell r="GU391" t="b">
            <v>0</v>
          </cell>
          <cell r="GV391" t="b">
            <v>0</v>
          </cell>
        </row>
        <row r="392">
          <cell r="E392" t="str">
            <v>Environmental liabilities, interest bearing</v>
          </cell>
          <cell r="GR392" t="str">
            <v>mstag:environmentalLiabilitiesInterestBearing</v>
          </cell>
          <cell r="GS392">
            <v>6</v>
          </cell>
          <cell r="GT392" t="str">
            <v>ISO4217:USD</v>
          </cell>
          <cell r="GU392" t="b">
            <v>0</v>
          </cell>
          <cell r="GV392" t="b">
            <v>0</v>
          </cell>
        </row>
        <row r="393">
          <cell r="E393" t="str">
            <v>Other interest bearing provisions</v>
          </cell>
          <cell r="GR393" t="str">
            <v>mstag:otherInterestBearingProvisions</v>
          </cell>
          <cell r="GS393">
            <v>6</v>
          </cell>
          <cell r="GT393" t="str">
            <v>ISO4217:USD</v>
          </cell>
          <cell r="GU393" t="b">
            <v>0</v>
          </cell>
          <cell r="GV393" t="b">
            <v>0</v>
          </cell>
        </row>
        <row r="394">
          <cell r="D394" t="str">
            <v>Income tax payable</v>
          </cell>
          <cell r="H394" t="str">
            <v/>
          </cell>
          <cell r="I394" t="str">
            <v/>
          </cell>
          <cell r="J394" t="str">
            <v/>
          </cell>
          <cell r="K394" t="str">
            <v/>
          </cell>
          <cell r="L394" t="str">
            <v/>
          </cell>
          <cell r="M394" t="str">
            <v/>
          </cell>
          <cell r="N394" t="str">
            <v/>
          </cell>
          <cell r="P394" t="str">
            <v/>
          </cell>
          <cell r="Q394" t="str">
            <v/>
          </cell>
          <cell r="GR394" t="str">
            <v>mstag:incomeTaxPayable</v>
          </cell>
          <cell r="GS394">
            <v>6</v>
          </cell>
          <cell r="GT394" t="str">
            <v>ISO4217:USD</v>
          </cell>
          <cell r="GU394" t="b">
            <v>0</v>
          </cell>
          <cell r="GV394" t="b">
            <v>0</v>
          </cell>
        </row>
        <row r="395">
          <cell r="E395" t="str">
            <v>Income tax payable, operating</v>
          </cell>
          <cell r="GR395" t="str">
            <v>mstag:incomeTaxPayableOperating</v>
          </cell>
          <cell r="GS395">
            <v>6</v>
          </cell>
          <cell r="GT395" t="str">
            <v>ISO4217:USD</v>
          </cell>
          <cell r="GU395" t="b">
            <v>0</v>
          </cell>
          <cell r="GV395" t="b">
            <v>0</v>
          </cell>
        </row>
        <row r="396">
          <cell r="E396" t="str">
            <v>Income tax payable, financing</v>
          </cell>
          <cell r="GR396" t="str">
            <v>mstag:incomeTaxPayableFinancing</v>
          </cell>
          <cell r="GS396">
            <v>6</v>
          </cell>
          <cell r="GT396" t="str">
            <v>ISO4217:USD</v>
          </cell>
          <cell r="GU396" t="b">
            <v>0</v>
          </cell>
          <cell r="GV396" t="b">
            <v>0</v>
          </cell>
        </row>
        <row r="397">
          <cell r="E397" t="str">
            <v>Income tax payable, other</v>
          </cell>
          <cell r="GR397" t="str">
            <v>mstag:incomeTaxPayableOther</v>
          </cell>
          <cell r="GS397">
            <v>6</v>
          </cell>
          <cell r="GT397" t="str">
            <v>ISO4217:USD</v>
          </cell>
          <cell r="GU397" t="b">
            <v>0</v>
          </cell>
          <cell r="GV397" t="b">
            <v>0</v>
          </cell>
        </row>
        <row r="398">
          <cell r="D398" t="str">
            <v>Accrued expenses</v>
          </cell>
          <cell r="H398">
            <v>45.933999999999997</v>
          </cell>
          <cell r="I398">
            <v>69.185000000000002</v>
          </cell>
          <cell r="J398">
            <v>110.557</v>
          </cell>
          <cell r="K398">
            <v>141.44900000000001</v>
          </cell>
          <cell r="L398">
            <v>125.748</v>
          </cell>
          <cell r="M398">
            <v>133.416</v>
          </cell>
          <cell r="N398" t="str">
            <v/>
          </cell>
          <cell r="P398" t="str">
            <v/>
          </cell>
          <cell r="Q398" t="str">
            <v/>
          </cell>
          <cell r="GR398" t="str">
            <v>mstag:accruedExpenses</v>
          </cell>
          <cell r="GS398">
            <v>6</v>
          </cell>
          <cell r="GT398" t="str">
            <v>ISO4217:USD</v>
          </cell>
          <cell r="GU398" t="b">
            <v>0</v>
          </cell>
          <cell r="GV398" t="b">
            <v>0</v>
          </cell>
        </row>
        <row r="399">
          <cell r="E399" t="str">
            <v>Payroll and benefits-related liabilities</v>
          </cell>
          <cell r="GR399" t="str">
            <v>mstag:payrollAndBenefitsRelatedLiabilities</v>
          </cell>
          <cell r="GS399">
            <v>6</v>
          </cell>
          <cell r="GT399" t="str">
            <v>ISO4217:USD</v>
          </cell>
          <cell r="GU399" t="b">
            <v>0</v>
          </cell>
          <cell r="GV399" t="b">
            <v>0</v>
          </cell>
        </row>
        <row r="400">
          <cell r="E400" t="str">
            <v>Accrued taxes, other than income tax</v>
          </cell>
          <cell r="H400">
            <v>25.202999999999999</v>
          </cell>
          <cell r="I400">
            <v>36.075000000000003</v>
          </cell>
          <cell r="J400">
            <v>47.603999999999999</v>
          </cell>
          <cell r="K400">
            <v>51.328000000000003</v>
          </cell>
          <cell r="L400">
            <v>51.462000000000003</v>
          </cell>
          <cell r="M400">
            <v>51.473999999999997</v>
          </cell>
          <cell r="GR400" t="str">
            <v>mstag:accruedTaxesOtherThanIncomeTax</v>
          </cell>
          <cell r="GS400">
            <v>6</v>
          </cell>
          <cell r="GT400" t="str">
            <v>ISO4217:USD</v>
          </cell>
          <cell r="GU400" t="b">
            <v>0</v>
          </cell>
          <cell r="GV400" t="b">
            <v>0</v>
          </cell>
        </row>
        <row r="401">
          <cell r="E401" t="str">
            <v>Other accrued expenses</v>
          </cell>
          <cell r="H401">
            <v>20.731000000000002</v>
          </cell>
          <cell r="I401">
            <v>33.11</v>
          </cell>
          <cell r="J401">
            <v>62.953000000000003</v>
          </cell>
          <cell r="K401">
            <v>90.121000000000009</v>
          </cell>
          <cell r="L401">
            <v>74.286000000000001</v>
          </cell>
          <cell r="M401">
            <v>81.941999999999993</v>
          </cell>
          <cell r="GR401" t="str">
            <v>mstag:otherAccruedExpenses</v>
          </cell>
          <cell r="GS401">
            <v>6</v>
          </cell>
          <cell r="GT401" t="str">
            <v>ISO4217:USD</v>
          </cell>
          <cell r="GU401" t="b">
            <v>0</v>
          </cell>
          <cell r="GV401" t="b">
            <v>0</v>
          </cell>
        </row>
        <row r="402">
          <cell r="D402" t="str">
            <v>Billings in excess of cost</v>
          </cell>
          <cell r="GR402" t="str">
            <v>mstag:billingsInExcessOfCost</v>
          </cell>
          <cell r="GS402">
            <v>6</v>
          </cell>
          <cell r="GT402" t="str">
            <v>ISO4217:USD</v>
          </cell>
          <cell r="GU402" t="b">
            <v>0</v>
          </cell>
          <cell r="GV402" t="b">
            <v>0</v>
          </cell>
        </row>
        <row r="403">
          <cell r="D403" t="str">
            <v>Long-term debt, greater than 1 year</v>
          </cell>
          <cell r="H403">
            <v>720.11899999999991</v>
          </cell>
          <cell r="I403">
            <v>1007.317</v>
          </cell>
          <cell r="J403">
            <v>2113.4759999999997</v>
          </cell>
          <cell r="K403">
            <v>1973.2149999999999</v>
          </cell>
          <cell r="L403">
            <v>1814.856</v>
          </cell>
          <cell r="M403">
            <v>2106.2849999999999</v>
          </cell>
          <cell r="N403">
            <v>2335.5360000000001</v>
          </cell>
          <cell r="P403">
            <v>2106.2849999999999</v>
          </cell>
          <cell r="Q403">
            <v>2335.5360000000001</v>
          </cell>
          <cell r="GR403" t="str">
            <v>mstag:longTermDebt</v>
          </cell>
          <cell r="GS403">
            <v>6</v>
          </cell>
          <cell r="GT403" t="str">
            <v>ISO4217:USD</v>
          </cell>
          <cell r="GU403" t="b">
            <v>0</v>
          </cell>
          <cell r="GV403" t="b">
            <v>0</v>
          </cell>
        </row>
        <row r="404">
          <cell r="E404" t="str">
            <v>Long-term debt, secured</v>
          </cell>
          <cell r="H404">
            <v>367.11899999999997</v>
          </cell>
          <cell r="I404">
            <v>326.31700000000001</v>
          </cell>
          <cell r="J404">
            <v>528.66499999999996</v>
          </cell>
          <cell r="K404">
            <v>466.62400000000002</v>
          </cell>
          <cell r="L404">
            <v>318.48399999999998</v>
          </cell>
          <cell r="M404">
            <v>299.14699999999999</v>
          </cell>
          <cell r="N404">
            <v>208.649</v>
          </cell>
          <cell r="P404">
            <v>299.14699999999999</v>
          </cell>
          <cell r="Q404">
            <v>208.649</v>
          </cell>
          <cell r="GR404" t="str">
            <v>mstag:longTermDebtSecured</v>
          </cell>
          <cell r="GS404">
            <v>6</v>
          </cell>
          <cell r="GT404" t="str">
            <v>ISO4217:USD</v>
          </cell>
          <cell r="GU404" t="b">
            <v>0</v>
          </cell>
          <cell r="GV404" t="b">
            <v>0</v>
          </cell>
        </row>
        <row r="405">
          <cell r="E405" t="str">
            <v>Long-term debt, unsecured</v>
          </cell>
          <cell r="H405">
            <v>353</v>
          </cell>
          <cell r="I405">
            <v>681</v>
          </cell>
          <cell r="J405">
            <v>1584.8109999999999</v>
          </cell>
          <cell r="K405">
            <v>1506.5909999999999</v>
          </cell>
          <cell r="L405">
            <v>1496.3720000000001</v>
          </cell>
          <cell r="M405">
            <v>1807.1379999999999</v>
          </cell>
          <cell r="N405">
            <v>2126.8869999999997</v>
          </cell>
          <cell r="P405">
            <v>1807.1379999999999</v>
          </cell>
          <cell r="Q405">
            <v>2126.8869999999997</v>
          </cell>
          <cell r="GR405" t="str">
            <v>mstag:longTermDebtUnsecured</v>
          </cell>
          <cell r="GS405">
            <v>6</v>
          </cell>
          <cell r="GT405" t="str">
            <v>ISO4217:USD</v>
          </cell>
          <cell r="GU405" t="b">
            <v>0</v>
          </cell>
          <cell r="GV405" t="b">
            <v>0</v>
          </cell>
        </row>
        <row r="406">
          <cell r="E406" t="str">
            <v>Other long-term debt</v>
          </cell>
          <cell r="GR406" t="str">
            <v>mstag:otherLongTermDebtCi</v>
          </cell>
          <cell r="GS406">
            <v>6</v>
          </cell>
          <cell r="GT406" t="str">
            <v>ISO4217:USD</v>
          </cell>
          <cell r="GU406" t="b">
            <v>0</v>
          </cell>
          <cell r="GV406" t="b">
            <v>0</v>
          </cell>
        </row>
        <row r="407">
          <cell r="D407" t="str">
            <v>Long-term debt, greater than 5 years</v>
          </cell>
          <cell r="GR407" t="str">
            <v>mstag:longTermDebtGreaterThan5Years</v>
          </cell>
          <cell r="GS407">
            <v>6</v>
          </cell>
          <cell r="GT407" t="str">
            <v>ISO4217:USD</v>
          </cell>
          <cell r="GU407" t="b">
            <v>0</v>
          </cell>
          <cell r="GV407" t="b">
            <v>0</v>
          </cell>
        </row>
        <row r="408">
          <cell r="D408" t="str">
            <v>Provisions and reserves</v>
          </cell>
          <cell r="H408" t="str">
            <v/>
          </cell>
          <cell r="I408" t="str">
            <v/>
          </cell>
          <cell r="J408" t="str">
            <v/>
          </cell>
          <cell r="K408" t="str">
            <v/>
          </cell>
          <cell r="L408" t="str">
            <v/>
          </cell>
          <cell r="M408" t="str">
            <v/>
          </cell>
          <cell r="N408" t="str">
            <v/>
          </cell>
          <cell r="P408" t="str">
            <v/>
          </cell>
          <cell r="Q408" t="str">
            <v/>
          </cell>
          <cell r="GR408" t="str">
            <v>mstag:provisionsAndReserves</v>
          </cell>
          <cell r="GS408">
            <v>6</v>
          </cell>
          <cell r="GT408" t="str">
            <v>ISO4217:USD</v>
          </cell>
          <cell r="GU408" t="b">
            <v>0</v>
          </cell>
          <cell r="GV408" t="b">
            <v>0</v>
          </cell>
        </row>
        <row r="409">
          <cell r="E409" t="str">
            <v>Warranty provision</v>
          </cell>
          <cell r="GR409" t="str">
            <v>mstag:warrantyProvision</v>
          </cell>
          <cell r="GS409">
            <v>6</v>
          </cell>
          <cell r="GT409" t="str">
            <v>ISO4217:USD</v>
          </cell>
          <cell r="GU409" t="b">
            <v>0</v>
          </cell>
          <cell r="GV409" t="b">
            <v>0</v>
          </cell>
        </row>
        <row r="410">
          <cell r="E410" t="str">
            <v>Restructuring provision</v>
          </cell>
          <cell r="GR410" t="str">
            <v>mstag:restructuringProvision</v>
          </cell>
          <cell r="GS410">
            <v>6</v>
          </cell>
          <cell r="GT410" t="str">
            <v>ISO4217:USD</v>
          </cell>
          <cell r="GU410" t="b">
            <v>0</v>
          </cell>
          <cell r="GV410" t="b">
            <v>0</v>
          </cell>
        </row>
        <row r="411">
          <cell r="E411" t="str">
            <v>Legal proceedings provision</v>
          </cell>
          <cell r="GR411" t="str">
            <v>mstag:legalProceedingsProvision</v>
          </cell>
          <cell r="GS411">
            <v>6</v>
          </cell>
          <cell r="GT411" t="str">
            <v>ISO4217:USD</v>
          </cell>
          <cell r="GU411" t="b">
            <v>0</v>
          </cell>
          <cell r="GV411" t="b">
            <v>0</v>
          </cell>
        </row>
        <row r="412">
          <cell r="E412" t="str">
            <v>Onerous contracts provision</v>
          </cell>
          <cell r="GR412" t="str">
            <v>mstag:onerousContractsProvision</v>
          </cell>
          <cell r="GS412">
            <v>6</v>
          </cell>
          <cell r="GT412" t="str">
            <v>ISO4217:USD</v>
          </cell>
          <cell r="GU412" t="b">
            <v>0</v>
          </cell>
          <cell r="GV412" t="b">
            <v>0</v>
          </cell>
        </row>
        <row r="413">
          <cell r="E413" t="str">
            <v>Environmental liability</v>
          </cell>
          <cell r="GR413" t="str">
            <v>mstag:environmentalLiability</v>
          </cell>
          <cell r="GS413">
            <v>6</v>
          </cell>
          <cell r="GT413" t="str">
            <v>ISO4217:USD</v>
          </cell>
          <cell r="GU413" t="b">
            <v>0</v>
          </cell>
          <cell r="GV413" t="b">
            <v>0</v>
          </cell>
        </row>
        <row r="414">
          <cell r="E414" t="str">
            <v>Decommissioning liabilities</v>
          </cell>
          <cell r="GR414" t="str">
            <v>mstag:decommissioningLiabilities</v>
          </cell>
          <cell r="GS414">
            <v>6</v>
          </cell>
          <cell r="GT414" t="str">
            <v>ISO4217:USD</v>
          </cell>
          <cell r="GU414" t="b">
            <v>0</v>
          </cell>
          <cell r="GV414" t="b">
            <v>0</v>
          </cell>
        </row>
        <row r="415">
          <cell r="E415" t="str">
            <v>Asset retirement obligation</v>
          </cell>
          <cell r="GR415" t="str">
            <v>mstag:assetRetirementObligation</v>
          </cell>
          <cell r="GS415">
            <v>6</v>
          </cell>
          <cell r="GT415" t="str">
            <v>ISO4217:USD</v>
          </cell>
          <cell r="GU415" t="b">
            <v>0</v>
          </cell>
          <cell r="GV415" t="b">
            <v>0</v>
          </cell>
        </row>
        <row r="416">
          <cell r="E416" t="str">
            <v>Other provisions</v>
          </cell>
          <cell r="GR416" t="str">
            <v>mstag:otherProvisions</v>
          </cell>
          <cell r="GS416">
            <v>6</v>
          </cell>
          <cell r="GT416" t="str">
            <v>ISO4217:USD</v>
          </cell>
          <cell r="GU416" t="b">
            <v>0</v>
          </cell>
          <cell r="GV416" t="b">
            <v>0</v>
          </cell>
        </row>
        <row r="417">
          <cell r="D417" t="str">
            <v>Customer advances or deposits</v>
          </cell>
          <cell r="H417">
            <v>14.268000000000001</v>
          </cell>
          <cell r="I417">
            <v>18.533999999999999</v>
          </cell>
          <cell r="J417">
            <v>36.155999999999999</v>
          </cell>
          <cell r="K417">
            <v>34.207999999999998</v>
          </cell>
          <cell r="L417">
            <v>34.643999999999998</v>
          </cell>
          <cell r="M417">
            <v>33.71</v>
          </cell>
          <cell r="N417">
            <v>37.975000000000001</v>
          </cell>
          <cell r="P417">
            <v>33.71</v>
          </cell>
          <cell r="Q417">
            <v>37.975000000000001</v>
          </cell>
          <cell r="GR417" t="str">
            <v>mstag:customerAdvancesOrDeposits</v>
          </cell>
          <cell r="GS417">
            <v>6</v>
          </cell>
          <cell r="GT417" t="str">
            <v>ISO4217:USD</v>
          </cell>
          <cell r="GU417" t="b">
            <v>0</v>
          </cell>
          <cell r="GV417" t="b">
            <v>0</v>
          </cell>
        </row>
        <row r="418">
          <cell r="E418" t="str">
            <v>Customer advances or deposits, current</v>
          </cell>
          <cell r="H418">
            <v>14.268000000000001</v>
          </cell>
          <cell r="I418">
            <v>18.533999999999999</v>
          </cell>
          <cell r="J418">
            <v>36.155999999999999</v>
          </cell>
          <cell r="K418">
            <v>34.207999999999998</v>
          </cell>
          <cell r="L418">
            <v>34.643999999999998</v>
          </cell>
          <cell r="M418">
            <v>33.71</v>
          </cell>
          <cell r="GR418" t="str">
            <v>mstag:customerAdvancesOrDepositsCurrent</v>
          </cell>
          <cell r="GS418">
            <v>6</v>
          </cell>
          <cell r="GT418" t="str">
            <v>ISO4217:USD</v>
          </cell>
          <cell r="GU418" t="b">
            <v>0</v>
          </cell>
          <cell r="GV418" t="b">
            <v>0</v>
          </cell>
        </row>
        <row r="419">
          <cell r="E419" t="str">
            <v>Customer advances or deposits, noncurrent</v>
          </cell>
          <cell r="GR419" t="str">
            <v>mstag:customerAdvancesOrDepositsNonCurrent</v>
          </cell>
          <cell r="GS419">
            <v>6</v>
          </cell>
          <cell r="GT419" t="str">
            <v>ISO4217:USD</v>
          </cell>
          <cell r="GU419" t="b">
            <v>0</v>
          </cell>
          <cell r="GV419" t="b">
            <v>0</v>
          </cell>
        </row>
        <row r="420">
          <cell r="D420" t="str">
            <v>Deferred tax liabilities</v>
          </cell>
          <cell r="H420" t="str">
            <v/>
          </cell>
          <cell r="I420" t="str">
            <v/>
          </cell>
          <cell r="J420" t="str">
            <v/>
          </cell>
          <cell r="K420" t="str">
            <v/>
          </cell>
          <cell r="L420" t="str">
            <v/>
          </cell>
          <cell r="M420" t="str">
            <v/>
          </cell>
          <cell r="N420" t="str">
            <v/>
          </cell>
          <cell r="P420" t="str">
            <v/>
          </cell>
          <cell r="Q420" t="str">
            <v/>
          </cell>
          <cell r="GR420" t="str">
            <v>mstag:deferredTaxLiabilities</v>
          </cell>
          <cell r="GS420">
            <v>6</v>
          </cell>
          <cell r="GT420" t="str">
            <v>ISO4217:USD</v>
          </cell>
          <cell r="GU420" t="b">
            <v>0</v>
          </cell>
          <cell r="GV420" t="b">
            <v>0</v>
          </cell>
        </row>
        <row r="421">
          <cell r="E421" t="str">
            <v>Deferred tax liabilities, current</v>
          </cell>
          <cell r="GR421" t="str">
            <v>mstag:deferredTaxLiabilitiesCurrent</v>
          </cell>
          <cell r="GS421">
            <v>6</v>
          </cell>
          <cell r="GT421" t="str">
            <v>ISO4217:USD</v>
          </cell>
          <cell r="GU421" t="b">
            <v>0</v>
          </cell>
          <cell r="GV421" t="b">
            <v>0</v>
          </cell>
        </row>
        <row r="422">
          <cell r="E422" t="str">
            <v>Deferred tax liabilities, noncurrent</v>
          </cell>
          <cell r="GR422" t="str">
            <v>mstag:deferredTaxLiabilitiesNonCurrent</v>
          </cell>
          <cell r="GS422">
            <v>6</v>
          </cell>
          <cell r="GT422" t="str">
            <v>ISO4217:USD</v>
          </cell>
          <cell r="GU422" t="b">
            <v>0</v>
          </cell>
          <cell r="GV422" t="b">
            <v>0</v>
          </cell>
        </row>
        <row r="423">
          <cell r="D423" t="str">
            <v>Deferred revenue</v>
          </cell>
          <cell r="H423" t="str">
            <v/>
          </cell>
          <cell r="I423" t="str">
            <v/>
          </cell>
          <cell r="J423" t="str">
            <v/>
          </cell>
          <cell r="K423" t="str">
            <v/>
          </cell>
          <cell r="L423" t="str">
            <v/>
          </cell>
          <cell r="M423" t="str">
            <v/>
          </cell>
          <cell r="N423" t="str">
            <v/>
          </cell>
          <cell r="P423" t="str">
            <v/>
          </cell>
          <cell r="Q423" t="str">
            <v/>
          </cell>
          <cell r="GR423" t="str">
            <v>mstag:deferredRevenue</v>
          </cell>
          <cell r="GS423">
            <v>6</v>
          </cell>
          <cell r="GT423" t="str">
            <v>ISO4217:USD</v>
          </cell>
          <cell r="GU423" t="b">
            <v>0</v>
          </cell>
          <cell r="GV423" t="b">
            <v>0</v>
          </cell>
        </row>
        <row r="424">
          <cell r="E424" t="str">
            <v>Deferred revenue, current</v>
          </cell>
          <cell r="GR424" t="str">
            <v>mstag:deferredRevenueCurrent</v>
          </cell>
          <cell r="GS424">
            <v>6</v>
          </cell>
          <cell r="GT424" t="str">
            <v>ISO4217:USD</v>
          </cell>
          <cell r="GU424" t="b">
            <v>0</v>
          </cell>
          <cell r="GV424" t="b">
            <v>0</v>
          </cell>
        </row>
        <row r="425">
          <cell r="E425" t="str">
            <v>Deferred revenue, noncurrent</v>
          </cell>
          <cell r="GR425" t="str">
            <v>mstag:deferredRevenueNonCurrent</v>
          </cell>
          <cell r="GS425">
            <v>6</v>
          </cell>
          <cell r="GT425" t="str">
            <v>ISO4217:USD</v>
          </cell>
          <cell r="GU425" t="b">
            <v>0</v>
          </cell>
          <cell r="GV425" t="b">
            <v>0</v>
          </cell>
        </row>
        <row r="426">
          <cell r="D426" t="str">
            <v>Pension and other postretirement obligations</v>
          </cell>
          <cell r="GR426" t="str">
            <v>mstag:pensionAndOtherPostRetirementObligations</v>
          </cell>
          <cell r="GS426">
            <v>6</v>
          </cell>
          <cell r="GT426" t="str">
            <v>ISO4217:USD</v>
          </cell>
          <cell r="GU426" t="b">
            <v>0</v>
          </cell>
          <cell r="GV426" t="b">
            <v>0</v>
          </cell>
        </row>
        <row r="427">
          <cell r="D427" t="str">
            <v>Deferred compensation</v>
          </cell>
          <cell r="GR427" t="str">
            <v>mstag:deferredCompensation</v>
          </cell>
          <cell r="GS427">
            <v>6</v>
          </cell>
          <cell r="GT427" t="str">
            <v>ISO4217:USD</v>
          </cell>
          <cell r="GU427" t="b">
            <v>0</v>
          </cell>
          <cell r="GV427" t="b">
            <v>0</v>
          </cell>
        </row>
        <row r="428">
          <cell r="D428" t="str">
            <v>Other liabilities, operating</v>
          </cell>
          <cell r="H428">
            <v>40.786000000000001</v>
          </cell>
          <cell r="I428">
            <v>55.012</v>
          </cell>
          <cell r="J428">
            <v>89.984999999999999</v>
          </cell>
          <cell r="K428">
            <v>70.105000000000004</v>
          </cell>
          <cell r="L428">
            <v>54.734999999999999</v>
          </cell>
          <cell r="M428">
            <v>43.231999999999999</v>
          </cell>
          <cell r="N428">
            <v>198.81399999999999</v>
          </cell>
          <cell r="P428">
            <v>176.648</v>
          </cell>
          <cell r="Q428">
            <v>198.81399999999999</v>
          </cell>
          <cell r="GR428" t="str">
            <v>mstag:otherLiabilitiesOperating</v>
          </cell>
          <cell r="GS428">
            <v>6</v>
          </cell>
          <cell r="GT428" t="str">
            <v>ISO4217:USD</v>
          </cell>
          <cell r="GU428" t="b">
            <v>0</v>
          </cell>
          <cell r="GV428" t="b">
            <v>0</v>
          </cell>
        </row>
        <row r="429">
          <cell r="E429" t="str">
            <v>Other liabilities, operating, current</v>
          </cell>
          <cell r="H429">
            <v>40.786000000000001</v>
          </cell>
          <cell r="I429">
            <v>55.012</v>
          </cell>
          <cell r="J429">
            <v>89.984999999999999</v>
          </cell>
          <cell r="K429">
            <v>70.105000000000004</v>
          </cell>
          <cell r="L429">
            <v>54.734999999999999</v>
          </cell>
          <cell r="M429">
            <v>43.231999999999999</v>
          </cell>
          <cell r="GR429" t="str">
            <v>mstag:otherLiabilitiesOperatingCurrent</v>
          </cell>
          <cell r="GS429">
            <v>6</v>
          </cell>
          <cell r="GT429" t="str">
            <v>ISO4217:USD</v>
          </cell>
          <cell r="GU429" t="b">
            <v>0</v>
          </cell>
          <cell r="GV429" t="b">
            <v>0</v>
          </cell>
        </row>
        <row r="430">
          <cell r="E430" t="str">
            <v>Other liabilities, operating, noncurrent</v>
          </cell>
          <cell r="GR430" t="str">
            <v>mstag:otherLiabilitiesOperatingNonCurrent</v>
          </cell>
          <cell r="GS430">
            <v>6</v>
          </cell>
          <cell r="GT430" t="str">
            <v>ISO4217:USD</v>
          </cell>
          <cell r="GU430" t="b">
            <v>0</v>
          </cell>
          <cell r="GV430" t="b">
            <v>0</v>
          </cell>
        </row>
        <row r="431">
          <cell r="D431" t="str">
            <v>Other liabilities, nonoperating</v>
          </cell>
          <cell r="H431">
            <v>11.72</v>
          </cell>
          <cell r="I431">
            <v>21.928000000000001</v>
          </cell>
          <cell r="J431">
            <v>30.544</v>
          </cell>
          <cell r="K431">
            <v>88.54</v>
          </cell>
          <cell r="L431">
            <v>117.577</v>
          </cell>
          <cell r="M431">
            <v>106.81100000000001</v>
          </cell>
          <cell r="N431">
            <v>107.113</v>
          </cell>
          <cell r="P431">
            <v>106.81099999999999</v>
          </cell>
          <cell r="Q431">
            <v>107.113</v>
          </cell>
          <cell r="GR431" t="str">
            <v>mstag:otherLiabilitiesNonOperating</v>
          </cell>
          <cell r="GS431">
            <v>6</v>
          </cell>
          <cell r="GT431" t="str">
            <v>ISO4217:USD</v>
          </cell>
          <cell r="GU431" t="b">
            <v>0</v>
          </cell>
          <cell r="GV431" t="b">
            <v>0</v>
          </cell>
        </row>
        <row r="432">
          <cell r="E432" t="str">
            <v>Other liabilities, nonoperating, current</v>
          </cell>
          <cell r="H432">
            <v>11.72</v>
          </cell>
          <cell r="I432">
            <v>21.928000000000001</v>
          </cell>
          <cell r="J432">
            <v>30.544</v>
          </cell>
          <cell r="K432">
            <v>88.54</v>
          </cell>
          <cell r="L432">
            <v>117.577</v>
          </cell>
          <cell r="M432">
            <v>106.81100000000001</v>
          </cell>
          <cell r="GR432" t="str">
            <v>mstag:otherLiabilitiesNonOperatingCurrent</v>
          </cell>
          <cell r="GS432">
            <v>6</v>
          </cell>
          <cell r="GT432" t="str">
            <v>ISO4217:USD</v>
          </cell>
          <cell r="GU432" t="b">
            <v>0</v>
          </cell>
          <cell r="GV432" t="b">
            <v>0</v>
          </cell>
        </row>
        <row r="433">
          <cell r="E433" t="str">
            <v>Other liabilities, nonoperating, noncurrent</v>
          </cell>
          <cell r="GR433" t="str">
            <v>mstag:otherLiabilitiesNonOperatingNonCurrent</v>
          </cell>
          <cell r="GS433">
            <v>6</v>
          </cell>
          <cell r="GT433" t="str">
            <v>ISO4217:USD</v>
          </cell>
          <cell r="GU433" t="b">
            <v>0</v>
          </cell>
          <cell r="GV433" t="b">
            <v>0</v>
          </cell>
        </row>
        <row r="434">
          <cell r="D434" t="str">
            <v>Liabilities of discontinued operations</v>
          </cell>
          <cell r="GR434" t="str">
            <v>mstag:liabilitiesOfDiscontinuedOperations</v>
          </cell>
          <cell r="GS434">
            <v>6</v>
          </cell>
          <cell r="GT434" t="str">
            <v>ISO4217:USD</v>
          </cell>
          <cell r="GU434" t="b">
            <v>0</v>
          </cell>
          <cell r="GV434" t="b">
            <v>0</v>
          </cell>
        </row>
        <row r="435">
          <cell r="D435" t="str">
            <v>Minority interests in shareholders' equity</v>
          </cell>
          <cell r="H435">
            <v>107.364</v>
          </cell>
          <cell r="I435">
            <v>106.729</v>
          </cell>
          <cell r="J435">
            <v>433.745</v>
          </cell>
          <cell r="K435">
            <v>435.31700000000001</v>
          </cell>
          <cell r="L435">
            <v>395.19</v>
          </cell>
          <cell r="M435">
            <v>307.48500000000001</v>
          </cell>
          <cell r="N435">
            <v>212.79399999999998</v>
          </cell>
          <cell r="P435">
            <v>308.64099999999996</v>
          </cell>
          <cell r="Q435">
            <v>212.79399999999998</v>
          </cell>
          <cell r="GR435" t="str">
            <v>mstag:minorityInterestsInShareholdersEquity</v>
          </cell>
          <cell r="GS435">
            <v>6</v>
          </cell>
          <cell r="GT435" t="str">
            <v>ISO4217:USD</v>
          </cell>
          <cell r="GU435" t="b">
            <v>0</v>
          </cell>
          <cell r="GV435" t="b">
            <v>0</v>
          </cell>
        </row>
        <row r="436">
          <cell r="E436" t="str">
            <v>Minority interests in shareholders' equity, partnerships</v>
          </cell>
          <cell r="H436">
            <v>107.364</v>
          </cell>
          <cell r="I436">
            <v>106.729</v>
          </cell>
          <cell r="J436">
            <v>433.745</v>
          </cell>
          <cell r="K436">
            <v>435.31700000000001</v>
          </cell>
          <cell r="L436">
            <v>395.19</v>
          </cell>
          <cell r="M436">
            <v>307.48500000000001</v>
          </cell>
          <cell r="GR436" t="str">
            <v>mstag:minorityInterestsInShareholdersEquityPartnerships</v>
          </cell>
          <cell r="GS436">
            <v>6</v>
          </cell>
          <cell r="GT436" t="str">
            <v>ISO4217:USD</v>
          </cell>
          <cell r="GU436" t="b">
            <v>0</v>
          </cell>
          <cell r="GV436" t="b">
            <v>0</v>
          </cell>
        </row>
        <row r="437">
          <cell r="E437" t="str">
            <v>Minority interests in shareholders' equity, other</v>
          </cell>
          <cell r="GR437" t="str">
            <v>mstag:minorityInterestsInShareholdersEquityOther</v>
          </cell>
          <cell r="GS437">
            <v>6</v>
          </cell>
          <cell r="GT437" t="str">
            <v>ISO4217:USD</v>
          </cell>
          <cell r="GU437" t="b">
            <v>0</v>
          </cell>
          <cell r="GV437" t="b">
            <v>0</v>
          </cell>
        </row>
        <row r="438">
          <cell r="D438" t="str">
            <v>Trust preferred securities</v>
          </cell>
          <cell r="GR438" t="str">
            <v>mstag:trustPreferredSecurities</v>
          </cell>
          <cell r="GS438">
            <v>6</v>
          </cell>
          <cell r="GT438" t="str">
            <v>ISO4217:USD</v>
          </cell>
          <cell r="GU438" t="b">
            <v>0</v>
          </cell>
          <cell r="GV438" t="b">
            <v>0</v>
          </cell>
        </row>
        <row r="439">
          <cell r="D439" t="str">
            <v>Preferred equity</v>
          </cell>
          <cell r="H439">
            <v>218.33799999999999</v>
          </cell>
          <cell r="I439">
            <v>360</v>
          </cell>
          <cell r="J439">
            <v>609.99800000000005</v>
          </cell>
          <cell r="K439">
            <v>608.87400000000002</v>
          </cell>
          <cell r="L439">
            <v>608.66399999999999</v>
          </cell>
          <cell r="M439">
            <v>440.88900000000001</v>
          </cell>
          <cell r="N439">
            <v>540.50799999999992</v>
          </cell>
          <cell r="P439">
            <v>440.88899999999995</v>
          </cell>
          <cell r="Q439">
            <v>540.50799999999992</v>
          </cell>
          <cell r="GR439" t="str">
            <v>mstag:preferredEquity</v>
          </cell>
          <cell r="GS439">
            <v>6</v>
          </cell>
          <cell r="GT439" t="str">
            <v>ISO4217:USD</v>
          </cell>
          <cell r="GU439" t="b">
            <v>0</v>
          </cell>
          <cell r="GV439" t="b">
            <v>0</v>
          </cell>
        </row>
        <row r="440">
          <cell r="E440" t="str">
            <v>Preferred equity, convertible</v>
          </cell>
          <cell r="GR440" t="str">
            <v>mstag:preferredEquityConvertible</v>
          </cell>
          <cell r="GS440">
            <v>6</v>
          </cell>
          <cell r="GT440" t="str">
            <v>ISO4217:USD</v>
          </cell>
          <cell r="GU440" t="b">
            <v>0</v>
          </cell>
          <cell r="GV440" t="b">
            <v>0</v>
          </cell>
        </row>
        <row r="441">
          <cell r="E441" t="str">
            <v>Preferred equity, straight</v>
          </cell>
          <cell r="GR441" t="str">
            <v>mstag:preferredEquityStraight</v>
          </cell>
          <cell r="GS441">
            <v>6</v>
          </cell>
          <cell r="GT441" t="str">
            <v>ISO4217:USD</v>
          </cell>
          <cell r="GU441" t="b">
            <v>0</v>
          </cell>
          <cell r="GV441" t="b">
            <v>0</v>
          </cell>
        </row>
        <row r="442">
          <cell r="D442" t="str">
            <v>Common equity</v>
          </cell>
          <cell r="G442">
            <v>682.6</v>
          </cell>
          <cell r="H442">
            <v>1016.343</v>
          </cell>
          <cell r="I442">
            <v>1210.1120000000001</v>
          </cell>
          <cell r="J442">
            <v>2058.598</v>
          </cell>
          <cell r="K442">
            <v>2104.0160000000001</v>
          </cell>
          <cell r="L442">
            <v>2176.3449999999998</v>
          </cell>
          <cell r="M442">
            <v>2176.4469999999997</v>
          </cell>
          <cell r="N442">
            <v>2126.241</v>
          </cell>
          <cell r="P442">
            <v>2175.2909999999997</v>
          </cell>
          <cell r="Q442">
            <v>2126.241</v>
          </cell>
          <cell r="GR442" t="str">
            <v>mstag:commonEquity</v>
          </cell>
          <cell r="GS442">
            <v>6</v>
          </cell>
          <cell r="GT442" t="str">
            <v>ISO4217:USD</v>
          </cell>
          <cell r="GU442" t="b">
            <v>0</v>
          </cell>
          <cell r="GV442" t="b">
            <v>0</v>
          </cell>
        </row>
        <row r="443">
          <cell r="E443" t="str">
            <v>Total share capital</v>
          </cell>
          <cell r="G443">
            <v>682.6</v>
          </cell>
          <cell r="H443">
            <v>1071.99</v>
          </cell>
          <cell r="I443">
            <v>1278.1110000000001</v>
          </cell>
          <cell r="J443">
            <v>2141.0299999999997</v>
          </cell>
          <cell r="K443">
            <v>2181.3989999999999</v>
          </cell>
          <cell r="L443">
            <v>2252.56</v>
          </cell>
          <cell r="M443">
            <v>2347.3109999999997</v>
          </cell>
          <cell r="N443">
            <v>2381.183</v>
          </cell>
          <cell r="P443">
            <v>2336.6279999999997</v>
          </cell>
          <cell r="Q443">
            <v>2381.183</v>
          </cell>
          <cell r="GR443" t="str">
            <v>mstag:totalShareCapital</v>
          </cell>
          <cell r="GS443">
            <v>6</v>
          </cell>
          <cell r="GT443" t="str">
            <v>ISO4217:USD</v>
          </cell>
          <cell r="GU443" t="b">
            <v>0</v>
          </cell>
          <cell r="GV443" t="b">
            <v>0</v>
          </cell>
        </row>
        <row r="444">
          <cell r="F444" t="str">
            <v>Common stock</v>
          </cell>
          <cell r="H444">
            <v>1071.99</v>
          </cell>
          <cell r="I444">
            <v>0.86099999999999999</v>
          </cell>
          <cell r="J444">
            <v>1.258</v>
          </cell>
          <cell r="K444">
            <v>1.2789999999999999</v>
          </cell>
          <cell r="L444">
            <v>1.3140000000000001</v>
          </cell>
          <cell r="M444">
            <v>1.35</v>
          </cell>
          <cell r="N444">
            <v>1.3659999999999999</v>
          </cell>
          <cell r="P444">
            <v>1.35</v>
          </cell>
          <cell r="Q444">
            <v>1.3659999999999999</v>
          </cell>
          <cell r="GR444" t="str">
            <v>mstag:commonStock</v>
          </cell>
          <cell r="GS444">
            <v>6</v>
          </cell>
          <cell r="GT444" t="str">
            <v>ISO4217:USD</v>
          </cell>
          <cell r="GU444" t="b">
            <v>0</v>
          </cell>
          <cell r="GV444" t="b">
            <v>0</v>
          </cell>
        </row>
        <row r="445">
          <cell r="F445" t="str">
            <v>Additional paid in capital</v>
          </cell>
          <cell r="I445">
            <v>1277.25</v>
          </cell>
          <cell r="J445">
            <v>2139.7719999999999</v>
          </cell>
          <cell r="K445">
            <v>2180.12</v>
          </cell>
          <cell r="L445">
            <v>2251.2460000000001</v>
          </cell>
          <cell r="M445">
            <v>2345.9609999999998</v>
          </cell>
          <cell r="N445">
            <v>2379.817</v>
          </cell>
          <cell r="P445">
            <v>2335.2779999999998</v>
          </cell>
          <cell r="Q445">
            <v>2379.817</v>
          </cell>
          <cell r="GR445" t="str">
            <v>mstag:additionalPaidInCapital</v>
          </cell>
          <cell r="GS445">
            <v>6</v>
          </cell>
          <cell r="GT445" t="str">
            <v>ISO4217:USD</v>
          </cell>
          <cell r="GU445" t="b">
            <v>0</v>
          </cell>
          <cell r="GV445" t="b">
            <v>0</v>
          </cell>
        </row>
        <row r="446">
          <cell r="E446" t="str">
            <v>Retained earnings</v>
          </cell>
          <cell r="G446">
            <v>0</v>
          </cell>
          <cell r="H446">
            <v>-55.646999999999998</v>
          </cell>
          <cell r="I446">
            <v>-67.998999999999995</v>
          </cell>
          <cell r="J446">
            <v>-82.432000000000002</v>
          </cell>
          <cell r="K446">
            <v>-77.382999999999996</v>
          </cell>
          <cell r="L446">
            <v>-76.022999999999996</v>
          </cell>
          <cell r="M446">
            <v>-168.75299999999999</v>
          </cell>
          <cell r="N446">
            <v>-254.94199999999998</v>
          </cell>
          <cell r="P446">
            <v>-159.226</v>
          </cell>
          <cell r="Q446">
            <v>-254.94199999999998</v>
          </cell>
          <cell r="GR446" t="str">
            <v>mstag:retainedEarnings</v>
          </cell>
          <cell r="GS446">
            <v>6</v>
          </cell>
          <cell r="GT446" t="str">
            <v>ISO4217:USD</v>
          </cell>
          <cell r="GU446" t="b">
            <v>0</v>
          </cell>
          <cell r="GV446" t="b">
            <v>0</v>
          </cell>
        </row>
        <row r="447">
          <cell r="E447" t="str">
            <v>Accumulated other comprehensive income (loss) and reserves</v>
          </cell>
          <cell r="G447">
            <v>0</v>
          </cell>
          <cell r="H447">
            <v>0</v>
          </cell>
          <cell r="I447">
            <v>0</v>
          </cell>
          <cell r="J447">
            <v>0</v>
          </cell>
          <cell r="K447">
            <v>0</v>
          </cell>
          <cell r="L447">
            <v>-0.19199999999999984</v>
          </cell>
          <cell r="M447">
            <v>-2.1110000000000002</v>
          </cell>
          <cell r="N447">
            <v>0</v>
          </cell>
          <cell r="P447">
            <v>-2.1109999999999998</v>
          </cell>
          <cell r="Q447">
            <v>0</v>
          </cell>
          <cell r="GR447" t="str">
            <v>mstag:accumulatedOtherComprehensiveIncomeLossAndReserves</v>
          </cell>
          <cell r="GS447">
            <v>6</v>
          </cell>
          <cell r="GT447" t="str">
            <v>ISO4217:USD</v>
          </cell>
          <cell r="GU447" t="b">
            <v>0</v>
          </cell>
          <cell r="GV447" t="b">
            <v>0</v>
          </cell>
        </row>
        <row r="448">
          <cell r="F448" t="str">
            <v>Cumulative translation adjustment</v>
          </cell>
          <cell r="GR448" t="str">
            <v>mstag:cumulativeTranslationAdjustment</v>
          </cell>
          <cell r="GS448">
            <v>6</v>
          </cell>
          <cell r="GT448" t="str">
            <v>ISO4217:USD</v>
          </cell>
          <cell r="GU448" t="b">
            <v>0</v>
          </cell>
          <cell r="GV448" t="b">
            <v>0</v>
          </cell>
        </row>
        <row r="449">
          <cell r="F449" t="str">
            <v>Unrealized gains and losses on securities and other financial instruments</v>
          </cell>
          <cell r="K449">
            <v>0</v>
          </cell>
          <cell r="L449">
            <v>-0.58999999999999986</v>
          </cell>
          <cell r="GR449" t="str">
            <v>mstag:unrealizedGainsAndLossesOnSecuritiesAndOtherFinancialInstruments</v>
          </cell>
          <cell r="GS449">
            <v>6</v>
          </cell>
          <cell r="GT449" t="str">
            <v>ISO4217:USD</v>
          </cell>
          <cell r="GU449" t="b">
            <v>0</v>
          </cell>
          <cell r="GV449" t="b">
            <v>0</v>
          </cell>
        </row>
        <row r="450">
          <cell r="F450" t="str">
            <v>Minimum pension liability</v>
          </cell>
          <cell r="GR450" t="str">
            <v>mstag:minimumPensionLiability</v>
          </cell>
          <cell r="GS450">
            <v>6</v>
          </cell>
          <cell r="GT450" t="str">
            <v>ISO4217:USD</v>
          </cell>
          <cell r="GU450" t="b">
            <v>0</v>
          </cell>
          <cell r="GV450" t="b">
            <v>0</v>
          </cell>
        </row>
        <row r="451">
          <cell r="F451" t="str">
            <v>Cash flow hedges</v>
          </cell>
          <cell r="GR451" t="str">
            <v>mstag:cashFlowHedges</v>
          </cell>
          <cell r="GS451">
            <v>6</v>
          </cell>
          <cell r="GT451" t="str">
            <v>ISO4217:USD</v>
          </cell>
          <cell r="GU451" t="b">
            <v>0</v>
          </cell>
          <cell r="GV451" t="b">
            <v>0</v>
          </cell>
        </row>
        <row r="452">
          <cell r="F452" t="str">
            <v>Other accumulated OCI and reserves</v>
          </cell>
          <cell r="K452">
            <v>0</v>
          </cell>
          <cell r="L452">
            <v>0.39800000000000002</v>
          </cell>
          <cell r="M452">
            <v>-2.1110000000000002</v>
          </cell>
          <cell r="GR452" t="str">
            <v>mstag:otherAccumulatedOciAndReserves</v>
          </cell>
          <cell r="GS452">
            <v>6</v>
          </cell>
          <cell r="GT452" t="str">
            <v>ISO4217:USD</v>
          </cell>
          <cell r="GU452" t="b">
            <v>0</v>
          </cell>
          <cell r="GV452" t="b">
            <v>0</v>
          </cell>
        </row>
        <row r="453">
          <cell r="F453" t="str">
            <v>Revaluation reserves</v>
          </cell>
          <cell r="GR453" t="str">
            <v>mstag:revaluationReserves</v>
          </cell>
          <cell r="GS453">
            <v>6</v>
          </cell>
          <cell r="GT453" t="str">
            <v>ISO4217:USD</v>
          </cell>
          <cell r="GU453" t="b">
            <v>0</v>
          </cell>
          <cell r="GV453" t="b">
            <v>0</v>
          </cell>
        </row>
        <row r="454">
          <cell r="F454" t="str">
            <v>Unearned compensation reserve</v>
          </cell>
          <cell r="GR454" t="str">
            <v>mstag:unearnedCompensationReserve</v>
          </cell>
          <cell r="GS454">
            <v>6</v>
          </cell>
          <cell r="GT454" t="str">
            <v>ISO4217:USD</v>
          </cell>
          <cell r="GU454" t="b">
            <v>0</v>
          </cell>
          <cell r="GV454" t="b">
            <v>0</v>
          </cell>
        </row>
        <row r="455">
          <cell r="E455" t="str">
            <v>Treasury stock and investment in own shares</v>
          </cell>
          <cell r="GR455" t="str">
            <v>mstag:treasuryStockAndInvestmentInOwnShares</v>
          </cell>
          <cell r="GS455">
            <v>6</v>
          </cell>
          <cell r="GT455" t="str">
            <v>ISO4217:USD</v>
          </cell>
          <cell r="GU455" t="b">
            <v>0</v>
          </cell>
          <cell r="GV455" t="b">
            <v>0</v>
          </cell>
        </row>
        <row r="456">
          <cell r="E456" t="str">
            <v>Warrants and rights outstanding, equity</v>
          </cell>
          <cell r="GR456" t="str">
            <v>mstag:warrantsAndRightsOutstandingEquity</v>
          </cell>
          <cell r="GS456">
            <v>6</v>
          </cell>
          <cell r="GT456" t="str">
            <v>ISO4217:USD</v>
          </cell>
          <cell r="GU456" t="b">
            <v>0</v>
          </cell>
          <cell r="GV456" t="b">
            <v>0</v>
          </cell>
        </row>
        <row r="457">
          <cell r="E457" t="str">
            <v>Other equity items</v>
          </cell>
          <cell r="GR457" t="str">
            <v>mstag:otherEquityItems</v>
          </cell>
          <cell r="GS457">
            <v>6</v>
          </cell>
          <cell r="GT457" t="str">
            <v>ISO4217:USD</v>
          </cell>
          <cell r="GU457" t="b">
            <v>0</v>
          </cell>
          <cell r="GV457" t="b">
            <v>0</v>
          </cell>
        </row>
        <row r="458">
          <cell r="B458" t="str">
            <v>Cash flow</v>
          </cell>
          <cell r="GS458">
            <v>0</v>
          </cell>
          <cell r="GT458" t="str">
            <v>ms_eqr_gcim_String:ms_eqr_gcim_string</v>
          </cell>
          <cell r="GU458" t="b">
            <v>0</v>
          </cell>
          <cell r="GV458" t="b">
            <v>0</v>
          </cell>
        </row>
        <row r="459">
          <cell r="C459" t="str">
            <v>Net income, reported, cash flow statement</v>
          </cell>
          <cell r="H459">
            <v>78.483999999999995</v>
          </cell>
          <cell r="I459">
            <v>110.70399999999999</v>
          </cell>
          <cell r="J459">
            <v>182.24</v>
          </cell>
          <cell r="K459">
            <v>261.93900000000002</v>
          </cell>
          <cell r="L459">
            <v>282.40899999999999</v>
          </cell>
          <cell r="M459">
            <v>207.167</v>
          </cell>
          <cell r="N459">
            <v>199.232</v>
          </cell>
          <cell r="P459">
            <v>206.32499999999999</v>
          </cell>
          <cell r="Q459">
            <v>199.232</v>
          </cell>
          <cell r="GR459" t="str">
            <v>mstag:netIncomeReported</v>
          </cell>
          <cell r="GS459">
            <v>6</v>
          </cell>
          <cell r="GT459" t="str">
            <v>ISO4217:USD</v>
          </cell>
          <cell r="GU459" t="b">
            <v>0</v>
          </cell>
          <cell r="GV459" t="b">
            <v>0</v>
          </cell>
        </row>
        <row r="460">
          <cell r="C460" t="str">
            <v>Depreciation, cash flow statement</v>
          </cell>
          <cell r="G460">
            <v>5.3339999999999996</v>
          </cell>
          <cell r="H460">
            <v>39.771000000000001</v>
          </cell>
          <cell r="I460">
            <v>61.414000000000001</v>
          </cell>
          <cell r="J460">
            <v>97.981999999999999</v>
          </cell>
          <cell r="K460">
            <v>143.80000000000001</v>
          </cell>
          <cell r="L460">
            <v>138.72300000000001</v>
          </cell>
          <cell r="M460">
            <v>154.565</v>
          </cell>
          <cell r="N460">
            <v>168.959</v>
          </cell>
          <cell r="P460">
            <v>154.565</v>
          </cell>
          <cell r="Q460">
            <v>168.959</v>
          </cell>
          <cell r="GR460" t="str">
            <v>mstag:depreciation</v>
          </cell>
          <cell r="GS460">
            <v>6</v>
          </cell>
          <cell r="GT460" t="str">
            <v>ISO4217:USD</v>
          </cell>
          <cell r="GU460" t="b">
            <v>0</v>
          </cell>
          <cell r="GV460" t="b">
            <v>0</v>
          </cell>
        </row>
        <row r="461">
          <cell r="C461" t="str">
            <v>Depreciation on operating leases, lessor, cash flow statement</v>
          </cell>
          <cell r="GR461" t="str">
            <v>mstag:depreciationRelatedToLessorFinancing</v>
          </cell>
          <cell r="GS461">
            <v>6</v>
          </cell>
          <cell r="GT461" t="str">
            <v>ISO4217:USD</v>
          </cell>
          <cell r="GU461" t="b">
            <v>0</v>
          </cell>
          <cell r="GV461" t="b">
            <v>0</v>
          </cell>
        </row>
        <row r="462">
          <cell r="C462" t="str">
            <v>Amortization of goodwill, cash flow statement</v>
          </cell>
          <cell r="GR462" t="str">
            <v>mstag:amortizationOfGoodwillCashFlowStatement</v>
          </cell>
          <cell r="GS462">
            <v>6</v>
          </cell>
          <cell r="GT462" t="str">
            <v>ISO4217:USD</v>
          </cell>
          <cell r="GU462" t="b">
            <v>0</v>
          </cell>
          <cell r="GV462" t="b">
            <v>0</v>
          </cell>
        </row>
        <row r="463">
          <cell r="C463" t="str">
            <v>Amortization of intangibles assumed to have indefinite life, cash flow statement</v>
          </cell>
          <cell r="GR463" t="str">
            <v>mstag:amortizationOfIntangiblesAssumedToHaveIndefiniteLife</v>
          </cell>
          <cell r="GS463">
            <v>6</v>
          </cell>
          <cell r="GT463" t="str">
            <v>ISO4217:USD</v>
          </cell>
          <cell r="GU463" t="b">
            <v>0</v>
          </cell>
          <cell r="GV463" t="b">
            <v>0</v>
          </cell>
        </row>
        <row r="464">
          <cell r="C464" t="str">
            <v>Amortization of other intangibles, cash flow statement</v>
          </cell>
          <cell r="H464" t="str">
            <v/>
          </cell>
          <cell r="I464" t="str">
            <v/>
          </cell>
          <cell r="J464" t="str">
            <v/>
          </cell>
          <cell r="K464" t="str">
            <v/>
          </cell>
          <cell r="L464" t="str">
            <v/>
          </cell>
          <cell r="M464" t="str">
            <v/>
          </cell>
          <cell r="N464" t="str">
            <v/>
          </cell>
          <cell r="P464" t="str">
            <v/>
          </cell>
          <cell r="Q464" t="str">
            <v/>
          </cell>
          <cell r="GR464" t="str">
            <v>mstag:amortizationOfOtherIntangibles</v>
          </cell>
          <cell r="GS464">
            <v>6</v>
          </cell>
          <cell r="GT464" t="str">
            <v>ISO4217:USD</v>
          </cell>
          <cell r="GU464" t="b">
            <v>0</v>
          </cell>
          <cell r="GV464" t="b">
            <v>0</v>
          </cell>
        </row>
        <row r="465">
          <cell r="D465" t="str">
            <v>Amortization of taxable other intangibles, cash flow statement</v>
          </cell>
          <cell r="GR465" t="str">
            <v>mstag:amortizationOfTaxableOtherIntangiblesCashFlowStatement</v>
          </cell>
          <cell r="GS465">
            <v>6</v>
          </cell>
          <cell r="GT465" t="str">
            <v>ISO4217:USD</v>
          </cell>
          <cell r="GU465" t="b">
            <v>0</v>
          </cell>
          <cell r="GV465" t="b">
            <v>0</v>
          </cell>
        </row>
        <row r="466">
          <cell r="D466" t="str">
            <v>Amortization of nontaxable other intangibles, cash flow statement</v>
          </cell>
          <cell r="GR466" t="str">
            <v>mstag:amortizationOfNonTaxableOtherIntangiblesCashFlowStatement</v>
          </cell>
          <cell r="GS466">
            <v>6</v>
          </cell>
          <cell r="GT466" t="str">
            <v>ISO4217:USD</v>
          </cell>
          <cell r="GU466" t="b">
            <v>0</v>
          </cell>
          <cell r="GV466" t="b">
            <v>0</v>
          </cell>
        </row>
        <row r="467">
          <cell r="C467" t="str">
            <v>Restructuring costs, recurring, cash flow statement</v>
          </cell>
          <cell r="GR467" t="str">
            <v>mstag:restructuringCostsRecurringCashFlowStatement</v>
          </cell>
          <cell r="GS467">
            <v>6</v>
          </cell>
          <cell r="GT467" t="str">
            <v>ISO4217:USD</v>
          </cell>
          <cell r="GU467" t="b">
            <v>0</v>
          </cell>
          <cell r="GV467" t="b">
            <v>0</v>
          </cell>
        </row>
        <row r="468">
          <cell r="C468" t="str">
            <v>Restructuring costs, one time, cash flow statement</v>
          </cell>
          <cell r="GR468" t="str">
            <v>mstag:restructuringCostsOneTimeCashFlowStatement</v>
          </cell>
          <cell r="GS468">
            <v>6</v>
          </cell>
          <cell r="GT468" t="str">
            <v>ISO4217:USD</v>
          </cell>
          <cell r="GU468" t="b">
            <v>0</v>
          </cell>
          <cell r="GV468" t="b">
            <v>0</v>
          </cell>
        </row>
        <row r="469">
          <cell r="C469" t="str">
            <v>Legal provision, recurring, cash flow statement</v>
          </cell>
          <cell r="GR469" t="str">
            <v>mstag:legalProvisionRecurringCashFlowStatement</v>
          </cell>
          <cell r="GS469">
            <v>6</v>
          </cell>
          <cell r="GT469" t="str">
            <v>ISO4217:USD</v>
          </cell>
          <cell r="GU469" t="b">
            <v>0</v>
          </cell>
          <cell r="GV469" t="b">
            <v>0</v>
          </cell>
        </row>
        <row r="470">
          <cell r="C470" t="str">
            <v>Legal provision, one time, cash flow statement</v>
          </cell>
          <cell r="GR470" t="str">
            <v>mstag:legalProvisionOneTimeCashFlowStatement</v>
          </cell>
          <cell r="GS470">
            <v>6</v>
          </cell>
          <cell r="GT470" t="str">
            <v>ISO4217:USD</v>
          </cell>
          <cell r="GU470" t="b">
            <v>0</v>
          </cell>
          <cell r="GV470" t="b">
            <v>0</v>
          </cell>
        </row>
        <row r="471">
          <cell r="C471" t="str">
            <v>Environmental provision, recurring, cash flow statement</v>
          </cell>
          <cell r="GR471" t="str">
            <v>mstag:environmentalProvisionRecurringCashFlowStatement</v>
          </cell>
          <cell r="GS471">
            <v>6</v>
          </cell>
          <cell r="GT471" t="str">
            <v>ISO4217:USD</v>
          </cell>
          <cell r="GU471" t="b">
            <v>0</v>
          </cell>
          <cell r="GV471" t="b">
            <v>0</v>
          </cell>
        </row>
        <row r="472">
          <cell r="C472" t="str">
            <v>Environmental provision, one time, cash flow statement</v>
          </cell>
          <cell r="GR472" t="str">
            <v>mstag:environmentalProvisionOneTimeCashFlowStatement</v>
          </cell>
          <cell r="GS472">
            <v>6</v>
          </cell>
          <cell r="GT472" t="str">
            <v>ISO4217:USD</v>
          </cell>
          <cell r="GU472" t="b">
            <v>0</v>
          </cell>
          <cell r="GV472" t="b">
            <v>0</v>
          </cell>
        </row>
        <row r="473">
          <cell r="C473" t="str">
            <v>Other provisions, recurring, cash flow statement</v>
          </cell>
          <cell r="GR473" t="str">
            <v>mstag:otherProvisionsRecurringCashFlowStatement</v>
          </cell>
          <cell r="GS473">
            <v>6</v>
          </cell>
          <cell r="GT473" t="str">
            <v>ISO4217:USD</v>
          </cell>
          <cell r="GU473" t="b">
            <v>0</v>
          </cell>
          <cell r="GV473" t="b">
            <v>0</v>
          </cell>
        </row>
        <row r="474">
          <cell r="C474" t="str">
            <v>Other provisions, one time, cash flow statement</v>
          </cell>
          <cell r="GR474" t="str">
            <v>mstag:otherProvisionsOneTimeCashFlowStatement</v>
          </cell>
          <cell r="GS474">
            <v>6</v>
          </cell>
          <cell r="GT474" t="str">
            <v>ISO4217:USD</v>
          </cell>
          <cell r="GU474" t="b">
            <v>0</v>
          </cell>
          <cell r="GV474" t="b">
            <v>0</v>
          </cell>
        </row>
        <row r="475">
          <cell r="C475" t="str">
            <v>Goodwill impairment, cash flow statement</v>
          </cell>
          <cell r="GR475" t="str">
            <v>mstag:goodwillImpairmentCashFlowStatement</v>
          </cell>
          <cell r="GS475">
            <v>6</v>
          </cell>
          <cell r="GT475" t="str">
            <v>ISO4217:USD</v>
          </cell>
          <cell r="GU475" t="b">
            <v>0</v>
          </cell>
          <cell r="GV475" t="b">
            <v>0</v>
          </cell>
        </row>
        <row r="476">
          <cell r="C476" t="str">
            <v>Indefinite life intangible impairment, cash flow statement</v>
          </cell>
          <cell r="GR476" t="str">
            <v>mstag:indefiniteLifeIntangibleImpairmentCashFlowStatement</v>
          </cell>
          <cell r="GS476">
            <v>6</v>
          </cell>
          <cell r="GT476" t="str">
            <v>ISO4217:USD</v>
          </cell>
          <cell r="GU476" t="b">
            <v>0</v>
          </cell>
          <cell r="GV476" t="b">
            <v>0</v>
          </cell>
        </row>
        <row r="477">
          <cell r="C477" t="str">
            <v>Asset impairment, nongoodwill, one time, cash flow statement</v>
          </cell>
          <cell r="GR477" t="str">
            <v>mstag:assetImpairmentNonGoodwillOneTime</v>
          </cell>
          <cell r="GS477">
            <v>6</v>
          </cell>
          <cell r="GT477" t="str">
            <v>ISO4217:USD</v>
          </cell>
          <cell r="GU477" t="b">
            <v>0</v>
          </cell>
          <cell r="GV477" t="b">
            <v>0</v>
          </cell>
        </row>
        <row r="478">
          <cell r="C478" t="str">
            <v>Gains (losses) from sale of PPE and intangibles, recurring, cash flow statement</v>
          </cell>
          <cell r="GR478" t="str">
            <v>mstag:gainsLossesFromSaleOfOperatingAssetsRecurring</v>
          </cell>
          <cell r="GS478">
            <v>6</v>
          </cell>
          <cell r="GT478" t="str">
            <v>ISO4217:USD</v>
          </cell>
          <cell r="GU478" t="b">
            <v>0</v>
          </cell>
          <cell r="GV478" t="b">
            <v>0</v>
          </cell>
        </row>
        <row r="479">
          <cell r="C479" t="str">
            <v>Gains (losses) from sale of PPE and intangibles, one time, cash flow statement</v>
          </cell>
          <cell r="H479">
            <v>1.7749999999999999</v>
          </cell>
          <cell r="I479">
            <v>1.351</v>
          </cell>
          <cell r="J479">
            <v>7.9320000000000004</v>
          </cell>
          <cell r="K479">
            <v>60.692</v>
          </cell>
          <cell r="L479">
            <v>45.707999999999998</v>
          </cell>
          <cell r="M479">
            <v>1.048</v>
          </cell>
          <cell r="N479">
            <v>28.776</v>
          </cell>
          <cell r="P479">
            <v>1.048</v>
          </cell>
          <cell r="Q479">
            <v>28.776</v>
          </cell>
          <cell r="GR479" t="str">
            <v>mstag:gainsLossesFromSaleOfOperatingAssetsOneTime</v>
          </cell>
          <cell r="GS479">
            <v>6</v>
          </cell>
          <cell r="GT479" t="str">
            <v>ISO4217:USD</v>
          </cell>
          <cell r="GU479" t="b">
            <v>0</v>
          </cell>
          <cell r="GV479" t="b">
            <v>0</v>
          </cell>
        </row>
        <row r="480">
          <cell r="C480" t="str">
            <v>Bonus paid to directors and corporate auditors (Japan)</v>
          </cell>
          <cell r="GR480" t="str">
            <v>mstag:bonusPaidToDirectorsAndCorporateAuditorsJapan</v>
          </cell>
          <cell r="GS480">
            <v>6</v>
          </cell>
          <cell r="GT480" t="str">
            <v>ISO4217:USD</v>
          </cell>
          <cell r="GU480" t="b">
            <v>0</v>
          </cell>
          <cell r="GV480" t="b">
            <v>0</v>
          </cell>
        </row>
        <row r="481">
          <cell r="C481" t="str">
            <v>Bonus to directors and supervisors, cash flow statement (Taiwan)</v>
          </cell>
          <cell r="GR481" t="str">
            <v>mstag:bonusToDirectorsAndSupervisorsTaiwanCashFlow</v>
          </cell>
          <cell r="GS481">
            <v>6</v>
          </cell>
          <cell r="GT481" t="str">
            <v>ISO4217:USD</v>
          </cell>
          <cell r="GU481" t="b">
            <v>0</v>
          </cell>
          <cell r="GV481" t="b">
            <v>0</v>
          </cell>
        </row>
        <row r="482">
          <cell r="C482" t="str">
            <v>Employee cash bonus, cash flow statement (Taiwan)</v>
          </cell>
          <cell r="GR482" t="str">
            <v>mstag:employeeCashBonusTaiwanCashFlow</v>
          </cell>
          <cell r="GS482">
            <v>6</v>
          </cell>
          <cell r="GT482" t="str">
            <v>ISO4217:USD</v>
          </cell>
          <cell r="GU482" t="b">
            <v>0</v>
          </cell>
          <cell r="GV482" t="b">
            <v>0</v>
          </cell>
        </row>
        <row r="483">
          <cell r="C483" t="str">
            <v>Capital expenditures</v>
          </cell>
          <cell r="G483">
            <v>0</v>
          </cell>
          <cell r="H483">
            <v>602.20400000000006</v>
          </cell>
          <cell r="I483">
            <v>644.85299999999995</v>
          </cell>
          <cell r="J483">
            <v>673.25599999999997</v>
          </cell>
          <cell r="K483">
            <v>140.06599999999997</v>
          </cell>
          <cell r="L483">
            <v>-35.444000000000031</v>
          </cell>
          <cell r="M483">
            <v>290.83299999999997</v>
          </cell>
          <cell r="N483">
            <v>272.78399999999999</v>
          </cell>
          <cell r="P483">
            <v>290.83299999999997</v>
          </cell>
          <cell r="Q483">
            <v>272.78399999999999</v>
          </cell>
          <cell r="GR483" t="str">
            <v>mstag:capitalExpenditures</v>
          </cell>
          <cell r="GS483">
            <v>6</v>
          </cell>
          <cell r="GT483" t="str">
            <v>ISO4217:USD</v>
          </cell>
          <cell r="GU483" t="b">
            <v>0</v>
          </cell>
          <cell r="GV483" t="b">
            <v>0</v>
          </cell>
        </row>
        <row r="484">
          <cell r="D484" t="str">
            <v>Capital expenditures, sustaining</v>
          </cell>
          <cell r="H484">
            <v>14.253000000000002</v>
          </cell>
          <cell r="I484">
            <v>19.646000000000001</v>
          </cell>
          <cell r="J484">
            <v>37.220999999999997</v>
          </cell>
          <cell r="K484">
            <v>56.289000000000001</v>
          </cell>
          <cell r="L484">
            <v>43.134</v>
          </cell>
          <cell r="M484">
            <v>59.359000000000002</v>
          </cell>
          <cell r="N484">
            <v>76.447999999999993</v>
          </cell>
          <cell r="P484">
            <v>59.358999999999995</v>
          </cell>
          <cell r="Q484">
            <v>76.447999999999993</v>
          </cell>
          <cell r="GR484" t="str">
            <v>mstag:capitalExpendituresMaintenance</v>
          </cell>
          <cell r="GS484">
            <v>6</v>
          </cell>
          <cell r="GT484" t="str">
            <v>ISO4217:USD</v>
          </cell>
          <cell r="GU484" t="b">
            <v>0</v>
          </cell>
          <cell r="GV484" t="b">
            <v>0</v>
          </cell>
        </row>
        <row r="485">
          <cell r="D485" t="str">
            <v>Capital expenditures, growth</v>
          </cell>
          <cell r="H485">
            <v>587.95100000000002</v>
          </cell>
          <cell r="I485">
            <v>625.20699999999999</v>
          </cell>
          <cell r="J485">
            <v>636.03499999999997</v>
          </cell>
          <cell r="K485">
            <v>83.776999999999987</v>
          </cell>
          <cell r="L485">
            <v>-78.578000000000031</v>
          </cell>
          <cell r="M485">
            <v>231.47399999999996</v>
          </cell>
          <cell r="N485">
            <v>196.33599999999998</v>
          </cell>
          <cell r="P485">
            <v>231.47399999999999</v>
          </cell>
          <cell r="Q485">
            <v>196.33599999999998</v>
          </cell>
          <cell r="GR485" t="str">
            <v>mstag:capitalExpendituresGrowth</v>
          </cell>
          <cell r="GS485">
            <v>6</v>
          </cell>
          <cell r="GT485" t="str">
            <v>ISO4217:USD</v>
          </cell>
          <cell r="GU485" t="b">
            <v>0</v>
          </cell>
          <cell r="GV485" t="b">
            <v>0</v>
          </cell>
        </row>
        <row r="486">
          <cell r="E486" t="str">
            <v>Capital expenditures, development</v>
          </cell>
          <cell r="H486">
            <v>195.08799999999999</v>
          </cell>
          <cell r="I486">
            <v>279.39100000000002</v>
          </cell>
          <cell r="J486">
            <v>479.642</v>
          </cell>
          <cell r="K486">
            <v>392.12700000000001</v>
          </cell>
          <cell r="L486">
            <v>251.405</v>
          </cell>
          <cell r="M486">
            <v>158.131</v>
          </cell>
          <cell r="N486">
            <v>129.19899999999998</v>
          </cell>
          <cell r="P486">
            <v>158.131</v>
          </cell>
          <cell r="Q486">
            <v>129.19899999999998</v>
          </cell>
          <cell r="GR486" t="str">
            <v>mstag:capitalExpendituresDevelopment</v>
          </cell>
          <cell r="GS486">
            <v>6</v>
          </cell>
          <cell r="GT486" t="str">
            <v>ISO4217:USD</v>
          </cell>
          <cell r="GU486" t="b">
            <v>0</v>
          </cell>
          <cell r="GV486" t="b">
            <v>0</v>
          </cell>
        </row>
        <row r="487">
          <cell r="F487" t="str">
            <v>Capital expenditures, ground up development</v>
          </cell>
          <cell r="GR487" t="str">
            <v>mstag:capitalExpendituresGroundUpDevelopment</v>
          </cell>
          <cell r="GS487">
            <v>6</v>
          </cell>
          <cell r="GT487" t="str">
            <v>ISO4217:USD</v>
          </cell>
          <cell r="GU487" t="b">
            <v>0</v>
          </cell>
          <cell r="GV487" t="b">
            <v>0</v>
          </cell>
        </row>
        <row r="488">
          <cell r="F488" t="str">
            <v>Capital expenditures, redevelopment and expansion</v>
          </cell>
          <cell r="H488">
            <v>195.08799999999999</v>
          </cell>
          <cell r="I488">
            <v>279.39100000000002</v>
          </cell>
          <cell r="J488">
            <v>479.642</v>
          </cell>
          <cell r="K488">
            <v>392.12700000000001</v>
          </cell>
          <cell r="L488">
            <v>251.405</v>
          </cell>
          <cell r="M488">
            <v>158.131</v>
          </cell>
          <cell r="GR488" t="str">
            <v>mstag:capitalExpendituresRedevelopmentAndExpansion</v>
          </cell>
          <cell r="GS488">
            <v>6</v>
          </cell>
          <cell r="GT488" t="str">
            <v>ISO4217:USD</v>
          </cell>
          <cell r="GU488" t="b">
            <v>0</v>
          </cell>
          <cell r="GV488" t="b">
            <v>0</v>
          </cell>
        </row>
        <row r="489">
          <cell r="E489" t="str">
            <v>Capital expenditures, acquisitions</v>
          </cell>
          <cell r="H489">
            <v>425.423</v>
          </cell>
          <cell r="I489">
            <v>354.887</v>
          </cell>
          <cell r="J489">
            <v>232.79399999999998</v>
          </cell>
          <cell r="K489">
            <v>105.402</v>
          </cell>
          <cell r="L489">
            <v>106.13</v>
          </cell>
          <cell r="M489">
            <v>125.529</v>
          </cell>
          <cell r="N489">
            <v>234.76299999999998</v>
          </cell>
          <cell r="P489">
            <v>125.529</v>
          </cell>
          <cell r="Q489">
            <v>234.76299999999998</v>
          </cell>
          <cell r="GR489" t="str">
            <v>mstag:capitalExpendituresAcquisitions</v>
          </cell>
          <cell r="GS489">
            <v>6</v>
          </cell>
          <cell r="GT489" t="str">
            <v>ISO4217:USD</v>
          </cell>
          <cell r="GU489" t="b">
            <v>0</v>
          </cell>
          <cell r="GV489" t="b">
            <v>0</v>
          </cell>
        </row>
        <row r="490">
          <cell r="E490" t="str">
            <v>Capital expenditures, disposals</v>
          </cell>
          <cell r="H490">
            <v>32.56</v>
          </cell>
          <cell r="I490">
            <v>9.0709999999999997</v>
          </cell>
          <cell r="J490">
            <v>76.400999999999996</v>
          </cell>
          <cell r="K490">
            <v>413.75200000000001</v>
          </cell>
          <cell r="L490">
            <v>436.113</v>
          </cell>
          <cell r="M490">
            <v>52.186</v>
          </cell>
          <cell r="N490">
            <v>167.626</v>
          </cell>
          <cell r="P490">
            <v>52.186</v>
          </cell>
          <cell r="Q490">
            <v>167.626</v>
          </cell>
          <cell r="GR490" t="str">
            <v>mstag:capitalExpendituresDisposals</v>
          </cell>
          <cell r="GS490">
            <v>6</v>
          </cell>
          <cell r="GT490" t="str">
            <v>ISO4217:USD</v>
          </cell>
          <cell r="GU490" t="b">
            <v>0</v>
          </cell>
          <cell r="GV490" t="b">
            <v>0</v>
          </cell>
        </row>
        <row r="491">
          <cell r="C491" t="str">
            <v>Interest capitalized, cash flow statement</v>
          </cell>
          <cell r="GR491" t="str">
            <v>mstag:interestCapitalizedCashFlowStatement</v>
          </cell>
          <cell r="GS491">
            <v>6</v>
          </cell>
          <cell r="GT491" t="str">
            <v>ISO4217:USD</v>
          </cell>
          <cell r="GU491" t="b">
            <v>0</v>
          </cell>
          <cell r="GV491" t="b">
            <v>0</v>
          </cell>
        </row>
        <row r="492">
          <cell r="C492" t="str">
            <v>Unrealized foreign currency exchange gain (loss), cash flow statement</v>
          </cell>
          <cell r="GR492" t="str">
            <v>mstag:unrealizedForeignCurrencyExchangeGainLossCashFlowStatement</v>
          </cell>
          <cell r="GS492">
            <v>6</v>
          </cell>
          <cell r="GT492" t="str">
            <v>ISO4217:USD</v>
          </cell>
          <cell r="GU492" t="b">
            <v>0</v>
          </cell>
          <cell r="GV492" t="b">
            <v>0</v>
          </cell>
        </row>
        <row r="493">
          <cell r="C493" t="str">
            <v>Proceeds from sale of PPE and intangible assets</v>
          </cell>
          <cell r="GR493" t="str">
            <v>mstag:proceedsFromSaleOfPpeAndIntangibleAssets</v>
          </cell>
          <cell r="GS493">
            <v>6</v>
          </cell>
          <cell r="GT493" t="str">
            <v>ISO4217:USD</v>
          </cell>
          <cell r="GU493" t="b">
            <v>0</v>
          </cell>
          <cell r="GV493" t="b">
            <v>0</v>
          </cell>
        </row>
        <row r="494">
          <cell r="C494" t="str">
            <v>Amortization of discount (premium) on debt</v>
          </cell>
          <cell r="GR494" t="str">
            <v>mstag:amortizationOfDiscountPremiumOnDebtCashFlowStatement</v>
          </cell>
          <cell r="GS494">
            <v>6</v>
          </cell>
          <cell r="GT494" t="str">
            <v>ISO4217:USD</v>
          </cell>
          <cell r="GU494" t="b">
            <v>0</v>
          </cell>
          <cell r="GV494" t="b">
            <v>0</v>
          </cell>
        </row>
        <row r="495">
          <cell r="C495" t="str">
            <v>Net pension and OPEB expense, cash flow statement</v>
          </cell>
          <cell r="GR495" t="str">
            <v>mstag:netPensionAndOpebExpenseCashFlowStatement</v>
          </cell>
          <cell r="GS495">
            <v>6</v>
          </cell>
          <cell r="GT495" t="str">
            <v>ISO4217:USD</v>
          </cell>
          <cell r="GU495" t="b">
            <v>0</v>
          </cell>
          <cell r="GV495" t="b">
            <v>0</v>
          </cell>
        </row>
        <row r="496">
          <cell r="C496" t="str">
            <v>Net disposals (acquisitions)</v>
          </cell>
          <cell r="H496" t="str">
            <v/>
          </cell>
          <cell r="I496" t="str">
            <v/>
          </cell>
          <cell r="J496" t="str">
            <v/>
          </cell>
          <cell r="K496" t="str">
            <v/>
          </cell>
          <cell r="L496" t="str">
            <v/>
          </cell>
          <cell r="M496" t="str">
            <v/>
          </cell>
          <cell r="N496" t="str">
            <v/>
          </cell>
          <cell r="P496" t="str">
            <v/>
          </cell>
          <cell r="Q496" t="str">
            <v/>
          </cell>
          <cell r="GR496" t="str">
            <v>mstag:netDisposalsAcquisitions</v>
          </cell>
          <cell r="GS496">
            <v>6</v>
          </cell>
          <cell r="GT496" t="str">
            <v>ISO4217:USD</v>
          </cell>
          <cell r="GU496" t="b">
            <v>0</v>
          </cell>
          <cell r="GV496" t="b">
            <v>0</v>
          </cell>
        </row>
        <row r="497">
          <cell r="D497" t="str">
            <v>Capital expenditures reflected in cost of acquisitions</v>
          </cell>
          <cell r="H497" t="str">
            <v/>
          </cell>
          <cell r="I497" t="str">
            <v/>
          </cell>
          <cell r="J497" t="str">
            <v/>
          </cell>
          <cell r="K497" t="str">
            <v/>
          </cell>
          <cell r="L497" t="str">
            <v/>
          </cell>
          <cell r="M497" t="str">
            <v/>
          </cell>
          <cell r="N497" t="str">
            <v/>
          </cell>
          <cell r="P497" t="str">
            <v/>
          </cell>
          <cell r="Q497" t="str">
            <v/>
          </cell>
          <cell r="GR497" t="str">
            <v>mstag:capitalExpendituresReflectedInCostOfAcquisitions</v>
          </cell>
          <cell r="GS497">
            <v>6</v>
          </cell>
          <cell r="GT497" t="str">
            <v>ISO4217:USD</v>
          </cell>
          <cell r="GU497" t="b">
            <v>0</v>
          </cell>
          <cell r="GV497" t="b">
            <v>0</v>
          </cell>
        </row>
        <row r="498">
          <cell r="E498" t="str">
            <v>Capital expenditures reflected in cost of acquisitions, sustaining</v>
          </cell>
          <cell r="GR498" t="str">
            <v>mstag:capitalExpendituresReflectedInCostOfAcquisitionsMaintenance</v>
          </cell>
          <cell r="GS498">
            <v>6</v>
          </cell>
          <cell r="GT498" t="str">
            <v>ISO4217:USD</v>
          </cell>
          <cell r="GU498" t="b">
            <v>0</v>
          </cell>
          <cell r="GV498" t="b">
            <v>0</v>
          </cell>
        </row>
        <row r="499">
          <cell r="E499" t="str">
            <v>Capital expenditures reflected in cost of acquisitions, growth</v>
          </cell>
          <cell r="GR499" t="str">
            <v>mstag:capitalExpendituresReflectedInCostOfAcquisitionsGrowth</v>
          </cell>
          <cell r="GS499">
            <v>6</v>
          </cell>
          <cell r="GT499" t="str">
            <v>ISO4217:USD</v>
          </cell>
          <cell r="GU499" t="b">
            <v>0</v>
          </cell>
          <cell r="GV499" t="b">
            <v>0</v>
          </cell>
        </row>
        <row r="500">
          <cell r="D500" t="str">
            <v>Investment in intangible assets reflected in cost of acquisitions</v>
          </cell>
          <cell r="H500" t="str">
            <v/>
          </cell>
          <cell r="I500" t="str">
            <v/>
          </cell>
          <cell r="J500" t="str">
            <v/>
          </cell>
          <cell r="K500" t="str">
            <v/>
          </cell>
          <cell r="L500" t="str">
            <v/>
          </cell>
          <cell r="M500" t="str">
            <v/>
          </cell>
          <cell r="N500" t="str">
            <v/>
          </cell>
          <cell r="P500" t="str">
            <v/>
          </cell>
          <cell r="Q500" t="str">
            <v/>
          </cell>
          <cell r="GR500" t="str">
            <v>mstag:investmentInIntangibleAssetsReflectedInCostOfAcquisitions</v>
          </cell>
          <cell r="GS500">
            <v>6</v>
          </cell>
          <cell r="GT500" t="str">
            <v>ISO4217:USD</v>
          </cell>
          <cell r="GU500" t="b">
            <v>0</v>
          </cell>
          <cell r="GV500" t="b">
            <v>0</v>
          </cell>
        </row>
        <row r="501">
          <cell r="E501" t="str">
            <v>Investment in intangible assets reflected in cost of acquisitions, sustaining</v>
          </cell>
          <cell r="GR501" t="str">
            <v>mstag:investmentInIntangibleAssetsReflectedInCostOfAcquisitionsMaintenance</v>
          </cell>
          <cell r="GS501">
            <v>6</v>
          </cell>
          <cell r="GT501" t="str">
            <v>ISO4217:USD</v>
          </cell>
          <cell r="GU501" t="b">
            <v>0</v>
          </cell>
          <cell r="GV501" t="b">
            <v>0</v>
          </cell>
        </row>
        <row r="502">
          <cell r="E502" t="str">
            <v>Investment in intangible assets reflected in cost of acquisitions, growth</v>
          </cell>
          <cell r="GR502" t="str">
            <v>mstag:investmentInIntangibleAssetsReflectedInCostOfAcquisitionsGrowth</v>
          </cell>
          <cell r="GS502">
            <v>6</v>
          </cell>
          <cell r="GT502" t="str">
            <v>ISO4217:USD</v>
          </cell>
          <cell r="GU502" t="b">
            <v>0</v>
          </cell>
          <cell r="GV502" t="b">
            <v>0</v>
          </cell>
        </row>
        <row r="503">
          <cell r="D503" t="str">
            <v>Premium (goodwill) on acquisitions</v>
          </cell>
          <cell r="H503" t="str">
            <v/>
          </cell>
          <cell r="I503" t="str">
            <v/>
          </cell>
          <cell r="J503" t="str">
            <v/>
          </cell>
          <cell r="K503" t="str">
            <v/>
          </cell>
          <cell r="L503" t="str">
            <v/>
          </cell>
          <cell r="M503" t="str">
            <v/>
          </cell>
          <cell r="N503" t="str">
            <v/>
          </cell>
          <cell r="P503" t="str">
            <v/>
          </cell>
          <cell r="Q503" t="str">
            <v/>
          </cell>
          <cell r="GR503" t="str">
            <v>mstag:premiumGoodwillOnAcquisions</v>
          </cell>
          <cell r="GS503">
            <v>6</v>
          </cell>
          <cell r="GT503" t="str">
            <v>ISO4217:USD</v>
          </cell>
          <cell r="GU503" t="b">
            <v>0</v>
          </cell>
          <cell r="GV503" t="b">
            <v>0</v>
          </cell>
        </row>
        <row r="504">
          <cell r="E504" t="str">
            <v>Premium (goodwill) on acquisitions, sustaining</v>
          </cell>
          <cell r="GR504" t="str">
            <v>mstag:premiumGoodwillOnAcquisitionsSustaining</v>
          </cell>
          <cell r="GS504">
            <v>6</v>
          </cell>
          <cell r="GT504" t="str">
            <v>ISO4217:USD</v>
          </cell>
          <cell r="GU504" t="b">
            <v>0</v>
          </cell>
          <cell r="GV504" t="b">
            <v>0</v>
          </cell>
        </row>
        <row r="505">
          <cell r="E505" t="str">
            <v>Premium (goodwill) on acquisitions, growth</v>
          </cell>
          <cell r="GR505" t="str">
            <v>mstag:premiumGoodwillOnAcquisitionsGrowth</v>
          </cell>
          <cell r="GS505">
            <v>6</v>
          </cell>
          <cell r="GT505" t="str">
            <v>ISO4217:USD</v>
          </cell>
          <cell r="GU505" t="b">
            <v>0</v>
          </cell>
          <cell r="GV505" t="b">
            <v>0</v>
          </cell>
        </row>
        <row r="506">
          <cell r="D506" t="str">
            <v>Other assets (liabilities) acquired included in ending balance sheet totals</v>
          </cell>
          <cell r="GR506" t="str">
            <v>mstag:otherAssetsLiabilitiesIncludedInEndingBalanceSheetTotals</v>
          </cell>
          <cell r="GS506">
            <v>6</v>
          </cell>
          <cell r="GT506" t="str">
            <v>ISO4217:USD</v>
          </cell>
          <cell r="GU506" t="b">
            <v>0</v>
          </cell>
          <cell r="GV506" t="b">
            <v>0</v>
          </cell>
        </row>
        <row r="507">
          <cell r="D507" t="str">
            <v>Acquired in-process R &amp; D, acquisitions</v>
          </cell>
          <cell r="GR507" t="str">
            <v>mstag:acquiredInProcessRAndDAcquisitions</v>
          </cell>
          <cell r="GS507">
            <v>6</v>
          </cell>
          <cell r="GT507" t="str">
            <v>ISO4217:USD</v>
          </cell>
          <cell r="GU507" t="b">
            <v>0</v>
          </cell>
          <cell r="GV507" t="b">
            <v>0</v>
          </cell>
        </row>
        <row r="508">
          <cell r="D508" t="str">
            <v>Principal debt acquired</v>
          </cell>
          <cell r="GR508" t="str">
            <v>mstag:principalDebtAcquired</v>
          </cell>
          <cell r="GS508">
            <v>6</v>
          </cell>
          <cell r="GT508" t="str">
            <v>ISO4217:USD</v>
          </cell>
          <cell r="GU508" t="b">
            <v>0</v>
          </cell>
          <cell r="GV508" t="b">
            <v>0</v>
          </cell>
        </row>
        <row r="509">
          <cell r="D509" t="str">
            <v>Equity issued on acquisition</v>
          </cell>
          <cell r="GR509" t="str">
            <v>mstag:equityIssuedOnAcquisition</v>
          </cell>
          <cell r="GS509">
            <v>6</v>
          </cell>
          <cell r="GT509" t="str">
            <v>ISO4217:USD</v>
          </cell>
          <cell r="GU509" t="b">
            <v>0</v>
          </cell>
          <cell r="GV509" t="b">
            <v>0</v>
          </cell>
        </row>
        <row r="510">
          <cell r="C510" t="str">
            <v>Investment in intangible assets</v>
          </cell>
          <cell r="H510" t="str">
            <v/>
          </cell>
          <cell r="I510" t="str">
            <v/>
          </cell>
          <cell r="J510" t="str">
            <v/>
          </cell>
          <cell r="K510" t="str">
            <v/>
          </cell>
          <cell r="L510" t="str">
            <v/>
          </cell>
          <cell r="M510" t="str">
            <v/>
          </cell>
          <cell r="N510" t="str">
            <v/>
          </cell>
          <cell r="P510" t="str">
            <v/>
          </cell>
          <cell r="Q510" t="str">
            <v/>
          </cell>
          <cell r="GR510" t="str">
            <v>mstag:investmentInIntangibleAssets</v>
          </cell>
          <cell r="GS510">
            <v>6</v>
          </cell>
          <cell r="GT510" t="str">
            <v>ISO4217:USD</v>
          </cell>
          <cell r="GU510" t="b">
            <v>0</v>
          </cell>
          <cell r="GV510" t="b">
            <v>0</v>
          </cell>
        </row>
        <row r="511">
          <cell r="D511" t="str">
            <v>Investment in indefinite life intangibles</v>
          </cell>
          <cell r="H511" t="str">
            <v/>
          </cell>
          <cell r="I511" t="str">
            <v/>
          </cell>
          <cell r="J511" t="str">
            <v/>
          </cell>
          <cell r="K511" t="str">
            <v/>
          </cell>
          <cell r="L511" t="str">
            <v/>
          </cell>
          <cell r="M511" t="str">
            <v/>
          </cell>
          <cell r="N511" t="str">
            <v/>
          </cell>
          <cell r="P511" t="str">
            <v/>
          </cell>
          <cell r="Q511" t="str">
            <v/>
          </cell>
          <cell r="GR511" t="str">
            <v>mstag:investmentInIndefiniteLifeIntangibles</v>
          </cell>
          <cell r="GS511">
            <v>6</v>
          </cell>
          <cell r="GT511" t="str">
            <v>ISO4217:USD</v>
          </cell>
          <cell r="GU511" t="b">
            <v>0</v>
          </cell>
          <cell r="GV511" t="b">
            <v>0</v>
          </cell>
        </row>
        <row r="512">
          <cell r="E512" t="str">
            <v>Investment in indefinite life intangibles, sustaining</v>
          </cell>
          <cell r="GR512" t="str">
            <v>mstag:investmentInIndefiniteLifeIntangiblesMaintenance</v>
          </cell>
          <cell r="GS512">
            <v>6</v>
          </cell>
          <cell r="GT512" t="str">
            <v>ISO4217:USD</v>
          </cell>
          <cell r="GU512" t="b">
            <v>0</v>
          </cell>
          <cell r="GV512" t="b">
            <v>0</v>
          </cell>
        </row>
        <row r="513">
          <cell r="E513" t="str">
            <v>Investment in indefinite life intangibles, growth</v>
          </cell>
          <cell r="GR513" t="str">
            <v>mstag:investmentInIndefiniteLifeIntangiblesGrowth</v>
          </cell>
          <cell r="GS513">
            <v>6</v>
          </cell>
          <cell r="GT513" t="str">
            <v>ISO4217:USD</v>
          </cell>
          <cell r="GU513" t="b">
            <v>0</v>
          </cell>
          <cell r="GV513" t="b">
            <v>0</v>
          </cell>
        </row>
        <row r="514">
          <cell r="D514" t="str">
            <v>Investment in definite life intangibles</v>
          </cell>
          <cell r="H514" t="str">
            <v/>
          </cell>
          <cell r="I514" t="str">
            <v/>
          </cell>
          <cell r="J514" t="str">
            <v/>
          </cell>
          <cell r="K514" t="str">
            <v/>
          </cell>
          <cell r="L514" t="str">
            <v/>
          </cell>
          <cell r="M514" t="str">
            <v/>
          </cell>
          <cell r="N514" t="str">
            <v/>
          </cell>
          <cell r="P514" t="str">
            <v/>
          </cell>
          <cell r="Q514" t="str">
            <v/>
          </cell>
          <cell r="GR514" t="str">
            <v>mstag:investmentInDefiniteLifeIntangibles</v>
          </cell>
          <cell r="GS514">
            <v>6</v>
          </cell>
          <cell r="GT514" t="str">
            <v>ISO4217:USD</v>
          </cell>
          <cell r="GU514" t="b">
            <v>0</v>
          </cell>
          <cell r="GV514" t="b">
            <v>0</v>
          </cell>
        </row>
        <row r="515">
          <cell r="E515" t="str">
            <v>Investment in definite life intangibles, sustaining</v>
          </cell>
          <cell r="GR515" t="str">
            <v>mstag:investmentInDefiniteLifeIntangiblesMaintenance</v>
          </cell>
          <cell r="GS515">
            <v>6</v>
          </cell>
          <cell r="GT515" t="str">
            <v>ISO4217:USD</v>
          </cell>
          <cell r="GU515" t="b">
            <v>0</v>
          </cell>
          <cell r="GV515" t="b">
            <v>0</v>
          </cell>
        </row>
        <row r="516">
          <cell r="E516" t="str">
            <v>Investment in definite life intangibles, growth</v>
          </cell>
          <cell r="GR516" t="str">
            <v>mstag:investmentInDefiniteLifeIntangiblesGrowth</v>
          </cell>
          <cell r="GS516">
            <v>6</v>
          </cell>
          <cell r="GT516" t="str">
            <v>ISO4217:USD</v>
          </cell>
          <cell r="GU516" t="b">
            <v>0</v>
          </cell>
          <cell r="GV516" t="b">
            <v>0</v>
          </cell>
        </row>
        <row r="517">
          <cell r="C517" t="str">
            <v>Income (loss) from investments under the equity method, operating, cash flow statement</v>
          </cell>
          <cell r="H517">
            <v>5.5350000000000001</v>
          </cell>
          <cell r="I517">
            <v>5.5209999999999999</v>
          </cell>
          <cell r="J517">
            <v>0.188</v>
          </cell>
          <cell r="K517">
            <v>2.5110000000000001</v>
          </cell>
          <cell r="L517">
            <v>1.8440000000000001</v>
          </cell>
          <cell r="M517">
            <v>-4.5750000000000002</v>
          </cell>
          <cell r="N517">
            <v>-8.7829999999999995</v>
          </cell>
          <cell r="P517">
            <v>-4.5750000000000002</v>
          </cell>
          <cell r="Q517">
            <v>-8.7829999999999995</v>
          </cell>
          <cell r="GR517" t="str">
            <v>mstag:incomeLossFromInvestmentsAccountedForUnderTheEquityMethodOperating</v>
          </cell>
          <cell r="GS517">
            <v>6</v>
          </cell>
          <cell r="GT517" t="str">
            <v>ISO4217:USD</v>
          </cell>
          <cell r="GU517" t="b">
            <v>0</v>
          </cell>
          <cell r="GV517" t="b">
            <v>0</v>
          </cell>
        </row>
        <row r="518">
          <cell r="C518" t="str">
            <v>Income (loss) from investments under the equity method, nonoperating, cash flow statement</v>
          </cell>
          <cell r="GR518" t="str">
            <v>mstag:incomeLossFromInvestmentsAccountedForUnderTheEquityMethodNonOperating</v>
          </cell>
          <cell r="GS518">
            <v>6</v>
          </cell>
          <cell r="GT518" t="str">
            <v>ISO4217:USD</v>
          </cell>
          <cell r="GU518" t="b">
            <v>0</v>
          </cell>
          <cell r="GV518" t="b">
            <v>0</v>
          </cell>
        </row>
        <row r="519">
          <cell r="C519" t="str">
            <v>Dividends from investments under the equity method, operating, cash flow statement</v>
          </cell>
          <cell r="H519">
            <v>60</v>
          </cell>
          <cell r="GR519" t="str">
            <v>mstag:dividendsFromInvestmentsAccountedForUnderTheEquityMethodOperating</v>
          </cell>
          <cell r="GS519">
            <v>6</v>
          </cell>
          <cell r="GT519" t="str">
            <v>ISO4217:USD</v>
          </cell>
          <cell r="GU519" t="b">
            <v>0</v>
          </cell>
          <cell r="GV519" t="b">
            <v>0</v>
          </cell>
        </row>
        <row r="520">
          <cell r="C520" t="str">
            <v>Dividends from investments under the equity method, nonoperating, cash flow statement</v>
          </cell>
          <cell r="GR520" t="str">
            <v>mstag:dividendsFromInvestmentsAccountedForUnderTheEquityMethodNonOperating</v>
          </cell>
          <cell r="GS520">
            <v>6</v>
          </cell>
          <cell r="GT520" t="str">
            <v>ISO4217:USD</v>
          </cell>
          <cell r="GU520" t="b">
            <v>0</v>
          </cell>
          <cell r="GV520" t="b">
            <v>0</v>
          </cell>
        </row>
        <row r="521">
          <cell r="C521" t="str">
            <v>Net increase in deferred tax liabilities (assets)</v>
          </cell>
          <cell r="GR521" t="str">
            <v>mstag:deferredTax</v>
          </cell>
          <cell r="GS521">
            <v>6</v>
          </cell>
          <cell r="GT521" t="str">
            <v>ISO4217:USD</v>
          </cell>
          <cell r="GU521" t="b">
            <v>0</v>
          </cell>
          <cell r="GV521" t="b">
            <v>0</v>
          </cell>
        </row>
        <row r="522">
          <cell r="D522" t="str">
            <v>Net decrease in deferred tax asset from exercise of ESOs in the period</v>
          </cell>
          <cell r="GR522" t="str">
            <v>mstag:netDecreaseInDeferredTaxAssetFromExerciseOfEsosInThePeriod</v>
          </cell>
          <cell r="GS522">
            <v>6</v>
          </cell>
          <cell r="GT522" t="str">
            <v>ISO4217:USD</v>
          </cell>
          <cell r="GU522" t="b">
            <v>0</v>
          </cell>
          <cell r="GV522" t="b">
            <v>0</v>
          </cell>
        </row>
        <row r="523">
          <cell r="C523" t="str">
            <v>Net increase in income tax payable (receivable)</v>
          </cell>
          <cell r="GR523" t="str">
            <v>mstag:netIncreaseInIncomeTaxPayableReceivable</v>
          </cell>
          <cell r="GS523">
            <v>6</v>
          </cell>
          <cell r="GT523" t="str">
            <v>ISO4217:USD</v>
          </cell>
          <cell r="GU523" t="b">
            <v>0</v>
          </cell>
          <cell r="GV523" t="b">
            <v>0</v>
          </cell>
        </row>
        <row r="524">
          <cell r="D524" t="str">
            <v>Net decrease in income tax payable due to tax benefit from exercise of ESOs</v>
          </cell>
          <cell r="GR524" t="str">
            <v>mstag:netDecreaseInIncomeTaxPayableDueToTaxBenefitFromExerciseOfEsos</v>
          </cell>
          <cell r="GS524">
            <v>6</v>
          </cell>
          <cell r="GT524" t="str">
            <v>ISO4217:USD</v>
          </cell>
          <cell r="GU524" t="b">
            <v>0</v>
          </cell>
          <cell r="GV524" t="b">
            <v>0</v>
          </cell>
        </row>
        <row r="525">
          <cell r="C525" t="str">
            <v>Stock-based compensation charge, pretax</v>
          </cell>
          <cell r="GR525" t="str">
            <v>mstag:stockBasedCompensationChargePreTax</v>
          </cell>
          <cell r="GS525">
            <v>6</v>
          </cell>
          <cell r="GT525" t="str">
            <v>ISO4217:USD</v>
          </cell>
          <cell r="GU525" t="b">
            <v>0</v>
          </cell>
          <cell r="GV525" t="b">
            <v>0</v>
          </cell>
        </row>
        <row r="526">
          <cell r="C526" t="str">
            <v>Tax benefit from exercise of ESOs</v>
          </cell>
          <cell r="GR526" t="str">
            <v>mstag:taxBenefitFromExerciseOfEsosCashFlowStatement</v>
          </cell>
          <cell r="GS526">
            <v>6</v>
          </cell>
          <cell r="GT526" t="str">
            <v>ISO4217:USD</v>
          </cell>
          <cell r="GU526" t="b">
            <v>0</v>
          </cell>
          <cell r="GV526" t="b">
            <v>0</v>
          </cell>
        </row>
        <row r="527">
          <cell r="C527" t="str">
            <v>Net decrease in other assets, operating</v>
          </cell>
          <cell r="H527">
            <v>-4.4690000000000003</v>
          </cell>
          <cell r="I527">
            <v>-5.7939999999999996</v>
          </cell>
          <cell r="J527">
            <v>-10.676</v>
          </cell>
          <cell r="K527">
            <v>-14.519</v>
          </cell>
          <cell r="L527">
            <v>-12.593</v>
          </cell>
          <cell r="M527">
            <v>-12.5</v>
          </cell>
          <cell r="N527">
            <v>-22.387</v>
          </cell>
          <cell r="P527">
            <v>-12.5</v>
          </cell>
          <cell r="Q527">
            <v>-22.387</v>
          </cell>
          <cell r="GR527" t="str">
            <v>mstag:netDecreaseInOtherAssets</v>
          </cell>
          <cell r="GS527">
            <v>6</v>
          </cell>
          <cell r="GT527" t="str">
            <v>ISO4217:USD</v>
          </cell>
          <cell r="GU527" t="b">
            <v>0</v>
          </cell>
          <cell r="GV527" t="b">
            <v>0</v>
          </cell>
        </row>
        <row r="528">
          <cell r="C528" t="str">
            <v>Net decrease in trade receivables</v>
          </cell>
          <cell r="GR528" t="str">
            <v>mstag:netDecreaseInTradeReceivables</v>
          </cell>
          <cell r="GS528">
            <v>6</v>
          </cell>
          <cell r="GT528" t="str">
            <v>ISO4217:USD</v>
          </cell>
          <cell r="GU528" t="b">
            <v>0</v>
          </cell>
          <cell r="GV528" t="b">
            <v>0</v>
          </cell>
        </row>
        <row r="529">
          <cell r="C529" t="str">
            <v>Net decrease in finance lease receivables</v>
          </cell>
          <cell r="GR529" t="str">
            <v>mstag:netDecreaseInFinanceLeaseReceivables</v>
          </cell>
          <cell r="GS529">
            <v>6</v>
          </cell>
          <cell r="GT529" t="str">
            <v>ISO4217:USD</v>
          </cell>
          <cell r="GU529" t="b">
            <v>0</v>
          </cell>
          <cell r="GV529" t="b">
            <v>0</v>
          </cell>
        </row>
        <row r="530">
          <cell r="C530" t="str">
            <v>Net decrease in unbilled receivables</v>
          </cell>
          <cell r="GR530" t="str">
            <v>mstag:netDecreaseInUnbilledReceivables</v>
          </cell>
          <cell r="GS530">
            <v>6</v>
          </cell>
          <cell r="GT530" t="str">
            <v>ISO4217:USD</v>
          </cell>
          <cell r="GU530" t="b">
            <v>0</v>
          </cell>
          <cell r="GV530" t="b">
            <v>0</v>
          </cell>
        </row>
        <row r="531">
          <cell r="C531" t="str">
            <v>Net decrease in other receivables</v>
          </cell>
          <cell r="GR531" t="str">
            <v>mstag:netDecreaseInOtherReceivables</v>
          </cell>
          <cell r="GS531">
            <v>6</v>
          </cell>
          <cell r="GT531" t="str">
            <v>ISO4217:USD</v>
          </cell>
          <cell r="GU531" t="b">
            <v>0</v>
          </cell>
          <cell r="GV531" t="b">
            <v>0</v>
          </cell>
        </row>
        <row r="532">
          <cell r="C532" t="str">
            <v>Net decrease in prepaid expenses</v>
          </cell>
          <cell r="GR532" t="str">
            <v>mstag:netDecreaseInPrepaidExpenses</v>
          </cell>
          <cell r="GS532">
            <v>6</v>
          </cell>
          <cell r="GT532" t="str">
            <v>ISO4217:USD</v>
          </cell>
          <cell r="GU532" t="b">
            <v>0</v>
          </cell>
          <cell r="GV532" t="b">
            <v>0</v>
          </cell>
        </row>
        <row r="533">
          <cell r="C533" t="str">
            <v>Net decrease in inventories</v>
          </cell>
          <cell r="GR533" t="str">
            <v>mstag:netDecreaseInInventories</v>
          </cell>
          <cell r="GS533">
            <v>6</v>
          </cell>
          <cell r="GT533" t="str">
            <v>ISO4217:USD</v>
          </cell>
          <cell r="GU533" t="b">
            <v>0</v>
          </cell>
          <cell r="GV533" t="b">
            <v>0</v>
          </cell>
        </row>
        <row r="534">
          <cell r="C534" t="str">
            <v>Net increase in trade and other payables</v>
          </cell>
          <cell r="GR534" t="str">
            <v>mstag:netIncreaseInTradeAndOtherPayables</v>
          </cell>
          <cell r="GS534">
            <v>6</v>
          </cell>
          <cell r="GT534" t="str">
            <v>ISO4217:USD</v>
          </cell>
          <cell r="GU534" t="b">
            <v>0</v>
          </cell>
          <cell r="GV534" t="b">
            <v>0</v>
          </cell>
        </row>
        <row r="535">
          <cell r="C535" t="str">
            <v>Net increase in deferred revenue</v>
          </cell>
          <cell r="H535">
            <v>29.792999999999999</v>
          </cell>
          <cell r="I535">
            <v>31.765000000000001</v>
          </cell>
          <cell r="J535">
            <v>13.311999999999999</v>
          </cell>
          <cell r="K535">
            <v>52.987000000000002</v>
          </cell>
          <cell r="L535">
            <v>-9.92</v>
          </cell>
          <cell r="M535">
            <v>9.1359999999999992</v>
          </cell>
          <cell r="N535">
            <v>15.988999999999999</v>
          </cell>
          <cell r="P535">
            <v>9.1359999999999992</v>
          </cell>
          <cell r="Q535">
            <v>15.988999999999999</v>
          </cell>
          <cell r="GR535" t="str">
            <v>mstag:netIncreaseInDeferredRevenue</v>
          </cell>
          <cell r="GS535">
            <v>6</v>
          </cell>
          <cell r="GT535" t="str">
            <v>ISO4217:USD</v>
          </cell>
          <cell r="GU535" t="b">
            <v>0</v>
          </cell>
          <cell r="GV535" t="b">
            <v>0</v>
          </cell>
        </row>
        <row r="536">
          <cell r="C536" t="str">
            <v>Net increase in accrued expenses</v>
          </cell>
          <cell r="GR536" t="str">
            <v>mstag:netIncreaseInAccruedExpenses</v>
          </cell>
          <cell r="GS536">
            <v>6</v>
          </cell>
          <cell r="GT536" t="str">
            <v>ISO4217:USD</v>
          </cell>
          <cell r="GU536" t="b">
            <v>0</v>
          </cell>
          <cell r="GV536" t="b">
            <v>0</v>
          </cell>
        </row>
        <row r="537">
          <cell r="C537" t="str">
            <v>Net increase in billings in excess of cost</v>
          </cell>
          <cell r="GR537" t="str">
            <v>mstag:netIncreaseInBillingsInExcessOfCost</v>
          </cell>
          <cell r="GS537">
            <v>6</v>
          </cell>
          <cell r="GT537" t="str">
            <v>ISO4217:USD</v>
          </cell>
          <cell r="GU537" t="b">
            <v>0</v>
          </cell>
          <cell r="GV537" t="b">
            <v>0</v>
          </cell>
        </row>
        <row r="538">
          <cell r="C538" t="str">
            <v>Net increase in customer advances and deposits</v>
          </cell>
          <cell r="GR538" t="str">
            <v>mstag:netIncreaseInCustomerAdvancesAndDeposits</v>
          </cell>
          <cell r="GS538">
            <v>6</v>
          </cell>
          <cell r="GT538" t="str">
            <v>ISO4217:USD</v>
          </cell>
          <cell r="GU538" t="b">
            <v>0</v>
          </cell>
          <cell r="GV538" t="b">
            <v>0</v>
          </cell>
        </row>
        <row r="539">
          <cell r="C539" t="str">
            <v>Net increase in deferred compensation</v>
          </cell>
          <cell r="GR539" t="str">
            <v>mstag:netIncreaseInDeferredCompensation</v>
          </cell>
          <cell r="GS539">
            <v>6</v>
          </cell>
          <cell r="GT539" t="str">
            <v>ISO4217:USD</v>
          </cell>
          <cell r="GU539" t="b">
            <v>0</v>
          </cell>
          <cell r="GV539" t="b">
            <v>0</v>
          </cell>
        </row>
        <row r="540">
          <cell r="C540" t="str">
            <v>Proceeds from issuance and cash used to repay short term borrowings</v>
          </cell>
          <cell r="GR540" t="str">
            <v>mstag:proceedsFromIssuanceAndCashUsedToRepayShortTermBorrowings</v>
          </cell>
          <cell r="GS540">
            <v>6</v>
          </cell>
          <cell r="GT540" t="str">
            <v>ISO4217:USD</v>
          </cell>
          <cell r="GU540" t="b">
            <v>0</v>
          </cell>
          <cell r="GV540" t="b">
            <v>0</v>
          </cell>
        </row>
        <row r="541">
          <cell r="C541" t="str">
            <v>Proceeds from issuance and cash used to repay long term debt</v>
          </cell>
          <cell r="H541">
            <v>76.001000000000005</v>
          </cell>
          <cell r="I541">
            <v>278.00299999999999</v>
          </cell>
          <cell r="J541">
            <v>357.10899999999998</v>
          </cell>
          <cell r="K541">
            <v>-61.030999999999992</v>
          </cell>
          <cell r="L541">
            <v>-173.64499999999998</v>
          </cell>
          <cell r="M541">
            <v>285.35199999999998</v>
          </cell>
          <cell r="N541">
            <v>230.90299999999999</v>
          </cell>
          <cell r="P541">
            <v>285.35199999999998</v>
          </cell>
          <cell r="Q541">
            <v>230.90299999999999</v>
          </cell>
          <cell r="GR541" t="str">
            <v>mstag:proceedsFromIssuanceAndCashUsedToRepayLongTermDebt</v>
          </cell>
          <cell r="GS541">
            <v>6</v>
          </cell>
          <cell r="GT541" t="str">
            <v>ISO4217:USD</v>
          </cell>
          <cell r="GU541" t="b">
            <v>0</v>
          </cell>
          <cell r="GV541" t="b">
            <v>0</v>
          </cell>
        </row>
        <row r="542">
          <cell r="C542" t="str">
            <v>Net increase in provisions and reserves</v>
          </cell>
          <cell r="GR542" t="str">
            <v>mstag:netIncreaseInProvisionsAndReserves</v>
          </cell>
          <cell r="GS542">
            <v>6</v>
          </cell>
          <cell r="GT542" t="str">
            <v>ISO4217:USD</v>
          </cell>
          <cell r="GU542" t="b">
            <v>0</v>
          </cell>
          <cell r="GV542" t="b">
            <v>0</v>
          </cell>
        </row>
        <row r="543">
          <cell r="C543" t="str">
            <v>Net increase in other payables and accrued expenses</v>
          </cell>
          <cell r="GR543" t="str">
            <v>mstag:netIncreaseInOtherPayablesAndAccruedExpenses</v>
          </cell>
          <cell r="GS543">
            <v>6</v>
          </cell>
          <cell r="GT543" t="str">
            <v>ISO4217:USD</v>
          </cell>
          <cell r="GU543" t="b">
            <v>0</v>
          </cell>
          <cell r="GV543" t="b">
            <v>0</v>
          </cell>
        </row>
        <row r="544">
          <cell r="C544" t="str">
            <v>Net increase in other liabilities, operating</v>
          </cell>
          <cell r="GR544" t="str">
            <v>mstag:netIncreaseInOtherLiabilitiesOperating</v>
          </cell>
          <cell r="GS544">
            <v>6</v>
          </cell>
          <cell r="GT544" t="str">
            <v>ISO4217:USD</v>
          </cell>
          <cell r="GU544" t="b">
            <v>0</v>
          </cell>
          <cell r="GV544" t="b">
            <v>0</v>
          </cell>
        </row>
        <row r="545">
          <cell r="C545" t="str">
            <v>Net increase in minority interests in shareholders' equity</v>
          </cell>
          <cell r="H545">
            <v>8.7449999999999992</v>
          </cell>
          <cell r="I545">
            <v>13.493</v>
          </cell>
          <cell r="J545">
            <v>26.065000000000001</v>
          </cell>
          <cell r="K545">
            <v>42.624000000000002</v>
          </cell>
          <cell r="L545">
            <v>43.281999999999996</v>
          </cell>
          <cell r="M545">
            <v>26.376999999999999</v>
          </cell>
          <cell r="N545">
            <v>20.035999999999998</v>
          </cell>
          <cell r="P545">
            <v>27.218999999999998</v>
          </cell>
          <cell r="Q545">
            <v>20.035999999999998</v>
          </cell>
          <cell r="GR545" t="str">
            <v>mstag:netIncreaseInMinorityInterestsInShareholdersEquity</v>
          </cell>
          <cell r="GS545">
            <v>6</v>
          </cell>
          <cell r="GT545" t="str">
            <v>ISO4217:USD</v>
          </cell>
          <cell r="GU545" t="b">
            <v>0</v>
          </cell>
          <cell r="GV545" t="b">
            <v>0</v>
          </cell>
        </row>
        <row r="546">
          <cell r="C546" t="str">
            <v>Net issuance of trust preferred securities</v>
          </cell>
          <cell r="N546">
            <v>-65.02</v>
          </cell>
          <cell r="P546">
            <v>-202.953</v>
          </cell>
          <cell r="Q546">
            <v>-65.02</v>
          </cell>
          <cell r="GR546" t="str">
            <v>mstag:netIssuanceOfTrustPreferredSecurities</v>
          </cell>
          <cell r="GS546">
            <v>6</v>
          </cell>
          <cell r="GT546" t="str">
            <v>ISO4217:USD</v>
          </cell>
          <cell r="GU546" t="b">
            <v>0</v>
          </cell>
          <cell r="GV546" t="b">
            <v>0</v>
          </cell>
        </row>
        <row r="547">
          <cell r="C547" t="str">
            <v>Net issuance of preferred stock</v>
          </cell>
          <cell r="H547">
            <v>146.05000000000001</v>
          </cell>
          <cell r="I547">
            <v>129.46</v>
          </cell>
          <cell r="J547">
            <v>96.519000000000005</v>
          </cell>
          <cell r="K547">
            <v>-1.1240000000000001</v>
          </cell>
          <cell r="L547">
            <v>-2.8080000000000069</v>
          </cell>
          <cell r="M547">
            <v>-202.953</v>
          </cell>
          <cell r="N547">
            <v>96.7</v>
          </cell>
          <cell r="P547">
            <v>0</v>
          </cell>
          <cell r="Q547">
            <v>96.7</v>
          </cell>
          <cell r="GR547" t="str">
            <v>mstag:netIssuanceOfPreferredStock</v>
          </cell>
          <cell r="GS547">
            <v>6</v>
          </cell>
          <cell r="GT547" t="str">
            <v>ISO4217:USD</v>
          </cell>
          <cell r="GU547" t="b">
            <v>0</v>
          </cell>
          <cell r="GV547" t="b">
            <v>0</v>
          </cell>
        </row>
        <row r="548">
          <cell r="D548" t="str">
            <v>Issuances of preferred stock</v>
          </cell>
          <cell r="H548">
            <v>146.05000000000001</v>
          </cell>
          <cell r="I548">
            <v>129.46</v>
          </cell>
          <cell r="J548">
            <v>96.519000000000005</v>
          </cell>
          <cell r="L548">
            <v>72.209999999999994</v>
          </cell>
          <cell r="N548">
            <v>96.7</v>
          </cell>
          <cell r="P548">
            <v>0</v>
          </cell>
          <cell r="Q548">
            <v>96.7</v>
          </cell>
          <cell r="GR548" t="str">
            <v>mstag:issuancesOfPreferredStock</v>
          </cell>
          <cell r="GS548">
            <v>6</v>
          </cell>
          <cell r="GT548" t="str">
            <v>ISO4217:USD</v>
          </cell>
          <cell r="GU548" t="b">
            <v>0</v>
          </cell>
          <cell r="GV548" t="b">
            <v>0</v>
          </cell>
        </row>
        <row r="549">
          <cell r="D549" t="str">
            <v>Redemptions, retirements and repurchases of preferred stock</v>
          </cell>
          <cell r="K549">
            <v>1.1240000000000001</v>
          </cell>
          <cell r="L549">
            <v>75.018000000000001</v>
          </cell>
          <cell r="M549">
            <v>202.953</v>
          </cell>
          <cell r="GR549" t="str">
            <v>mstag:redemptionsRetirementsAndRepurchasesOfPreferredStock</v>
          </cell>
          <cell r="GS549">
            <v>6</v>
          </cell>
          <cell r="GT549" t="str">
            <v>ISO4217:USD</v>
          </cell>
          <cell r="GU549" t="b">
            <v>0</v>
          </cell>
          <cell r="GV549" t="b">
            <v>0</v>
          </cell>
        </row>
        <row r="550">
          <cell r="C550" t="str">
            <v>Proceeds from issuance/(funds used to repurchase) common stock</v>
          </cell>
          <cell r="H550">
            <v>321.23899999999998</v>
          </cell>
          <cell r="I550">
            <v>211.47800000000001</v>
          </cell>
          <cell r="J550">
            <v>214.77799999999999</v>
          </cell>
          <cell r="K550">
            <v>31.09</v>
          </cell>
          <cell r="L550">
            <v>36.482999999999997</v>
          </cell>
          <cell r="M550">
            <v>22.834</v>
          </cell>
          <cell r="N550">
            <v>14.026</v>
          </cell>
          <cell r="P550">
            <v>22.834</v>
          </cell>
          <cell r="Q550">
            <v>14.026</v>
          </cell>
          <cell r="GR550" t="str">
            <v>mstag:proceedsFromIssuanceFundsUsedToRepurchaseCommonStock</v>
          </cell>
          <cell r="GS550">
            <v>6</v>
          </cell>
          <cell r="GT550" t="str">
            <v>ISO4217:USD</v>
          </cell>
          <cell r="GU550" t="b">
            <v>0</v>
          </cell>
          <cell r="GV550" t="b">
            <v>0</v>
          </cell>
        </row>
        <row r="551">
          <cell r="D551" t="str">
            <v>Proceeds from issuance of common stock</v>
          </cell>
          <cell r="H551">
            <v>321.23899999999998</v>
          </cell>
          <cell r="I551">
            <v>211.47800000000001</v>
          </cell>
          <cell r="J551">
            <v>214.77799999999999</v>
          </cell>
          <cell r="K551">
            <v>31.09</v>
          </cell>
          <cell r="L551">
            <v>36.482999999999997</v>
          </cell>
          <cell r="M551">
            <v>22.834</v>
          </cell>
          <cell r="GR551" t="str">
            <v>mstag:proceedsFromIssuanceOfCommonStock</v>
          </cell>
          <cell r="GS551">
            <v>6</v>
          </cell>
          <cell r="GT551" t="str">
            <v>ISO4217:USD</v>
          </cell>
          <cell r="GU551" t="b">
            <v>0</v>
          </cell>
          <cell r="GV551" t="b">
            <v>0</v>
          </cell>
        </row>
        <row r="552">
          <cell r="D552" t="str">
            <v>Funds used to repurchase common stock</v>
          </cell>
          <cell r="GR552" t="str">
            <v>mstag:fundsUsedToRepurchaseCommonStock</v>
          </cell>
          <cell r="GS552">
            <v>6</v>
          </cell>
          <cell r="GT552" t="str">
            <v>ISO4217:USD</v>
          </cell>
          <cell r="GU552" t="b">
            <v>0</v>
          </cell>
          <cell r="GV552" t="b">
            <v>0</v>
          </cell>
        </row>
        <row r="553">
          <cell r="C553" t="str">
            <v>Cash dividends paid</v>
          </cell>
          <cell r="H553">
            <v>95.852000000000004</v>
          </cell>
          <cell r="I553">
            <v>138.07400000000001</v>
          </cell>
          <cell r="J553">
            <v>224.334</v>
          </cell>
          <cell r="K553">
            <v>298.52699999999999</v>
          </cell>
          <cell r="L553">
            <v>325.678</v>
          </cell>
          <cell r="M553">
            <v>325.66300000000001</v>
          </cell>
          <cell r="N553">
            <v>318.76400000000001</v>
          </cell>
          <cell r="P553">
            <v>325.66300000000001</v>
          </cell>
          <cell r="Q553">
            <v>318.76400000000001</v>
          </cell>
          <cell r="GR553" t="str">
            <v>mstag:cashDividendsPaid</v>
          </cell>
          <cell r="GS553">
            <v>6</v>
          </cell>
          <cell r="GT553" t="str">
            <v>ISO4217:USD</v>
          </cell>
          <cell r="GU553" t="b">
            <v>0</v>
          </cell>
          <cell r="GV553" t="b">
            <v>0</v>
          </cell>
        </row>
        <row r="554">
          <cell r="C554" t="str">
            <v>Net decrease in notes receivable</v>
          </cell>
          <cell r="GR554" t="str">
            <v>mstag:netDecreaseInNotesReceivable</v>
          </cell>
          <cell r="GS554">
            <v>6</v>
          </cell>
          <cell r="GT554" t="str">
            <v>ISO4217:USD</v>
          </cell>
          <cell r="GU554" t="b">
            <v>0</v>
          </cell>
          <cell r="GV554" t="b">
            <v>0</v>
          </cell>
        </row>
        <row r="555">
          <cell r="C555" t="str">
            <v>Net decrease in other assets, nonoperating</v>
          </cell>
          <cell r="GR555" t="str">
            <v>mstag:netDecreaseInOtherAssetsNonOperating</v>
          </cell>
          <cell r="GS555">
            <v>6</v>
          </cell>
          <cell r="GT555" t="str">
            <v>ISO4217:USD</v>
          </cell>
          <cell r="GU555" t="b">
            <v>0</v>
          </cell>
          <cell r="GV555" t="b">
            <v>0</v>
          </cell>
        </row>
        <row r="556">
          <cell r="C556" t="str">
            <v>Net increase in dividends payable</v>
          </cell>
          <cell r="GR556" t="str">
            <v>mstag:netIncreaseInDividendsPayable</v>
          </cell>
          <cell r="GS556">
            <v>6</v>
          </cell>
          <cell r="GT556" t="str">
            <v>ISO4217:USD</v>
          </cell>
          <cell r="GU556" t="b">
            <v>0</v>
          </cell>
          <cell r="GV556" t="b">
            <v>0</v>
          </cell>
        </row>
        <row r="557">
          <cell r="C557" t="str">
            <v>Net increase in other liabilities, nonoperating</v>
          </cell>
          <cell r="GR557" t="str">
            <v>mstag:netIncreaseInOtherLiabilitiesNonOperating</v>
          </cell>
          <cell r="GS557">
            <v>6</v>
          </cell>
          <cell r="GT557" t="str">
            <v>ISO4217:USD</v>
          </cell>
          <cell r="GU557" t="b">
            <v>0</v>
          </cell>
          <cell r="GV557" t="b">
            <v>0</v>
          </cell>
        </row>
        <row r="558">
          <cell r="C558" t="str">
            <v>Contribution to pension and other post retirement plan assets</v>
          </cell>
          <cell r="GR558" t="str">
            <v>mstag:contributionToPensionAndOtherPostRetirementPlanAssets</v>
          </cell>
          <cell r="GS558">
            <v>6</v>
          </cell>
          <cell r="GT558" t="str">
            <v>ISO4217:USD</v>
          </cell>
          <cell r="GU558" t="b">
            <v>0</v>
          </cell>
          <cell r="GV558" t="b">
            <v>0</v>
          </cell>
        </row>
        <row r="559">
          <cell r="C559" t="str">
            <v>Net increase in securitized assets, cash flow statement</v>
          </cell>
          <cell r="GR559" t="str">
            <v>mstag:netIncreaseInSecuritizedAssetsCashFlowStatement</v>
          </cell>
          <cell r="GS559">
            <v>6</v>
          </cell>
          <cell r="GT559" t="str">
            <v>ISO4217:USD</v>
          </cell>
          <cell r="GU559" t="b">
            <v>0</v>
          </cell>
          <cell r="GV559" t="b">
            <v>0</v>
          </cell>
        </row>
        <row r="560">
          <cell r="C560" t="str">
            <v>Net decrease in investments, nonoperating</v>
          </cell>
          <cell r="GR560" t="str">
            <v>mstag:netDecreaseInInvestmentsNonOperating</v>
          </cell>
          <cell r="GS560">
            <v>6</v>
          </cell>
          <cell r="GT560" t="str">
            <v>ISO4217:USD</v>
          </cell>
          <cell r="GU560" t="b">
            <v>0</v>
          </cell>
          <cell r="GV560" t="b">
            <v>0</v>
          </cell>
        </row>
        <row r="561">
          <cell r="C561" t="str">
            <v>Net cash flow from discontinued operations</v>
          </cell>
          <cell r="GR561" t="str">
            <v>mstag:netCashFlowFromDiscontinuedOperations</v>
          </cell>
          <cell r="GS561">
            <v>6</v>
          </cell>
          <cell r="GT561" t="str">
            <v>ISO4217:USD</v>
          </cell>
          <cell r="GU561" t="b">
            <v>0</v>
          </cell>
          <cell r="GV561" t="b">
            <v>0</v>
          </cell>
        </row>
        <row r="562">
          <cell r="C562" t="str">
            <v>Other cash flow</v>
          </cell>
          <cell r="H562">
            <v>-45.228999999999999</v>
          </cell>
          <cell r="I562">
            <v>-44.127000000000002</v>
          </cell>
          <cell r="J562">
            <v>-59.803999999999995</v>
          </cell>
          <cell r="K562">
            <v>66.456000000000003</v>
          </cell>
          <cell r="L562">
            <v>6.146999999999994</v>
          </cell>
          <cell r="M562">
            <v>130.92200000000003</v>
          </cell>
          <cell r="N562">
            <v>-51.678999999999995</v>
          </cell>
          <cell r="P562">
            <v>130.922</v>
          </cell>
          <cell r="Q562">
            <v>-51.678999999999995</v>
          </cell>
          <cell r="GR562" t="str">
            <v>mstag:otherCashFlow</v>
          </cell>
          <cell r="GS562">
            <v>6</v>
          </cell>
          <cell r="GT562" t="str">
            <v>ISO4217:USD</v>
          </cell>
          <cell r="GU562" t="b">
            <v>0</v>
          </cell>
          <cell r="GV562" t="b">
            <v>0</v>
          </cell>
        </row>
        <row r="563">
          <cell r="C563" t="str">
            <v>Effect of foreign exchange rates on cash</v>
          </cell>
          <cell r="GR563" t="str">
            <v>mstag:effectOfForeignExchangeRatesOnCash</v>
          </cell>
          <cell r="GS563">
            <v>6</v>
          </cell>
          <cell r="GT563" t="str">
            <v>ISO4217:USD</v>
          </cell>
          <cell r="GU563" t="b">
            <v>0</v>
          </cell>
          <cell r="GV563" t="b">
            <v>0</v>
          </cell>
        </row>
        <row r="564">
          <cell r="B564" t="str">
            <v>Changes in shareholders equity</v>
          </cell>
          <cell r="GS564">
            <v>0</v>
          </cell>
          <cell r="GT564" t="str">
            <v>ms_eqr_gcim_String:ms_eqr_gcim_string</v>
          </cell>
          <cell r="GU564" t="b">
            <v>0</v>
          </cell>
          <cell r="GV564" t="b">
            <v>0</v>
          </cell>
        </row>
        <row r="565">
          <cell r="C565" t="str">
            <v>Common dividends</v>
          </cell>
          <cell r="G565">
            <v>0</v>
          </cell>
          <cell r="H565">
            <v>73.183000000000007</v>
          </cell>
          <cell r="I565">
            <v>103.223</v>
          </cell>
          <cell r="J565">
            <v>154.06899999999999</v>
          </cell>
          <cell r="K565">
            <v>207.90899999999999</v>
          </cell>
          <cell r="L565">
            <v>228.03899999999999</v>
          </cell>
          <cell r="M565">
            <v>242.47499999999999</v>
          </cell>
          <cell r="N565">
            <v>257.62700000000001</v>
          </cell>
          <cell r="P565">
            <v>244.47499999999999</v>
          </cell>
          <cell r="Q565">
            <v>257.62700000000001</v>
          </cell>
          <cell r="GR565" t="str">
            <v>mstag:commonDividends</v>
          </cell>
          <cell r="GS565">
            <v>6</v>
          </cell>
          <cell r="GT565" t="str">
            <v>ISO4217:USD</v>
          </cell>
          <cell r="GU565" t="b">
            <v>0</v>
          </cell>
          <cell r="GV565" t="b">
            <v>0</v>
          </cell>
        </row>
        <row r="566">
          <cell r="C566" t="str">
            <v>Common dividends attributable to current-period earnings</v>
          </cell>
          <cell r="GR566" t="str">
            <v>mstag:commonDividendsAttributableToCurrentPeriodEarnings</v>
          </cell>
          <cell r="GS566">
            <v>6</v>
          </cell>
          <cell r="GT566" t="str">
            <v>ISO4217:USD</v>
          </cell>
          <cell r="GU566" t="b">
            <v>0</v>
          </cell>
          <cell r="GV566" t="b">
            <v>0</v>
          </cell>
        </row>
        <row r="567">
          <cell r="C567" t="str">
            <v>Net issuance (repurchase) of common stock</v>
          </cell>
          <cell r="G567">
            <v>0</v>
          </cell>
          <cell r="H567">
            <v>340.88300000000004</v>
          </cell>
          <cell r="I567">
            <v>212.78299999999999</v>
          </cell>
          <cell r="J567">
            <v>866.40000000000009</v>
          </cell>
          <cell r="K567">
            <v>40.369</v>
          </cell>
          <cell r="L567">
            <v>73.759</v>
          </cell>
          <cell r="M567">
            <v>84.245999999999995</v>
          </cell>
          <cell r="N567">
            <v>44.555</v>
          </cell>
          <cell r="P567">
            <v>84.067999999999998</v>
          </cell>
          <cell r="Q567">
            <v>44.555</v>
          </cell>
          <cell r="GR567" t="str">
            <v>mstag:netIssuanceRepurchaseOfCommonStock</v>
          </cell>
          <cell r="GS567">
            <v>6</v>
          </cell>
          <cell r="GT567" t="str">
            <v>ISO4217:USD</v>
          </cell>
          <cell r="GU567" t="b">
            <v>0</v>
          </cell>
          <cell r="GV567" t="b">
            <v>0</v>
          </cell>
        </row>
        <row r="568">
          <cell r="D568" t="str">
            <v>Issuance of common stock</v>
          </cell>
          <cell r="H568">
            <v>340.88300000000004</v>
          </cell>
          <cell r="I568">
            <v>212.78299999999999</v>
          </cell>
          <cell r="J568">
            <v>866.40000000000009</v>
          </cell>
          <cell r="K568">
            <v>40.369</v>
          </cell>
          <cell r="L568">
            <v>73.759</v>
          </cell>
          <cell r="M568">
            <v>84.245999999999995</v>
          </cell>
          <cell r="N568" t="str">
            <v/>
          </cell>
          <cell r="P568" t="str">
            <v/>
          </cell>
          <cell r="Q568" t="str">
            <v/>
          </cell>
          <cell r="GR568" t="str">
            <v>mstag:issuanceOfCommonStock</v>
          </cell>
          <cell r="GS568">
            <v>6</v>
          </cell>
          <cell r="GT568" t="str">
            <v>ISO4217:USD</v>
          </cell>
          <cell r="GU568" t="b">
            <v>0</v>
          </cell>
          <cell r="GV568" t="b">
            <v>0</v>
          </cell>
        </row>
        <row r="569">
          <cell r="E569" t="str">
            <v>Share issuance related to employee stock purchase and option plans</v>
          </cell>
          <cell r="GR569" t="str">
            <v>mstag:shareIssuanceRelatedToEmployeeStockPurchaseAndOptionPlans</v>
          </cell>
          <cell r="GS569">
            <v>6</v>
          </cell>
          <cell r="GT569" t="str">
            <v>ISO4217:USD</v>
          </cell>
          <cell r="GU569" t="b">
            <v>0</v>
          </cell>
          <cell r="GV569" t="b">
            <v>0</v>
          </cell>
        </row>
        <row r="570">
          <cell r="E570" t="str">
            <v>Other share issuance</v>
          </cell>
          <cell r="H570">
            <v>321.43700000000001</v>
          </cell>
          <cell r="I570">
            <v>211.72499999999999</v>
          </cell>
          <cell r="J570">
            <v>816.92800000000011</v>
          </cell>
          <cell r="K570">
            <v>32.021999999999998</v>
          </cell>
          <cell r="L570">
            <v>37.844999999999999</v>
          </cell>
          <cell r="M570">
            <v>22.867000000000001</v>
          </cell>
          <cell r="GR570" t="str">
            <v>mstag:otherShareIssuance</v>
          </cell>
          <cell r="GS570">
            <v>6</v>
          </cell>
          <cell r="GT570" t="str">
            <v>ISO4217:USD</v>
          </cell>
          <cell r="GU570" t="b">
            <v>0</v>
          </cell>
          <cell r="GV570" t="b">
            <v>0</v>
          </cell>
        </row>
        <row r="571">
          <cell r="E571" t="str">
            <v>Amortization of deferred compensation expense</v>
          </cell>
          <cell r="GR571" t="str">
            <v>mstag:amortizationOfDeferredCompensationExpense</v>
          </cell>
          <cell r="GS571">
            <v>6</v>
          </cell>
          <cell r="GT571" t="str">
            <v>ISO4217:USD</v>
          </cell>
          <cell r="GU571" t="b">
            <v>0</v>
          </cell>
          <cell r="GV571" t="b">
            <v>0</v>
          </cell>
        </row>
        <row r="572">
          <cell r="E572" t="str">
            <v>Tax benefit from exercise of employee stock options</v>
          </cell>
          <cell r="M572">
            <v>0.85599999999999998</v>
          </cell>
          <cell r="GR572" t="str">
            <v>mstag:taxBenefitFromExerciseOfEsos</v>
          </cell>
          <cell r="GS572">
            <v>6</v>
          </cell>
          <cell r="GT572" t="str">
            <v>ISO4217:USD</v>
          </cell>
          <cell r="GU572" t="b">
            <v>0</v>
          </cell>
          <cell r="GV572" t="b">
            <v>0</v>
          </cell>
        </row>
        <row r="573">
          <cell r="E573" t="str">
            <v>Other changes in share capital</v>
          </cell>
          <cell r="H573">
            <v>19.446000000000002</v>
          </cell>
          <cell r="I573">
            <v>1.0579999999999998</v>
          </cell>
          <cell r="J573">
            <v>49.472000000000001</v>
          </cell>
          <cell r="K573">
            <v>8.3469999999999995</v>
          </cell>
          <cell r="L573">
            <v>35.914000000000001</v>
          </cell>
          <cell r="M573">
            <v>60.522999999999996</v>
          </cell>
          <cell r="GR573" t="str">
            <v>mstag:otherChangesInShareCapital</v>
          </cell>
          <cell r="GS573">
            <v>6</v>
          </cell>
          <cell r="GT573" t="str">
            <v>ISO4217:USD</v>
          </cell>
          <cell r="GU573" t="b">
            <v>0</v>
          </cell>
          <cell r="GV573" t="b">
            <v>0</v>
          </cell>
        </row>
        <row r="574">
          <cell r="D574" t="str">
            <v>Repurchase of common stock</v>
          </cell>
          <cell r="GR574" t="str">
            <v>mstag:repurchaseOfCommonStock</v>
          </cell>
          <cell r="GS574">
            <v>6</v>
          </cell>
          <cell r="GT574" t="str">
            <v>ISO4217:USD</v>
          </cell>
          <cell r="GU574" t="b">
            <v>0</v>
          </cell>
          <cell r="GV574" t="b">
            <v>0</v>
          </cell>
        </row>
        <row r="575">
          <cell r="C575" t="str">
            <v>Bonus to directors and corporate auditors (Japan)</v>
          </cell>
          <cell r="GR575" t="str">
            <v>mstag:bonusToDirectorsAndCorporateAuditorsJapan</v>
          </cell>
          <cell r="GS575">
            <v>6</v>
          </cell>
          <cell r="GT575" t="str">
            <v>ISO4217:USD</v>
          </cell>
          <cell r="GU575" t="b">
            <v>0</v>
          </cell>
          <cell r="GV575" t="b">
            <v>0</v>
          </cell>
        </row>
        <row r="576">
          <cell r="C576" t="str">
            <v>Bonus to directors and supervisors (Taiwan)</v>
          </cell>
          <cell r="GR576" t="str">
            <v>mstag:bonusToDirectorsAndSupervisorsTaiwan</v>
          </cell>
          <cell r="GS576">
            <v>6</v>
          </cell>
          <cell r="GT576" t="str">
            <v>ISO4217:USD</v>
          </cell>
          <cell r="GU576" t="b">
            <v>0</v>
          </cell>
          <cell r="GV576" t="b">
            <v>0</v>
          </cell>
        </row>
        <row r="577">
          <cell r="C577" t="str">
            <v>Employee cash bonus (Taiwan)</v>
          </cell>
          <cell r="GR577" t="str">
            <v>mstag:employeeCashBonusTaiwan</v>
          </cell>
          <cell r="GS577">
            <v>6</v>
          </cell>
          <cell r="GT577" t="str">
            <v>ISO4217:USD</v>
          </cell>
          <cell r="GU577" t="b">
            <v>0</v>
          </cell>
          <cell r="GV577" t="b">
            <v>0</v>
          </cell>
        </row>
        <row r="578">
          <cell r="C578" t="str">
            <v>Employee stock bonus (Taiwan)</v>
          </cell>
          <cell r="GR578" t="str">
            <v>mstag:employeeStockBonusTaiwan</v>
          </cell>
          <cell r="GS578">
            <v>6</v>
          </cell>
          <cell r="GT578" t="str">
            <v>ISO4217:USD</v>
          </cell>
          <cell r="GU578" t="b">
            <v>0</v>
          </cell>
          <cell r="GV578" t="b">
            <v>0</v>
          </cell>
        </row>
        <row r="579">
          <cell r="C579" t="str">
            <v>Change in accumulated other comprehensive income (loss) or other reserves</v>
          </cell>
          <cell r="H579" t="str">
            <v/>
          </cell>
          <cell r="I579">
            <v>-6.6619999999999999</v>
          </cell>
          <cell r="J579" t="str">
            <v/>
          </cell>
          <cell r="K579" t="str">
            <v/>
          </cell>
          <cell r="L579">
            <v>-0.19199999999999984</v>
          </cell>
          <cell r="M579">
            <v>-1.919</v>
          </cell>
          <cell r="N579" t="str">
            <v/>
          </cell>
          <cell r="P579" t="str">
            <v/>
          </cell>
          <cell r="Q579" t="str">
            <v/>
          </cell>
          <cell r="GR579" t="str">
            <v>mstag:changeInAccumulatedOtherComprehensiveIncomeLossOrOtherReserves</v>
          </cell>
          <cell r="GS579">
            <v>6</v>
          </cell>
          <cell r="GT579" t="str">
            <v>ISO4217:USD</v>
          </cell>
          <cell r="GU579" t="b">
            <v>0</v>
          </cell>
          <cell r="GV579" t="b">
            <v>0</v>
          </cell>
        </row>
        <row r="580">
          <cell r="D580" t="str">
            <v>Change in unrealized gains (losses) on AFS securities</v>
          </cell>
          <cell r="GR580" t="str">
            <v>mstag:changeInUnrealizedGainsLossesOnAfsSecurities</v>
          </cell>
          <cell r="GS580">
            <v>6</v>
          </cell>
          <cell r="GT580" t="str">
            <v>ISO4217:USD</v>
          </cell>
          <cell r="GU580" t="b">
            <v>0</v>
          </cell>
          <cell r="GV580" t="b">
            <v>0</v>
          </cell>
        </row>
        <row r="581">
          <cell r="D581" t="str">
            <v>Change in foreign currency translation</v>
          </cell>
          <cell r="GR581" t="str">
            <v>mstag:changeInForeignCurrencyTranslation</v>
          </cell>
          <cell r="GS581">
            <v>6</v>
          </cell>
          <cell r="GT581" t="str">
            <v>ISO4217:USD</v>
          </cell>
          <cell r="GU581" t="b">
            <v>0</v>
          </cell>
          <cell r="GV581" t="b">
            <v>0</v>
          </cell>
        </row>
        <row r="582">
          <cell r="D582" t="str">
            <v>Change in minimum pension liability</v>
          </cell>
          <cell r="GR582" t="str">
            <v>mstag:changeInMinimumPensionLiability</v>
          </cell>
          <cell r="GS582">
            <v>6</v>
          </cell>
          <cell r="GT582" t="str">
            <v>ISO4217:USD</v>
          </cell>
          <cell r="GU582" t="b">
            <v>0</v>
          </cell>
          <cell r="GV582" t="b">
            <v>0</v>
          </cell>
        </row>
        <row r="583">
          <cell r="D583" t="str">
            <v>Change in cash flow hedges</v>
          </cell>
          <cell r="GR583" t="str">
            <v>mstag:changeInCashFlowHedges</v>
          </cell>
          <cell r="GS583">
            <v>6</v>
          </cell>
          <cell r="GT583" t="str">
            <v>ISO4217:USD</v>
          </cell>
          <cell r="GU583" t="b">
            <v>0</v>
          </cell>
          <cell r="GV583" t="b">
            <v>0</v>
          </cell>
        </row>
        <row r="584">
          <cell r="D584" t="str">
            <v>Other change in accumulated other comprehensive income (loss)</v>
          </cell>
          <cell r="I584">
            <v>-6.6619999999999999</v>
          </cell>
          <cell r="L584">
            <v>-0.19199999999999984</v>
          </cell>
          <cell r="M584">
            <v>-1.919</v>
          </cell>
          <cell r="GR584" t="str">
            <v>mstag:otherChangeInAccumulatedOtherComprehensiveIncomeLoss</v>
          </cell>
          <cell r="GS584">
            <v>6</v>
          </cell>
          <cell r="GT584" t="str">
            <v>ISO4217:USD</v>
          </cell>
          <cell r="GU584" t="b">
            <v>0</v>
          </cell>
          <cell r="GV584" t="b">
            <v>0</v>
          </cell>
        </row>
        <row r="585">
          <cell r="D585" t="str">
            <v>Change in revaluation reserves</v>
          </cell>
          <cell r="GR585" t="str">
            <v>mstag:changeInRevaluationReserves</v>
          </cell>
          <cell r="GS585">
            <v>6</v>
          </cell>
          <cell r="GT585" t="str">
            <v>ISO4217:USD</v>
          </cell>
          <cell r="GU585" t="b">
            <v>0</v>
          </cell>
          <cell r="GV585" t="b">
            <v>0</v>
          </cell>
        </row>
        <row r="586">
          <cell r="D586" t="str">
            <v>Change in unearned compensation reserve</v>
          </cell>
          <cell r="GR586" t="str">
            <v>mstag:changeInUnearnedCompensationReserve</v>
          </cell>
          <cell r="GS586">
            <v>6</v>
          </cell>
          <cell r="GT586" t="str">
            <v>ISO4217:USD</v>
          </cell>
          <cell r="GU586" t="b">
            <v>0</v>
          </cell>
          <cell r="GV586" t="b">
            <v>0</v>
          </cell>
        </row>
        <row r="587">
          <cell r="B587" t="str">
            <v>Operating metrics</v>
          </cell>
          <cell r="GS587">
            <v>0</v>
          </cell>
          <cell r="GT587" t="str">
            <v>ms_eqr_gcim_String:ms_eqr_gcim_string</v>
          </cell>
          <cell r="GU587" t="b">
            <v>0</v>
          </cell>
          <cell r="GV587" t="b">
            <v>0</v>
          </cell>
        </row>
        <row r="588">
          <cell r="C588" t="str">
            <v>Cumulative unrecognized gain (loss) on other investments, gross of tax, operating</v>
          </cell>
          <cell r="GR588" t="str">
            <v>mstag:cumulativeUnrealizedGainLossOnOtherInvestmentsGrossOfTaxOperating</v>
          </cell>
          <cell r="GS588">
            <v>6</v>
          </cell>
          <cell r="GT588" t="str">
            <v>ISO4217:USD</v>
          </cell>
          <cell r="GU588" t="b">
            <v>0</v>
          </cell>
          <cell r="GV588" t="b">
            <v>0</v>
          </cell>
        </row>
        <row r="589">
          <cell r="C589" t="str">
            <v>Cumulative unrecognized gain (loss) on other investments, gross of tax, nonoperating</v>
          </cell>
          <cell r="GR589" t="str">
            <v>mstag:cumulativeUnrealizedGainLossOnOtherInvestmentsGrossOfTaxNonOperating</v>
          </cell>
          <cell r="GS589">
            <v>6</v>
          </cell>
          <cell r="GT589" t="str">
            <v>ISO4217:USD</v>
          </cell>
          <cell r="GU589" t="b">
            <v>0</v>
          </cell>
          <cell r="GV589" t="b">
            <v>0</v>
          </cell>
        </row>
        <row r="590">
          <cell r="C590" t="str">
            <v>Current period unrecognized gain (loss) on other investments, gross of tax, operating</v>
          </cell>
          <cell r="H590" t="str">
            <v/>
          </cell>
          <cell r="I590" t="str">
            <v/>
          </cell>
          <cell r="J590" t="str">
            <v/>
          </cell>
          <cell r="K590" t="str">
            <v/>
          </cell>
          <cell r="L590" t="str">
            <v/>
          </cell>
          <cell r="M590" t="str">
            <v/>
          </cell>
          <cell r="N590" t="str">
            <v/>
          </cell>
          <cell r="P590" t="str">
            <v/>
          </cell>
          <cell r="Q590" t="str">
            <v/>
          </cell>
          <cell r="GR590" t="str">
            <v>mstag:unrealizedGainLossOnOtherInvestmentsGrossOfTaxOperating</v>
          </cell>
          <cell r="GS590">
            <v>6</v>
          </cell>
          <cell r="GT590" t="str">
            <v>ISO4217:USD</v>
          </cell>
          <cell r="GU590" t="b">
            <v>0</v>
          </cell>
          <cell r="GV590" t="b">
            <v>0</v>
          </cell>
        </row>
        <row r="591">
          <cell r="D591" t="str">
            <v>Current period unrecognized gain (loss) on other investments, gross of tax, operating, recurring</v>
          </cell>
          <cell r="GR591" t="str">
            <v>mstag:currentPeriodUnrecognizedGainLossOnOtherInvestmentsGrossOfTaxOperatingRecurring</v>
          </cell>
          <cell r="GS591">
            <v>6</v>
          </cell>
          <cell r="GT591" t="str">
            <v>ISO4217:USD</v>
          </cell>
          <cell r="GU591" t="b">
            <v>0</v>
          </cell>
          <cell r="GV591" t="b">
            <v>0</v>
          </cell>
        </row>
        <row r="592">
          <cell r="D592" t="str">
            <v>Current period unrecognized gain (loss) on other investments, gross of tax, operating, one time</v>
          </cell>
          <cell r="GR592" t="str">
            <v>mstag:currentPeriodUnrecognizedGainLossOnOtherInvestmentsGrossOfTaxOperatingOneTime</v>
          </cell>
          <cell r="GS592">
            <v>6</v>
          </cell>
          <cell r="GT592" t="str">
            <v>ISO4217:USD</v>
          </cell>
          <cell r="GU592" t="b">
            <v>0</v>
          </cell>
          <cell r="GV592" t="b">
            <v>0</v>
          </cell>
        </row>
        <row r="593">
          <cell r="C593" t="str">
            <v>Current period unrecognized gain (loss) on other investments, gross of tax, nonoperating</v>
          </cell>
          <cell r="H593" t="str">
            <v/>
          </cell>
          <cell r="I593" t="str">
            <v/>
          </cell>
          <cell r="J593" t="str">
            <v/>
          </cell>
          <cell r="K593" t="str">
            <v/>
          </cell>
          <cell r="L593" t="str">
            <v/>
          </cell>
          <cell r="M593" t="str">
            <v/>
          </cell>
          <cell r="N593" t="str">
            <v/>
          </cell>
          <cell r="P593" t="str">
            <v/>
          </cell>
          <cell r="Q593" t="str">
            <v/>
          </cell>
          <cell r="GR593" t="str">
            <v>mstag:unrealizedGainLossOnOtherInvestmentsGrossOfTaxNonOperating</v>
          </cell>
          <cell r="GS593">
            <v>6</v>
          </cell>
          <cell r="GT593" t="str">
            <v>ISO4217:USD</v>
          </cell>
          <cell r="GU593" t="b">
            <v>0</v>
          </cell>
          <cell r="GV593" t="b">
            <v>0</v>
          </cell>
        </row>
        <row r="594">
          <cell r="D594" t="str">
            <v>Current period unrecognized gain (loss) on other investments, gross of tax, nonoperating, recurring</v>
          </cell>
          <cell r="GR594" t="str">
            <v>mstag:currentPeriodUnrecognizedGainLossOnOtherInvestmentsGrossOfTaxNonOperatingRecurring</v>
          </cell>
          <cell r="GS594">
            <v>6</v>
          </cell>
          <cell r="GT594" t="str">
            <v>ISO4217:USD</v>
          </cell>
          <cell r="GU594" t="b">
            <v>0</v>
          </cell>
          <cell r="GV594" t="b">
            <v>0</v>
          </cell>
        </row>
        <row r="595">
          <cell r="D595" t="str">
            <v>Current period unrecognized gain (loss) on other investments, gross of tax, nonoperating, one time</v>
          </cell>
          <cell r="GR595" t="str">
            <v>mstag:currentPeriodUnrecognizedGainLossOnOtherInvestmentsGrossOfTaxNonOperatingOneTime</v>
          </cell>
          <cell r="GS595">
            <v>6</v>
          </cell>
          <cell r="GT595" t="str">
            <v>ISO4217:USD</v>
          </cell>
          <cell r="GU595" t="b">
            <v>0</v>
          </cell>
          <cell r="GV595" t="b">
            <v>0</v>
          </cell>
        </row>
        <row r="596">
          <cell r="C596" t="str">
            <v>Tenant improvements and leasing commissions</v>
          </cell>
          <cell r="H596">
            <v>13.042000000000002</v>
          </cell>
          <cell r="I596">
            <v>17.440000000000001</v>
          </cell>
          <cell r="J596">
            <v>33.47</v>
          </cell>
          <cell r="K596">
            <v>49.484999999999999</v>
          </cell>
          <cell r="L596">
            <v>32.261000000000003</v>
          </cell>
          <cell r="M596">
            <v>45.986000000000004</v>
          </cell>
          <cell r="N596">
            <v>57.43</v>
          </cell>
          <cell r="P596">
            <v>47.330999999999996</v>
          </cell>
          <cell r="Q596">
            <v>57.43</v>
          </cell>
          <cell r="GR596" t="str">
            <v>mstag:tenantImprovementsAndLeasingCommissions</v>
          </cell>
          <cell r="GS596">
            <v>6</v>
          </cell>
          <cell r="GT596" t="str">
            <v>ISO4217:USD</v>
          </cell>
          <cell r="GU596" t="b">
            <v>0</v>
          </cell>
          <cell r="GV596" t="b">
            <v>0</v>
          </cell>
        </row>
        <row r="597">
          <cell r="D597" t="str">
            <v>Tenant improvements</v>
          </cell>
          <cell r="H597">
            <v>7.9850000000000003</v>
          </cell>
          <cell r="I597">
            <v>10.785</v>
          </cell>
          <cell r="J597">
            <v>21.143999999999998</v>
          </cell>
          <cell r="K597">
            <v>31.954999999999998</v>
          </cell>
          <cell r="L597">
            <v>18.416</v>
          </cell>
          <cell r="M597">
            <v>28.010999999999999</v>
          </cell>
          <cell r="GR597" t="str">
            <v>mstag:tenantImprovements</v>
          </cell>
          <cell r="GS597">
            <v>6</v>
          </cell>
          <cell r="GT597" t="str">
            <v>ISO4217:USD</v>
          </cell>
          <cell r="GU597" t="b">
            <v>0</v>
          </cell>
          <cell r="GV597" t="b">
            <v>0</v>
          </cell>
        </row>
        <row r="598">
          <cell r="D598" t="str">
            <v>Leasing commissions</v>
          </cell>
          <cell r="H598">
            <v>5.0570000000000004</v>
          </cell>
          <cell r="I598">
            <v>6.6550000000000002</v>
          </cell>
          <cell r="J598">
            <v>12.326000000000001</v>
          </cell>
          <cell r="K598">
            <v>17.53</v>
          </cell>
          <cell r="L598">
            <v>13.845000000000001</v>
          </cell>
          <cell r="M598">
            <v>17.975000000000001</v>
          </cell>
          <cell r="GR598" t="str">
            <v>mstag:leasingCommissions</v>
          </cell>
          <cell r="GS598">
            <v>6</v>
          </cell>
          <cell r="GT598" t="str">
            <v>ISO4217:USD</v>
          </cell>
          <cell r="GU598" t="b">
            <v>0</v>
          </cell>
          <cell r="GV598" t="b">
            <v>0</v>
          </cell>
        </row>
        <row r="599">
          <cell r="C599" t="str">
            <v>Recurring but nonrevenue-enhancing capex</v>
          </cell>
          <cell r="H599">
            <v>1.2110000000000001</v>
          </cell>
          <cell r="I599">
            <v>2.206</v>
          </cell>
          <cell r="J599">
            <v>3.7509999999999999</v>
          </cell>
          <cell r="K599">
            <v>6.8040000000000003</v>
          </cell>
          <cell r="L599">
            <v>10.872999999999999</v>
          </cell>
          <cell r="M599">
            <v>13.372999999999999</v>
          </cell>
          <cell r="N599">
            <v>20.873999999999999</v>
          </cell>
          <cell r="P599">
            <v>14.687999999999999</v>
          </cell>
          <cell r="Q599">
            <v>20.873999999999999</v>
          </cell>
          <cell r="GR599" t="str">
            <v>mstag:recurringButNonRevenueEnhancingCapex</v>
          </cell>
          <cell r="GS599">
            <v>6</v>
          </cell>
          <cell r="GT599" t="str">
            <v>ISO4217:USD</v>
          </cell>
          <cell r="GU599" t="b">
            <v>0</v>
          </cell>
          <cell r="GV599" t="b">
            <v>0</v>
          </cell>
        </row>
        <row r="600">
          <cell r="C600" t="str">
            <v>Adjustment for smoothing or property payments</v>
          </cell>
          <cell r="GR600" t="str">
            <v>mstag:nonCashElementOfRentUitf28Charge</v>
          </cell>
          <cell r="GS600">
            <v>6</v>
          </cell>
          <cell r="GT600" t="str">
            <v>ISO4217:USD</v>
          </cell>
          <cell r="GU600" t="b">
            <v>0</v>
          </cell>
          <cell r="GV600" t="b">
            <v>0</v>
          </cell>
        </row>
        <row r="601">
          <cell r="D601" t="str">
            <v>Straight lining of rents</v>
          </cell>
          <cell r="H601">
            <v>4.4690000000000003</v>
          </cell>
          <cell r="I601">
            <v>5.7939999999999996</v>
          </cell>
          <cell r="J601">
            <v>10.676</v>
          </cell>
          <cell r="K601">
            <v>14.519</v>
          </cell>
          <cell r="L601">
            <v>12.593</v>
          </cell>
          <cell r="M601">
            <v>12.5</v>
          </cell>
          <cell r="N601">
            <v>23.593</v>
          </cell>
          <cell r="P601">
            <v>12.5</v>
          </cell>
          <cell r="Q601">
            <v>23.593</v>
          </cell>
          <cell r="GR601" t="str">
            <v>mstag:straightLiningOfRents</v>
          </cell>
          <cell r="GS601">
            <v>6</v>
          </cell>
          <cell r="GT601" t="str">
            <v>ISO4217:USD</v>
          </cell>
          <cell r="GU601" t="b">
            <v>0</v>
          </cell>
          <cell r="GV601" t="b">
            <v>0</v>
          </cell>
        </row>
        <row r="602">
          <cell r="D602" t="str">
            <v>Amortization of lease incentives</v>
          </cell>
          <cell r="GR602" t="str">
            <v>mstag:amortizationOfLeaseIncentives</v>
          </cell>
          <cell r="GS602">
            <v>6</v>
          </cell>
          <cell r="GT602" t="str">
            <v>ISO4217:USD</v>
          </cell>
          <cell r="GU602" t="b">
            <v>0</v>
          </cell>
          <cell r="GV602" t="b">
            <v>0</v>
          </cell>
        </row>
        <row r="603">
          <cell r="C603" t="str">
            <v>Mark to market adjustments on book values</v>
          </cell>
          <cell r="GR603" t="str">
            <v>mstag:markToMarketAdjustmentsOnBookValues</v>
          </cell>
          <cell r="GS603">
            <v>6</v>
          </cell>
          <cell r="GT603" t="str">
            <v>ISO4217:USD</v>
          </cell>
          <cell r="GU603" t="b">
            <v>0</v>
          </cell>
          <cell r="GV603" t="b">
            <v>0</v>
          </cell>
        </row>
        <row r="604">
          <cell r="D604" t="str">
            <v>Surplus on investment properties</v>
          </cell>
          <cell r="GR604" t="str">
            <v>mstag:surplusOnInvestmentProperties</v>
          </cell>
          <cell r="GS604">
            <v>6</v>
          </cell>
          <cell r="GT604" t="str">
            <v>ISO4217:USD</v>
          </cell>
          <cell r="GU604" t="b">
            <v>0</v>
          </cell>
          <cell r="GV604" t="b">
            <v>0</v>
          </cell>
        </row>
        <row r="605">
          <cell r="D605" t="str">
            <v>Surplus on developments</v>
          </cell>
          <cell r="GR605" t="str">
            <v>mstag:surplusOnDevelopments</v>
          </cell>
          <cell r="GS605">
            <v>6</v>
          </cell>
          <cell r="GT605" t="str">
            <v>ISO4217:USD</v>
          </cell>
          <cell r="GU605" t="b">
            <v>0</v>
          </cell>
          <cell r="GV605" t="b">
            <v>0</v>
          </cell>
        </row>
        <row r="606">
          <cell r="D606" t="str">
            <v>Surplus on trading properties</v>
          </cell>
          <cell r="GR606" t="str">
            <v>mstag:surplusOnTradingProperties</v>
          </cell>
          <cell r="GS606">
            <v>6</v>
          </cell>
          <cell r="GT606" t="str">
            <v>ISO4217:USD</v>
          </cell>
          <cell r="GU606" t="b">
            <v>0</v>
          </cell>
          <cell r="GV606" t="b">
            <v>0</v>
          </cell>
        </row>
        <row r="607">
          <cell r="D607" t="str">
            <v>Other surplus on book values</v>
          </cell>
          <cell r="GR607" t="str">
            <v>mstag:otherSurplusOnBookValues</v>
          </cell>
          <cell r="GS607">
            <v>6</v>
          </cell>
          <cell r="GT607" t="str">
            <v>ISO4217:USD</v>
          </cell>
          <cell r="GU607" t="b">
            <v>0</v>
          </cell>
          <cell r="GV607" t="b">
            <v>0</v>
          </cell>
        </row>
        <row r="608">
          <cell r="C608" t="str">
            <v>Provisions to be added back to net asset value</v>
          </cell>
          <cell r="GR608" t="str">
            <v>mstag:provisionsToBeAddedBackToNetAssetValue</v>
          </cell>
          <cell r="GS608">
            <v>6</v>
          </cell>
          <cell r="GT608" t="str">
            <v>ISO4217:USD</v>
          </cell>
          <cell r="GU608" t="b">
            <v>0</v>
          </cell>
          <cell r="GV608" t="b">
            <v>0</v>
          </cell>
        </row>
        <row r="609">
          <cell r="D609" t="str">
            <v>Provision for accelerated capital allowances</v>
          </cell>
          <cell r="GR609" t="str">
            <v>mstag:provisionForAcceleratedCapitalAllowances</v>
          </cell>
          <cell r="GS609">
            <v>6</v>
          </cell>
          <cell r="GT609" t="str">
            <v>ISO4217:USD</v>
          </cell>
          <cell r="GU609" t="b">
            <v>0</v>
          </cell>
          <cell r="GV609" t="b">
            <v>0</v>
          </cell>
        </row>
        <row r="610">
          <cell r="D610" t="str">
            <v>Provision for contingent capital gains tax</v>
          </cell>
          <cell r="GR610" t="str">
            <v>mstag:provisionForContingentCapitalGainsTax</v>
          </cell>
          <cell r="GS610">
            <v>6</v>
          </cell>
          <cell r="GT610" t="str">
            <v>ISO4217:USD</v>
          </cell>
          <cell r="GU610" t="b">
            <v>0</v>
          </cell>
          <cell r="GV610" t="b">
            <v>0</v>
          </cell>
        </row>
        <row r="611">
          <cell r="D611" t="str">
            <v>Provision for mark to market on debt</v>
          </cell>
          <cell r="GR611" t="str">
            <v>mstag:provisionForMarkToMarketOnDebt</v>
          </cell>
          <cell r="GS611">
            <v>6</v>
          </cell>
          <cell r="GT611" t="str">
            <v>ISO4217:USD</v>
          </cell>
          <cell r="GU611" t="b">
            <v>0</v>
          </cell>
          <cell r="GV611" t="b">
            <v>0</v>
          </cell>
        </row>
        <row r="612">
          <cell r="D612" t="str">
            <v>Other provisions to be added back</v>
          </cell>
          <cell r="GR612" t="str">
            <v>mstag:otherProvisionsToBeAddedBack</v>
          </cell>
          <cell r="GS612">
            <v>6</v>
          </cell>
          <cell r="GT612" t="str">
            <v>ISO4217:USD</v>
          </cell>
          <cell r="GU612" t="b">
            <v>0</v>
          </cell>
          <cell r="GV612" t="b">
            <v>0</v>
          </cell>
        </row>
        <row r="613">
          <cell r="C613" t="str">
            <v>Additional shareholders' funds on full dilution</v>
          </cell>
          <cell r="GR613" t="str">
            <v>mstag:additionalShareholdersFundsOnFullDilution</v>
          </cell>
          <cell r="GS613">
            <v>6</v>
          </cell>
          <cell r="GT613" t="str">
            <v>ISO4217:USD</v>
          </cell>
          <cell r="GU613" t="b">
            <v>0</v>
          </cell>
          <cell r="GV613" t="b">
            <v>0</v>
          </cell>
        </row>
        <row r="614">
          <cell r="D614" t="str">
            <v>Shareholders' funds created on conversion</v>
          </cell>
          <cell r="GR614" t="str">
            <v>mstag:shareholdersFundsCreatedOnConversion</v>
          </cell>
          <cell r="GS614">
            <v>6</v>
          </cell>
          <cell r="GT614" t="str">
            <v>ISO4217:USD</v>
          </cell>
          <cell r="GU614" t="b">
            <v>0</v>
          </cell>
          <cell r="GV614" t="b">
            <v>0</v>
          </cell>
        </row>
        <row r="615">
          <cell r="D615" t="str">
            <v>Shareholders' funds created on issue of options</v>
          </cell>
          <cell r="GR615" t="str">
            <v>mstag:shareholdersFundsCreatedOnIssueOfOptions</v>
          </cell>
          <cell r="GS615">
            <v>6</v>
          </cell>
          <cell r="GT615" t="str">
            <v>ISO4217:USD</v>
          </cell>
          <cell r="GU615" t="b">
            <v>0</v>
          </cell>
          <cell r="GV615" t="b">
            <v>0</v>
          </cell>
        </row>
        <row r="616">
          <cell r="C616" t="str">
            <v>Mark to market on cost of debt</v>
          </cell>
          <cell r="GR616" t="str">
            <v>mstag:markToMarketOnCostOfDebt</v>
          </cell>
          <cell r="GS616">
            <v>6</v>
          </cell>
          <cell r="GT616" t="str">
            <v>ISO4217:USD</v>
          </cell>
          <cell r="GU616" t="b">
            <v>0</v>
          </cell>
          <cell r="GV616" t="b">
            <v>0</v>
          </cell>
        </row>
        <row r="617">
          <cell r="C617" t="str">
            <v>Contingent capital gains tax liability</v>
          </cell>
          <cell r="GR617" t="str">
            <v>mstag:contingentCapitalGainsTaxLiability</v>
          </cell>
          <cell r="GS617">
            <v>6</v>
          </cell>
          <cell r="GT617" t="str">
            <v>ISO4217:USD</v>
          </cell>
          <cell r="GU617" t="b">
            <v>0</v>
          </cell>
          <cell r="GV617" t="b">
            <v>0</v>
          </cell>
        </row>
        <row r="618">
          <cell r="C618" t="str">
            <v>Regional breakdown by property value</v>
          </cell>
          <cell r="GR618" t="str">
            <v>mstag:regionalBreakdownByPropertyValue</v>
          </cell>
          <cell r="GS618">
            <v>6</v>
          </cell>
          <cell r="GT618" t="str">
            <v>ISO4217:USD</v>
          </cell>
          <cell r="GU618" t="b">
            <v>0</v>
          </cell>
          <cell r="GV618" t="b">
            <v>0</v>
          </cell>
        </row>
        <row r="619">
          <cell r="D619" t="str">
            <v>Property value (United States)</v>
          </cell>
          <cell r="GR619" t="str">
            <v>mstag:unitedStatesPropertyValue</v>
          </cell>
          <cell r="GS619">
            <v>6</v>
          </cell>
          <cell r="GT619" t="str">
            <v>ISO4217:USD</v>
          </cell>
          <cell r="GU619" t="b">
            <v>0</v>
          </cell>
          <cell r="GV619" t="b">
            <v>0</v>
          </cell>
        </row>
        <row r="620">
          <cell r="E620" t="str">
            <v>Property value (Northeast USA)</v>
          </cell>
          <cell r="GR620" t="str">
            <v>mstag:northEastUsaPropertyValue</v>
          </cell>
          <cell r="GS620">
            <v>6</v>
          </cell>
          <cell r="GT620" t="str">
            <v>ISO4217:USD</v>
          </cell>
          <cell r="GU620" t="b">
            <v>0</v>
          </cell>
          <cell r="GV620" t="b">
            <v>0</v>
          </cell>
        </row>
        <row r="621">
          <cell r="E621" t="str">
            <v>Property value (Southeast USA)</v>
          </cell>
          <cell r="GR621" t="str">
            <v>mstag:southEastUsaPropertyValue</v>
          </cell>
          <cell r="GS621">
            <v>6</v>
          </cell>
          <cell r="GT621" t="str">
            <v>ISO4217:USD</v>
          </cell>
          <cell r="GU621" t="b">
            <v>0</v>
          </cell>
          <cell r="GV621" t="b">
            <v>0</v>
          </cell>
        </row>
        <row r="622">
          <cell r="E622" t="str">
            <v>Property value (Southwest USA)</v>
          </cell>
          <cell r="GR622" t="str">
            <v>mstag:southWestUsaPropertyValue</v>
          </cell>
          <cell r="GS622">
            <v>6</v>
          </cell>
          <cell r="GT622" t="str">
            <v>ISO4217:USD</v>
          </cell>
          <cell r="GU622" t="b">
            <v>0</v>
          </cell>
          <cell r="GV622" t="b">
            <v>0</v>
          </cell>
        </row>
        <row r="623">
          <cell r="E623" t="str">
            <v>Property value (Midwest USA)</v>
          </cell>
          <cell r="GR623" t="str">
            <v>mstag:midWestUsaPropertyValue</v>
          </cell>
          <cell r="GS623">
            <v>6</v>
          </cell>
          <cell r="GT623" t="str">
            <v>ISO4217:USD</v>
          </cell>
          <cell r="GU623" t="b">
            <v>0</v>
          </cell>
          <cell r="GV623" t="b">
            <v>0</v>
          </cell>
        </row>
        <row r="624">
          <cell r="E624" t="str">
            <v>Property value (Mountains USA)</v>
          </cell>
          <cell r="GR624" t="str">
            <v>mstag:mountainsUsaPropertyValue</v>
          </cell>
          <cell r="GS624">
            <v>6</v>
          </cell>
          <cell r="GT624" t="str">
            <v>ISO4217:USD</v>
          </cell>
          <cell r="GU624" t="b">
            <v>0</v>
          </cell>
          <cell r="GV624" t="b">
            <v>0</v>
          </cell>
        </row>
        <row r="625">
          <cell r="E625" t="str">
            <v>Property value (Pacific Coast USA)</v>
          </cell>
          <cell r="GR625" t="str">
            <v>mstag:pacificCoastUsaPropertyValue</v>
          </cell>
          <cell r="GS625">
            <v>6</v>
          </cell>
          <cell r="GT625" t="str">
            <v>ISO4217:USD</v>
          </cell>
          <cell r="GU625" t="b">
            <v>0</v>
          </cell>
          <cell r="GV625" t="b">
            <v>0</v>
          </cell>
        </row>
        <row r="626">
          <cell r="D626" t="str">
            <v>Property value (Europe)</v>
          </cell>
          <cell r="GR626" t="str">
            <v>mstag:europePropertyValue</v>
          </cell>
          <cell r="GS626">
            <v>6</v>
          </cell>
          <cell r="GT626" t="str">
            <v>ISO4217:USD</v>
          </cell>
          <cell r="GU626" t="b">
            <v>0</v>
          </cell>
          <cell r="GV626" t="b">
            <v>0</v>
          </cell>
        </row>
        <row r="627">
          <cell r="E627" t="str">
            <v>Property value (Benelux)</v>
          </cell>
          <cell r="GR627" t="str">
            <v>mstag:beneluxPropertyValue</v>
          </cell>
          <cell r="GS627">
            <v>6</v>
          </cell>
          <cell r="GT627" t="str">
            <v>ISO4217:USD</v>
          </cell>
          <cell r="GU627" t="b">
            <v>0</v>
          </cell>
          <cell r="GV627" t="b">
            <v>0</v>
          </cell>
        </row>
        <row r="628">
          <cell r="E628" t="str">
            <v>Property value (UK and Eire)</v>
          </cell>
          <cell r="GR628" t="str">
            <v>mstag:ukAndEirePropertyValue</v>
          </cell>
          <cell r="GS628">
            <v>6</v>
          </cell>
          <cell r="GT628" t="str">
            <v>ISO4217:USD</v>
          </cell>
          <cell r="GU628" t="b">
            <v>0</v>
          </cell>
          <cell r="GV628" t="b">
            <v>0</v>
          </cell>
        </row>
        <row r="629">
          <cell r="E629" t="str">
            <v>Property value (Germany)</v>
          </cell>
          <cell r="GR629" t="str">
            <v>mstag:germanyPropertyValue</v>
          </cell>
          <cell r="GS629">
            <v>6</v>
          </cell>
          <cell r="GT629" t="str">
            <v>ISO4217:USD</v>
          </cell>
          <cell r="GU629" t="b">
            <v>0</v>
          </cell>
          <cell r="GV629" t="b">
            <v>0</v>
          </cell>
        </row>
        <row r="630">
          <cell r="E630" t="str">
            <v>Property value (France)</v>
          </cell>
          <cell r="GR630" t="str">
            <v>mstag:francePropertyValue</v>
          </cell>
          <cell r="GS630">
            <v>6</v>
          </cell>
          <cell r="GT630" t="str">
            <v>ISO4217:USD</v>
          </cell>
          <cell r="GU630" t="b">
            <v>0</v>
          </cell>
          <cell r="GV630" t="b">
            <v>0</v>
          </cell>
        </row>
        <row r="631">
          <cell r="E631" t="str">
            <v>Property value (Italy)</v>
          </cell>
          <cell r="GR631" t="str">
            <v>mstag:italyPropertyValue</v>
          </cell>
          <cell r="GS631">
            <v>6</v>
          </cell>
          <cell r="GT631" t="str">
            <v>ISO4217:USD</v>
          </cell>
          <cell r="GU631" t="b">
            <v>0</v>
          </cell>
          <cell r="GV631" t="b">
            <v>0</v>
          </cell>
        </row>
        <row r="632">
          <cell r="E632" t="str">
            <v>Property value (Scandinavia)</v>
          </cell>
          <cell r="GR632" t="str">
            <v>mstag:scandinaviaPropertyValue</v>
          </cell>
          <cell r="GS632">
            <v>6</v>
          </cell>
          <cell r="GT632" t="str">
            <v>ISO4217:USD</v>
          </cell>
          <cell r="GU632" t="b">
            <v>0</v>
          </cell>
          <cell r="GV632" t="b">
            <v>0</v>
          </cell>
        </row>
        <row r="633">
          <cell r="E633" t="str">
            <v>Property value (Iberia)</v>
          </cell>
          <cell r="GR633" t="str">
            <v>mstag:iberiaPropertyValue</v>
          </cell>
          <cell r="GS633">
            <v>6</v>
          </cell>
          <cell r="GT633" t="str">
            <v>ISO4217:USD</v>
          </cell>
          <cell r="GU633" t="b">
            <v>0</v>
          </cell>
          <cell r="GV633" t="b">
            <v>0</v>
          </cell>
        </row>
        <row r="634">
          <cell r="E634" t="str">
            <v>Property value (Austria and Switzerland)</v>
          </cell>
          <cell r="GR634" t="str">
            <v>mstag:austriaAndSwitzerlandPropertyValue</v>
          </cell>
          <cell r="GS634">
            <v>6</v>
          </cell>
          <cell r="GT634" t="str">
            <v>ISO4217:USD</v>
          </cell>
          <cell r="GU634" t="b">
            <v>0</v>
          </cell>
          <cell r="GV634" t="b">
            <v>0</v>
          </cell>
        </row>
        <row r="635">
          <cell r="E635" t="str">
            <v>Property value (other Europe)</v>
          </cell>
          <cell r="GR635" t="str">
            <v>mstag:otherEuropePropertyValue</v>
          </cell>
          <cell r="GS635">
            <v>6</v>
          </cell>
          <cell r="GT635" t="str">
            <v>ISO4217:USD</v>
          </cell>
          <cell r="GU635" t="b">
            <v>0</v>
          </cell>
          <cell r="GV635" t="b">
            <v>0</v>
          </cell>
        </row>
        <row r="636">
          <cell r="D636" t="str">
            <v>Property value (Southeast Asia)</v>
          </cell>
          <cell r="GR636" t="str">
            <v>mstag:southEastAsiaPropertyValue</v>
          </cell>
          <cell r="GS636">
            <v>6</v>
          </cell>
          <cell r="GT636" t="str">
            <v>ISO4217:USD</v>
          </cell>
          <cell r="GU636" t="b">
            <v>0</v>
          </cell>
          <cell r="GV636" t="b">
            <v>0</v>
          </cell>
        </row>
        <row r="637">
          <cell r="E637" t="str">
            <v>Property value (Hong Kong)</v>
          </cell>
          <cell r="GR637" t="str">
            <v>mstag:hongKongPropertyValue</v>
          </cell>
          <cell r="GS637">
            <v>6</v>
          </cell>
          <cell r="GT637" t="str">
            <v>ISO4217:USD</v>
          </cell>
          <cell r="GU637" t="b">
            <v>0</v>
          </cell>
          <cell r="GV637" t="b">
            <v>0</v>
          </cell>
        </row>
        <row r="638">
          <cell r="E638" t="str">
            <v>Property value (Singapore)</v>
          </cell>
          <cell r="GR638" t="str">
            <v>mstag:singaporePropertyValue</v>
          </cell>
          <cell r="GS638">
            <v>6</v>
          </cell>
          <cell r="GT638" t="str">
            <v>ISO4217:USD</v>
          </cell>
          <cell r="GU638" t="b">
            <v>0</v>
          </cell>
          <cell r="GV638" t="b">
            <v>0</v>
          </cell>
        </row>
        <row r="639">
          <cell r="E639" t="str">
            <v>Property value (China)</v>
          </cell>
          <cell r="GR639" t="str">
            <v>mstag:chinaPropertyValue</v>
          </cell>
          <cell r="GS639">
            <v>6</v>
          </cell>
          <cell r="GT639" t="str">
            <v>ISO4217:USD</v>
          </cell>
          <cell r="GU639" t="b">
            <v>0</v>
          </cell>
          <cell r="GV639" t="b">
            <v>0</v>
          </cell>
        </row>
        <row r="640">
          <cell r="E640" t="str">
            <v>Property value (Thailand)</v>
          </cell>
          <cell r="GR640" t="str">
            <v>mstag:thailandPropertyValue</v>
          </cell>
          <cell r="GS640">
            <v>6</v>
          </cell>
          <cell r="GT640" t="str">
            <v>ISO4217:USD</v>
          </cell>
          <cell r="GU640" t="b">
            <v>0</v>
          </cell>
          <cell r="GV640" t="b">
            <v>0</v>
          </cell>
        </row>
        <row r="641">
          <cell r="E641" t="str">
            <v>Property value (Indonesia)</v>
          </cell>
          <cell r="GR641" t="str">
            <v>mstag:indonesiaPropertyValue</v>
          </cell>
          <cell r="GS641">
            <v>6</v>
          </cell>
          <cell r="GT641" t="str">
            <v>ISO4217:USD</v>
          </cell>
          <cell r="GU641" t="b">
            <v>0</v>
          </cell>
          <cell r="GV641" t="b">
            <v>0</v>
          </cell>
        </row>
        <row r="642">
          <cell r="E642" t="str">
            <v>Property value (other Southeast Asia)</v>
          </cell>
          <cell r="GR642" t="str">
            <v>mstag:otherSouthEastAsiaPropertyValue</v>
          </cell>
          <cell r="GS642">
            <v>6</v>
          </cell>
          <cell r="GT642" t="str">
            <v>ISO4217:USD</v>
          </cell>
          <cell r="GU642" t="b">
            <v>0</v>
          </cell>
          <cell r="GV642" t="b">
            <v>0</v>
          </cell>
        </row>
        <row r="643">
          <cell r="D643" t="str">
            <v>Property value (Japan)</v>
          </cell>
          <cell r="GR643" t="str">
            <v>mstag:japanPropertyValue</v>
          </cell>
          <cell r="GS643">
            <v>6</v>
          </cell>
          <cell r="GT643" t="str">
            <v>ISO4217:USD</v>
          </cell>
          <cell r="GU643" t="b">
            <v>0</v>
          </cell>
          <cell r="GV643" t="b">
            <v>0</v>
          </cell>
        </row>
        <row r="644">
          <cell r="E644" t="str">
            <v>Property value (Greater Tokyo)</v>
          </cell>
          <cell r="GR644" t="str">
            <v>mstag:greaterTokyoPropertyValue</v>
          </cell>
          <cell r="GS644">
            <v>6</v>
          </cell>
          <cell r="GT644" t="str">
            <v>ISO4217:USD</v>
          </cell>
          <cell r="GU644" t="b">
            <v>0</v>
          </cell>
          <cell r="GV644" t="b">
            <v>0</v>
          </cell>
        </row>
        <row r="645">
          <cell r="F645" t="str">
            <v>Property value (Tokyo - central 5 wards)</v>
          </cell>
          <cell r="GR645" t="str">
            <v>mstag:tokyoCentral5WardsPropertyValue</v>
          </cell>
          <cell r="GS645">
            <v>6</v>
          </cell>
          <cell r="GT645" t="str">
            <v>ISO4217:USD</v>
          </cell>
          <cell r="GU645" t="b">
            <v>0</v>
          </cell>
          <cell r="GV645" t="b">
            <v>0</v>
          </cell>
        </row>
        <row r="646">
          <cell r="F646" t="str">
            <v>Property value (Tokyo - outer 18 wards)</v>
          </cell>
          <cell r="GR646" t="str">
            <v>mstag:tokyoOuter18WardsPropertyValue</v>
          </cell>
          <cell r="GS646">
            <v>6</v>
          </cell>
          <cell r="GT646" t="str">
            <v>ISO4217:USD</v>
          </cell>
          <cell r="GU646" t="b">
            <v>0</v>
          </cell>
          <cell r="GV646" t="b">
            <v>0</v>
          </cell>
        </row>
        <row r="647">
          <cell r="F647" t="str">
            <v>Property value (Tokyo - periphery)</v>
          </cell>
          <cell r="GR647" t="str">
            <v>mstag:tokyoPeripheryPropertyValue</v>
          </cell>
          <cell r="GS647">
            <v>6</v>
          </cell>
          <cell r="GT647" t="str">
            <v>ISO4217:USD</v>
          </cell>
          <cell r="GU647" t="b">
            <v>0</v>
          </cell>
          <cell r="GV647" t="b">
            <v>0</v>
          </cell>
        </row>
        <row r="648">
          <cell r="E648" t="str">
            <v>Property value (Osaka CBD)</v>
          </cell>
          <cell r="GR648" t="str">
            <v>mstag:osakaCbdPropertyValue</v>
          </cell>
          <cell r="GS648">
            <v>6</v>
          </cell>
          <cell r="GT648" t="str">
            <v>ISO4217:USD</v>
          </cell>
          <cell r="GU648" t="b">
            <v>0</v>
          </cell>
          <cell r="GV648" t="b">
            <v>0</v>
          </cell>
        </row>
        <row r="649">
          <cell r="E649" t="str">
            <v>Property value (Osaka - other)</v>
          </cell>
          <cell r="GR649" t="str">
            <v>mstag:osakaOtherPropertyValue</v>
          </cell>
          <cell r="GS649">
            <v>6</v>
          </cell>
          <cell r="GT649" t="str">
            <v>ISO4217:USD</v>
          </cell>
          <cell r="GU649" t="b">
            <v>0</v>
          </cell>
          <cell r="GV649" t="b">
            <v>0</v>
          </cell>
        </row>
        <row r="650">
          <cell r="E650" t="str">
            <v>Property value (Nagoya)</v>
          </cell>
          <cell r="GR650" t="str">
            <v>mstag:nagoyaPropertyValue</v>
          </cell>
          <cell r="GS650">
            <v>6</v>
          </cell>
          <cell r="GT650" t="str">
            <v>ISO4217:USD</v>
          </cell>
          <cell r="GU650" t="b">
            <v>0</v>
          </cell>
          <cell r="GV650" t="b">
            <v>0</v>
          </cell>
        </row>
        <row r="651">
          <cell r="E651" t="str">
            <v>Property value (other Japan)</v>
          </cell>
          <cell r="GR651" t="str">
            <v>mstag:otherJapanPropertyValue</v>
          </cell>
          <cell r="GS651">
            <v>6</v>
          </cell>
          <cell r="GT651" t="str">
            <v>ISO4217:USD</v>
          </cell>
          <cell r="GU651" t="b">
            <v>0</v>
          </cell>
          <cell r="GV651" t="b">
            <v>0</v>
          </cell>
        </row>
        <row r="652">
          <cell r="D652" t="str">
            <v>Property value (Australia)</v>
          </cell>
          <cell r="GR652" t="str">
            <v>mstag:australiaPropertyValue</v>
          </cell>
          <cell r="GS652">
            <v>6</v>
          </cell>
          <cell r="GT652" t="str">
            <v>ISO4217:USD</v>
          </cell>
          <cell r="GU652" t="b">
            <v>0</v>
          </cell>
          <cell r="GV652" t="b">
            <v>0</v>
          </cell>
        </row>
        <row r="653">
          <cell r="D653" t="str">
            <v>Property value (New Zealand)</v>
          </cell>
          <cell r="GR653" t="str">
            <v>mstag:newZealandPropertyValue</v>
          </cell>
          <cell r="GS653">
            <v>6</v>
          </cell>
          <cell r="GT653" t="str">
            <v>ISO4217:USD</v>
          </cell>
          <cell r="GU653" t="b">
            <v>0</v>
          </cell>
          <cell r="GV653" t="b">
            <v>0</v>
          </cell>
        </row>
        <row r="654">
          <cell r="D654" t="str">
            <v>Property value (Australasia)</v>
          </cell>
          <cell r="GR654" t="str">
            <v>mstag:australasiaPropertyValue</v>
          </cell>
          <cell r="GS654">
            <v>6</v>
          </cell>
          <cell r="GT654" t="str">
            <v>ISO4217:USD</v>
          </cell>
          <cell r="GU654" t="b">
            <v>0</v>
          </cell>
          <cell r="GV654" t="b">
            <v>0</v>
          </cell>
        </row>
        <row r="655">
          <cell r="D655" t="str">
            <v>Other regional property value</v>
          </cell>
          <cell r="GR655" t="str">
            <v>mstag:otherRegionalPropertyValue</v>
          </cell>
          <cell r="GS655">
            <v>6</v>
          </cell>
          <cell r="GT655" t="str">
            <v>ISO4217:USD</v>
          </cell>
          <cell r="GU655" t="b">
            <v>0</v>
          </cell>
          <cell r="GV655" t="b">
            <v>0</v>
          </cell>
        </row>
        <row r="656">
          <cell r="C656" t="str">
            <v>Sectoral breakdown by property value</v>
          </cell>
          <cell r="GR656" t="str">
            <v>mstag:sectoralBreakdownByPropertyValue</v>
          </cell>
          <cell r="GS656">
            <v>6</v>
          </cell>
          <cell r="GT656" t="str">
            <v>ISO4217:USD</v>
          </cell>
          <cell r="GU656" t="b">
            <v>0</v>
          </cell>
          <cell r="GV656" t="b">
            <v>0</v>
          </cell>
        </row>
        <row r="657">
          <cell r="D657" t="str">
            <v>Offices property value</v>
          </cell>
          <cell r="GR657" t="str">
            <v>mstag:officesPropertyValue</v>
          </cell>
          <cell r="GS657">
            <v>6</v>
          </cell>
          <cell r="GT657" t="str">
            <v>ISO4217:USD</v>
          </cell>
          <cell r="GU657" t="b">
            <v>0</v>
          </cell>
          <cell r="GV657" t="b">
            <v>0</v>
          </cell>
        </row>
        <row r="658">
          <cell r="E658" t="str">
            <v>CBD offices property value</v>
          </cell>
          <cell r="GR658" t="str">
            <v>mstag:cbdOfficesPropertyValue</v>
          </cell>
          <cell r="GS658">
            <v>6</v>
          </cell>
          <cell r="GT658" t="str">
            <v>ISO4217:USD</v>
          </cell>
          <cell r="GU658" t="b">
            <v>0</v>
          </cell>
          <cell r="GV658" t="b">
            <v>0</v>
          </cell>
        </row>
        <row r="659">
          <cell r="E659" t="str">
            <v>Other offices property value</v>
          </cell>
          <cell r="GR659" t="str">
            <v>mstag:otherOfficesPropertyValue</v>
          </cell>
          <cell r="GS659">
            <v>6</v>
          </cell>
          <cell r="GT659" t="str">
            <v>ISO4217:USD</v>
          </cell>
          <cell r="GU659" t="b">
            <v>0</v>
          </cell>
          <cell r="GV659" t="b">
            <v>0</v>
          </cell>
        </row>
        <row r="660">
          <cell r="D660" t="str">
            <v>Retail property value</v>
          </cell>
          <cell r="GR660" t="str">
            <v>mstag:retailPropertyValue</v>
          </cell>
          <cell r="GS660">
            <v>6</v>
          </cell>
          <cell r="GT660" t="str">
            <v>ISO4217:USD</v>
          </cell>
          <cell r="GU660" t="b">
            <v>0</v>
          </cell>
          <cell r="GV660" t="b">
            <v>0</v>
          </cell>
        </row>
        <row r="661">
          <cell r="E661" t="str">
            <v>Town centre retail (i.e. unit shops) property value</v>
          </cell>
          <cell r="GR661" t="str">
            <v>mstag:townCentreRetailI.e.UnitShopsPropertyValue</v>
          </cell>
          <cell r="GS661">
            <v>6</v>
          </cell>
          <cell r="GT661" t="str">
            <v>ISO4217:USD</v>
          </cell>
          <cell r="GU661" t="b">
            <v>0</v>
          </cell>
          <cell r="GV661" t="b">
            <v>0</v>
          </cell>
        </row>
        <row r="662">
          <cell r="E662" t="str">
            <v>Shopping centres property value</v>
          </cell>
          <cell r="GR662" t="str">
            <v>mstag:shoppingCentresPropertyValue</v>
          </cell>
          <cell r="GS662">
            <v>6</v>
          </cell>
          <cell r="GT662" t="str">
            <v>ISO4217:USD</v>
          </cell>
          <cell r="GU662" t="b">
            <v>0</v>
          </cell>
          <cell r="GV662" t="b">
            <v>0</v>
          </cell>
        </row>
        <row r="663">
          <cell r="F663" t="str">
            <v>In-town shopping centres property value</v>
          </cell>
          <cell r="GR663" t="str">
            <v>mstag:inTownShoppingCentresPropertyValue</v>
          </cell>
          <cell r="GS663">
            <v>6</v>
          </cell>
          <cell r="GT663" t="str">
            <v>ISO4217:USD</v>
          </cell>
          <cell r="GU663" t="b">
            <v>0</v>
          </cell>
          <cell r="GV663" t="b">
            <v>0</v>
          </cell>
        </row>
        <row r="664">
          <cell r="F664" t="str">
            <v>Regional shopping centres property value</v>
          </cell>
          <cell r="GR664" t="str">
            <v>mstag:regionalShoppingCentresPropertyValue</v>
          </cell>
          <cell r="GS664">
            <v>6</v>
          </cell>
          <cell r="GT664" t="str">
            <v>ISO4217:USD</v>
          </cell>
          <cell r="GU664" t="b">
            <v>0</v>
          </cell>
          <cell r="GV664" t="b">
            <v>0</v>
          </cell>
        </row>
        <row r="665">
          <cell r="F665" t="str">
            <v>Strip malls property value</v>
          </cell>
          <cell r="GR665" t="str">
            <v>mstag:stripMallsPropertyValue</v>
          </cell>
          <cell r="GS665">
            <v>6</v>
          </cell>
          <cell r="GT665" t="str">
            <v>ISO4217:USD</v>
          </cell>
          <cell r="GU665" t="b">
            <v>0</v>
          </cell>
          <cell r="GV665" t="b">
            <v>0</v>
          </cell>
        </row>
        <row r="666">
          <cell r="F666" t="str">
            <v>Super-regional shopping centres property value</v>
          </cell>
          <cell r="GR666" t="str">
            <v>mstag:superRegionalShoppingCentresPropertyValue</v>
          </cell>
          <cell r="GS666">
            <v>6</v>
          </cell>
          <cell r="GT666" t="str">
            <v>ISO4217:USD</v>
          </cell>
          <cell r="GU666" t="b">
            <v>0</v>
          </cell>
          <cell r="GV666" t="b">
            <v>0</v>
          </cell>
        </row>
        <row r="667">
          <cell r="D667" t="str">
            <v>Flex property value</v>
          </cell>
          <cell r="GR667" t="str">
            <v>mstag:flexPropertyValue</v>
          </cell>
          <cell r="GS667">
            <v>6</v>
          </cell>
          <cell r="GT667" t="str">
            <v>ISO4217:USD</v>
          </cell>
          <cell r="GU667" t="b">
            <v>0</v>
          </cell>
          <cell r="GV667" t="b">
            <v>0</v>
          </cell>
        </row>
        <row r="668">
          <cell r="D668" t="str">
            <v>Industrial, logistics and distribution warehouses property value</v>
          </cell>
          <cell r="GR668" t="str">
            <v>mstag:industrialLogisticsAndDistributionWarehousesPropertyValue</v>
          </cell>
          <cell r="GS668">
            <v>6</v>
          </cell>
          <cell r="GT668" t="str">
            <v>ISO4217:USD</v>
          </cell>
          <cell r="GU668" t="b">
            <v>0</v>
          </cell>
          <cell r="GV668" t="b">
            <v>0</v>
          </cell>
        </row>
        <row r="669">
          <cell r="D669" t="str">
            <v>Storage property value</v>
          </cell>
          <cell r="GR669" t="str">
            <v>mstag:storagePropertyValue</v>
          </cell>
          <cell r="GS669">
            <v>6</v>
          </cell>
          <cell r="GT669" t="str">
            <v>ISO4217:USD</v>
          </cell>
          <cell r="GU669" t="b">
            <v>0</v>
          </cell>
          <cell r="GV669" t="b">
            <v>0</v>
          </cell>
        </row>
        <row r="670">
          <cell r="D670" t="str">
            <v>Hotels and lodging property value</v>
          </cell>
          <cell r="GR670" t="str">
            <v>mstag:hotelsAndLodgingPropertyValue</v>
          </cell>
          <cell r="GS670">
            <v>6</v>
          </cell>
          <cell r="GT670" t="str">
            <v>ISO4217:USD</v>
          </cell>
          <cell r="GU670" t="b">
            <v>0</v>
          </cell>
          <cell r="GV670" t="b">
            <v>0</v>
          </cell>
        </row>
        <row r="671">
          <cell r="D671" t="str">
            <v>Healthcare property value</v>
          </cell>
          <cell r="GR671" t="str">
            <v>mstag:healthcarePropertyValue</v>
          </cell>
          <cell r="GS671">
            <v>6</v>
          </cell>
          <cell r="GT671" t="str">
            <v>ISO4217:USD</v>
          </cell>
          <cell r="GU671" t="b">
            <v>0</v>
          </cell>
          <cell r="GV671" t="b">
            <v>0</v>
          </cell>
        </row>
        <row r="672">
          <cell r="D672" t="str">
            <v>Net lease assets property value</v>
          </cell>
          <cell r="GR672" t="str">
            <v>mstag:netLeaseAssetsPropertyValue</v>
          </cell>
          <cell r="GS672">
            <v>6</v>
          </cell>
          <cell r="GT672" t="str">
            <v>ISO4217:USD</v>
          </cell>
          <cell r="GU672" t="b">
            <v>0</v>
          </cell>
          <cell r="GV672" t="b">
            <v>0</v>
          </cell>
        </row>
        <row r="673">
          <cell r="D673" t="str">
            <v>Other sectorial property value</v>
          </cell>
          <cell r="GR673" t="str">
            <v>mstag:otherSectorialPropertyValue</v>
          </cell>
          <cell r="GS673">
            <v>6</v>
          </cell>
          <cell r="GT673" t="str">
            <v>ISO4217:USD</v>
          </cell>
          <cell r="GU673" t="b">
            <v>0</v>
          </cell>
          <cell r="GV673" t="b">
            <v>0</v>
          </cell>
        </row>
        <row r="674">
          <cell r="D674" t="str">
            <v>Total commercial property value</v>
          </cell>
          <cell r="GR674" t="str">
            <v>mstag:totalCommercialPropertyValue</v>
          </cell>
          <cell r="GS674">
            <v>6</v>
          </cell>
          <cell r="GT674" t="str">
            <v>ISO4217:USD</v>
          </cell>
          <cell r="GU674" t="b">
            <v>0</v>
          </cell>
          <cell r="GV674" t="b">
            <v>0</v>
          </cell>
        </row>
        <row r="675">
          <cell r="D675" t="str">
            <v>Manufactured housing property value</v>
          </cell>
          <cell r="GR675" t="str">
            <v>mstag:manufacturedHousingPropertyValue</v>
          </cell>
          <cell r="GS675">
            <v>6</v>
          </cell>
          <cell r="GT675" t="str">
            <v>ISO4217:USD</v>
          </cell>
          <cell r="GU675" t="b">
            <v>0</v>
          </cell>
          <cell r="GV675" t="b">
            <v>0</v>
          </cell>
        </row>
        <row r="676">
          <cell r="D676" t="str">
            <v>Residential property value</v>
          </cell>
          <cell r="GR676" t="str">
            <v>mstag:residentialPropertyValue</v>
          </cell>
          <cell r="GS676">
            <v>6</v>
          </cell>
          <cell r="GT676" t="str">
            <v>ISO4217:USD</v>
          </cell>
          <cell r="GU676" t="b">
            <v>0</v>
          </cell>
          <cell r="GV676" t="b">
            <v>0</v>
          </cell>
        </row>
        <row r="677">
          <cell r="C677" t="str">
            <v>Number of units (apartments)</v>
          </cell>
          <cell r="GR677" t="str">
            <v>mstag:numberOfUnitsApartments</v>
          </cell>
          <cell r="GS677">
            <v>0</v>
          </cell>
          <cell r="GT677" t="str">
            <v>ms_eqr_gcim_Decimal:ms_eqr_gcim_decimal</v>
          </cell>
          <cell r="GU677" t="b">
            <v>0</v>
          </cell>
          <cell r="GV677" t="b">
            <v>0</v>
          </cell>
        </row>
        <row r="678">
          <cell r="C678" t="str">
            <v>Implied cap rate (Property)</v>
          </cell>
          <cell r="GR678" t="str">
            <v>mstag:impliedCapRateProperty</v>
          </cell>
          <cell r="GS678">
            <v>0</v>
          </cell>
          <cell r="GT678" t="str">
            <v>ms_eqr_gcim_Decimal:ms_eqr_gcim_decimal</v>
          </cell>
          <cell r="GU678" t="b">
            <v>0</v>
          </cell>
          <cell r="GV678" t="b">
            <v>0</v>
          </cell>
        </row>
        <row r="679">
          <cell r="C679" t="str">
            <v>Estimated net option expense if reported</v>
          </cell>
          <cell r="GR679" t="str">
            <v>mstag:estimatedNetOptionExpenseIfReported</v>
          </cell>
          <cell r="GS679">
            <v>6</v>
          </cell>
          <cell r="GT679" t="str">
            <v>ISO4217:USD</v>
          </cell>
          <cell r="GU679" t="b">
            <v>0</v>
          </cell>
          <cell r="GV679" t="b">
            <v>0</v>
          </cell>
        </row>
        <row r="680">
          <cell r="C680" t="str">
            <v>Unrecorded goodwill from poolings, write-offs, and cumulative amortization</v>
          </cell>
          <cell r="G680">
            <v>0</v>
          </cell>
          <cell r="H680">
            <v>0</v>
          </cell>
          <cell r="I680">
            <v>0</v>
          </cell>
          <cell r="J680">
            <v>0</v>
          </cell>
          <cell r="K680">
            <v>0</v>
          </cell>
          <cell r="L680">
            <v>0</v>
          </cell>
          <cell r="M680">
            <v>0</v>
          </cell>
          <cell r="N680">
            <v>0</v>
          </cell>
          <cell r="P680">
            <v>0</v>
          </cell>
          <cell r="Q680">
            <v>0</v>
          </cell>
          <cell r="GR680" t="str">
            <v>mstag:unrecordedGoodwillFromPoolingAndAmortizedOrWrittenOffGoodwill</v>
          </cell>
          <cell r="GS680">
            <v>6</v>
          </cell>
          <cell r="GT680" t="str">
            <v>ISO4217:USD</v>
          </cell>
          <cell r="GU680" t="b">
            <v>0</v>
          </cell>
          <cell r="GV680" t="b">
            <v>0</v>
          </cell>
        </row>
        <row r="681">
          <cell r="D681" t="str">
            <v>Unrecorded goodwill from poolings</v>
          </cell>
          <cell r="GR681" t="str">
            <v>mstag:unrecordedGoodwillFromPoolings</v>
          </cell>
          <cell r="GS681">
            <v>6</v>
          </cell>
          <cell r="GT681" t="str">
            <v>ISO4217:USD</v>
          </cell>
          <cell r="GU681" t="b">
            <v>0</v>
          </cell>
          <cell r="GV681" t="b">
            <v>0</v>
          </cell>
        </row>
        <row r="682">
          <cell r="D682" t="str">
            <v>Nonimpairment write-offs</v>
          </cell>
          <cell r="GR682" t="str">
            <v>mstag:nonImpairmentWriteOffs</v>
          </cell>
          <cell r="GS682">
            <v>6</v>
          </cell>
          <cell r="GT682" t="str">
            <v>ISO4217:USD</v>
          </cell>
          <cell r="GU682" t="b">
            <v>0</v>
          </cell>
          <cell r="GV682" t="b">
            <v>0</v>
          </cell>
        </row>
        <row r="683">
          <cell r="D683" t="str">
            <v>Cumulative goodwill impairments reported</v>
          </cell>
          <cell r="GR683" t="str">
            <v>mstag:cumulativeGoodwillImpairmentsReported</v>
          </cell>
          <cell r="GS683">
            <v>6</v>
          </cell>
          <cell r="GT683" t="str">
            <v>ISO4217:USD</v>
          </cell>
          <cell r="GU683" t="b">
            <v>0</v>
          </cell>
          <cell r="GV683" t="b">
            <v>0</v>
          </cell>
        </row>
        <row r="684">
          <cell r="D684" t="str">
            <v>Cumulative amortization</v>
          </cell>
          <cell r="GR684" t="str">
            <v>mstag:cumulativeAmortization</v>
          </cell>
          <cell r="GS684">
            <v>6</v>
          </cell>
          <cell r="GT684" t="str">
            <v>ISO4217:USD</v>
          </cell>
          <cell r="GU684" t="b">
            <v>0</v>
          </cell>
          <cell r="GV684" t="b">
            <v>0</v>
          </cell>
        </row>
        <row r="685">
          <cell r="C685" t="str">
            <v>Analyst estimated goodwill impairments</v>
          </cell>
          <cell r="GR685" t="str">
            <v>mstag:analystEstimatedGoodwillImpairments</v>
          </cell>
          <cell r="GS685">
            <v>6</v>
          </cell>
          <cell r="GT685" t="str">
            <v>ISO4217:USD</v>
          </cell>
          <cell r="GU685" t="b">
            <v>0</v>
          </cell>
          <cell r="GV685" t="b">
            <v>0</v>
          </cell>
        </row>
        <row r="686">
          <cell r="C686" t="str">
            <v>Cumulative indefinite life intangible amortization and impairments reported</v>
          </cell>
          <cell r="H686" t="str">
            <v/>
          </cell>
          <cell r="I686" t="str">
            <v/>
          </cell>
          <cell r="J686" t="str">
            <v/>
          </cell>
          <cell r="K686" t="str">
            <v/>
          </cell>
          <cell r="L686" t="str">
            <v/>
          </cell>
          <cell r="M686" t="str">
            <v/>
          </cell>
          <cell r="N686" t="str">
            <v/>
          </cell>
          <cell r="P686" t="str">
            <v/>
          </cell>
          <cell r="Q686" t="str">
            <v/>
          </cell>
          <cell r="GR686" t="str">
            <v>mstag:cumulativeIndefiniteLifeIntangibleAmortizationAndImpairmentsReported</v>
          </cell>
          <cell r="GS686">
            <v>6</v>
          </cell>
          <cell r="GT686" t="str">
            <v>ISO4217:USD</v>
          </cell>
          <cell r="GU686" t="b">
            <v>0</v>
          </cell>
          <cell r="GV686" t="b">
            <v>0</v>
          </cell>
        </row>
        <row r="687">
          <cell r="D687" t="str">
            <v>Cumulative indefinite life intangible amortization</v>
          </cell>
          <cell r="GR687" t="str">
            <v>mstag:cumulativeIndefiniteLifeIntangibleAmortization</v>
          </cell>
          <cell r="GS687">
            <v>6</v>
          </cell>
          <cell r="GT687" t="str">
            <v>ISO4217:USD</v>
          </cell>
          <cell r="GU687" t="b">
            <v>0</v>
          </cell>
          <cell r="GV687" t="b">
            <v>0</v>
          </cell>
        </row>
        <row r="688">
          <cell r="D688" t="str">
            <v>Cumulative indefinite life intangible impairments reported</v>
          </cell>
          <cell r="GR688" t="str">
            <v>mstag:cumulativeIndefiniteLifeIntangibleImpairmentsReported</v>
          </cell>
          <cell r="GS688">
            <v>6</v>
          </cell>
          <cell r="GT688" t="str">
            <v>ISO4217:USD</v>
          </cell>
          <cell r="GU688" t="b">
            <v>0</v>
          </cell>
          <cell r="GV688" t="b">
            <v>0</v>
          </cell>
        </row>
        <row r="689">
          <cell r="C689" t="str">
            <v>Adjustment for cash taxes paid</v>
          </cell>
          <cell r="GR689" t="str">
            <v>mstag:adjustmentForCashTaxesPaid</v>
          </cell>
          <cell r="GS689">
            <v>6</v>
          </cell>
          <cell r="GT689" t="str">
            <v>ISO4217:USD</v>
          </cell>
          <cell r="GU689" t="b">
            <v>0</v>
          </cell>
          <cell r="GV689" t="b">
            <v>0</v>
          </cell>
        </row>
        <row r="690">
          <cell r="C690" t="str">
            <v>Net cash used (from) one-time items</v>
          </cell>
          <cell r="GR690" t="str">
            <v>mstag:netCashUsedFromOneTimeItems</v>
          </cell>
          <cell r="GS690">
            <v>6</v>
          </cell>
          <cell r="GT690" t="str">
            <v>ISO4217:USD</v>
          </cell>
          <cell r="GU690" t="b">
            <v>0</v>
          </cell>
          <cell r="GV690" t="b">
            <v>0</v>
          </cell>
        </row>
        <row r="691">
          <cell r="C691" t="str">
            <v>Net increase in beginning net operating assets from change in consolidation of investments</v>
          </cell>
          <cell r="GR691" t="str">
            <v>mstag:adjustmentToNetOperatingAssetsFor1stTimeConsolidationOfInvestments</v>
          </cell>
          <cell r="GS691">
            <v>6</v>
          </cell>
          <cell r="GT691" t="str">
            <v>ISO4217:USD</v>
          </cell>
          <cell r="GU691" t="b">
            <v>0</v>
          </cell>
          <cell r="GV691" t="b">
            <v>0</v>
          </cell>
        </row>
        <row r="692">
          <cell r="C692" t="str">
            <v>Net increase in beginning net deferred tax assets (operating) from change in consolidation of investments</v>
          </cell>
          <cell r="GR692" t="str">
            <v>mstag:adjustmentToNetDeferredTaxAssetsOperatingFor1stTimeConsolidationOfInvestments</v>
          </cell>
          <cell r="GS692">
            <v>6</v>
          </cell>
          <cell r="GT692" t="str">
            <v>ISO4217:USD</v>
          </cell>
          <cell r="GU692" t="b">
            <v>0</v>
          </cell>
          <cell r="GV692" t="b">
            <v>0</v>
          </cell>
        </row>
        <row r="693">
          <cell r="C693" t="str">
            <v>Net increase in beginning net deferred tax assets (financing) from change in consolidation of investments</v>
          </cell>
          <cell r="GR693" t="str">
            <v>mstag:adjustmentToNetDeferredTaxAssetsFinancingFor1stTimeConsolidationOfInvestments</v>
          </cell>
          <cell r="GS693">
            <v>6</v>
          </cell>
          <cell r="GT693" t="str">
            <v>ISO4217:USD</v>
          </cell>
          <cell r="GU693" t="b">
            <v>0</v>
          </cell>
          <cell r="GV693" t="b">
            <v>0</v>
          </cell>
        </row>
        <row r="694">
          <cell r="C694" t="str">
            <v>Net increase in beginning net debt from change in consolidation of investments</v>
          </cell>
          <cell r="GR694" t="str">
            <v>mstag:adjustmentToNetDebtFor1stTimeConsolidationOfInvestments</v>
          </cell>
          <cell r="GS694">
            <v>6</v>
          </cell>
          <cell r="GT694" t="str">
            <v>ISO4217:USD</v>
          </cell>
          <cell r="GU694" t="b">
            <v>0</v>
          </cell>
          <cell r="GV694" t="b">
            <v>0</v>
          </cell>
        </row>
        <row r="695">
          <cell r="C695" t="str">
            <v>Net decrease in beginning net operating assets from discontinued operations</v>
          </cell>
          <cell r="GR695" t="str">
            <v>mstag:adjustmentToNetOperatingAssetsForDiscontinuedOperations</v>
          </cell>
          <cell r="GS695">
            <v>6</v>
          </cell>
          <cell r="GT695" t="str">
            <v>ISO4217:USD</v>
          </cell>
          <cell r="GU695" t="b">
            <v>0</v>
          </cell>
          <cell r="GV695" t="b">
            <v>0</v>
          </cell>
        </row>
        <row r="696">
          <cell r="C696" t="str">
            <v>Net decrease in beginning net deferred tax assets (operating) from discontinued operations</v>
          </cell>
          <cell r="GR696" t="str">
            <v>mstag:adjustmentToNetDeferredTaxAssetsOperatingForDiscontinuedOperations</v>
          </cell>
          <cell r="GS696">
            <v>6</v>
          </cell>
          <cell r="GT696" t="str">
            <v>ISO4217:USD</v>
          </cell>
          <cell r="GU696" t="b">
            <v>0</v>
          </cell>
          <cell r="GV696" t="b">
            <v>0</v>
          </cell>
        </row>
        <row r="697">
          <cell r="C697" t="str">
            <v>Net decrease in beginning net deferred tax assets (financing) from discontinued operations</v>
          </cell>
          <cell r="GR697" t="str">
            <v>mstag:adjustmentToNetDeferredTaxAssetsFinancingForDiscontinuedOperations</v>
          </cell>
          <cell r="GS697">
            <v>6</v>
          </cell>
          <cell r="GT697" t="str">
            <v>ISO4217:USD</v>
          </cell>
          <cell r="GU697" t="b">
            <v>0</v>
          </cell>
          <cell r="GV697" t="b">
            <v>0</v>
          </cell>
        </row>
        <row r="698">
          <cell r="C698" t="str">
            <v>Net decrease in beginning net debt from discontinued operations</v>
          </cell>
          <cell r="GR698" t="str">
            <v>mstag:adjustmentToNetDebtForDiscontinuedOperations</v>
          </cell>
          <cell r="GS698">
            <v>6</v>
          </cell>
          <cell r="GT698" t="str">
            <v>ISO4217:USD</v>
          </cell>
          <cell r="GU698" t="b">
            <v>0</v>
          </cell>
          <cell r="GV698" t="b">
            <v>0</v>
          </cell>
        </row>
        <row r="699">
          <cell r="C699" t="str">
            <v>Other FFO adjustment (NAREIT)</v>
          </cell>
          <cell r="N699">
            <v>-3.5009999999999999</v>
          </cell>
          <cell r="P699">
            <v>0.98899999999999999</v>
          </cell>
          <cell r="Q699">
            <v>-3.5009999999999999</v>
          </cell>
          <cell r="GR699" t="str">
            <v>mstag:otherFfoAdjustmentNareit</v>
          </cell>
          <cell r="GS699">
            <v>6</v>
          </cell>
          <cell r="GT699" t="str">
            <v>ISO4217:USD</v>
          </cell>
          <cell r="GU699" t="b">
            <v>0</v>
          </cell>
          <cell r="GV699" t="b">
            <v>0</v>
          </cell>
        </row>
        <row r="700">
          <cell r="C700" t="str">
            <v>Other FFO adjustment</v>
          </cell>
          <cell r="GR700" t="str">
            <v>mstag:otherFfoAdjustment</v>
          </cell>
          <cell r="GS700">
            <v>6</v>
          </cell>
          <cell r="GT700" t="str">
            <v>ISO4217:USD</v>
          </cell>
          <cell r="GU700" t="b">
            <v>0</v>
          </cell>
          <cell r="GV700" t="b">
            <v>0</v>
          </cell>
        </row>
        <row r="701">
          <cell r="C701" t="str">
            <v>Other FFO adjustment (AFFO)</v>
          </cell>
          <cell r="N701">
            <v>7.6059999999999999</v>
          </cell>
          <cell r="P701">
            <v>7.7379999999999995</v>
          </cell>
          <cell r="Q701">
            <v>7.6059999999999999</v>
          </cell>
          <cell r="GR701" t="str">
            <v>mstag:otherFfoAdjustmentAffo</v>
          </cell>
          <cell r="GS701">
            <v>6</v>
          </cell>
          <cell r="GT701" t="str">
            <v>ISO4217:USD</v>
          </cell>
          <cell r="GU701" t="b">
            <v>0</v>
          </cell>
          <cell r="GV701" t="b">
            <v>0</v>
          </cell>
        </row>
        <row r="702">
          <cell r="C702" t="str">
            <v>Risk free rate</v>
          </cell>
          <cell r="GR702" t="str">
            <v>mstag:riskFreeRate</v>
          </cell>
          <cell r="GS702">
            <v>0</v>
          </cell>
          <cell r="GT702" t="str">
            <v>ms_eqr_gcim_Decimal:ms_eqr_gcim_decimal</v>
          </cell>
          <cell r="GU702" t="b">
            <v>0</v>
          </cell>
          <cell r="GV702" t="b">
            <v>0</v>
          </cell>
        </row>
        <row r="703">
          <cell r="C703" t="str">
            <v>Beta</v>
          </cell>
          <cell r="GR703" t="str">
            <v>mstag:beta</v>
          </cell>
          <cell r="GS703">
            <v>0</v>
          </cell>
          <cell r="GT703" t="str">
            <v>ms_eqr_gcim_Decimal:ms_eqr_gcim_decimal</v>
          </cell>
          <cell r="GU703" t="b">
            <v>0</v>
          </cell>
          <cell r="GV703" t="b">
            <v>0</v>
          </cell>
        </row>
        <row r="704">
          <cell r="C704" t="str">
            <v>Equity risk premium</v>
          </cell>
          <cell r="GR704" t="str">
            <v>mstag:equityRiskPremium</v>
          </cell>
          <cell r="GS704">
            <v>0</v>
          </cell>
          <cell r="GT704" t="str">
            <v>ms_eqr_gcim_Decimal:ms_eqr_gcim_decimal</v>
          </cell>
          <cell r="GU704" t="b">
            <v>0</v>
          </cell>
          <cell r="GV704" t="b">
            <v>0</v>
          </cell>
        </row>
        <row r="705">
          <cell r="C705" t="str">
            <v>Weighted average cost of capital (WACC)</v>
          </cell>
          <cell r="GR705" t="str">
            <v>mstag:weightedAverageCostOfCapitalWacc</v>
          </cell>
          <cell r="GS705">
            <v>0</v>
          </cell>
          <cell r="GT705" t="str">
            <v>ms_eqr_gcim_Decimal:ms_eqr_gcim_decimal</v>
          </cell>
          <cell r="GU705" t="b">
            <v>0</v>
          </cell>
          <cell r="GV705" t="b">
            <v>0</v>
          </cell>
        </row>
        <row r="706">
          <cell r="C706" t="str">
            <v>Market value of investments, nonoperating</v>
          </cell>
          <cell r="GR706" t="str">
            <v>mstag:marketValueOfInvestmentsNonOperating</v>
          </cell>
          <cell r="GS706">
            <v>6</v>
          </cell>
          <cell r="GT706" t="str">
            <v>ISO4217:USD</v>
          </cell>
          <cell r="GU706" t="b">
            <v>0</v>
          </cell>
          <cell r="GV706" t="b">
            <v>0</v>
          </cell>
        </row>
        <row r="707">
          <cell r="C707" t="str">
            <v>Market value of short- and long-term debt</v>
          </cell>
          <cell r="H707" t="str">
            <v/>
          </cell>
          <cell r="I707" t="str">
            <v/>
          </cell>
          <cell r="J707" t="str">
            <v/>
          </cell>
          <cell r="K707" t="str">
            <v/>
          </cell>
          <cell r="L707" t="str">
            <v/>
          </cell>
          <cell r="M707" t="str">
            <v/>
          </cell>
          <cell r="N707" t="str">
            <v/>
          </cell>
          <cell r="P707" t="str">
            <v/>
          </cell>
          <cell r="Q707" t="str">
            <v/>
          </cell>
          <cell r="GR707" t="str">
            <v>mstag:marketValueOfShortAndLongTermDebt</v>
          </cell>
          <cell r="GS707">
            <v>6</v>
          </cell>
          <cell r="GT707" t="str">
            <v>ISO4217:USD</v>
          </cell>
          <cell r="GU707" t="b">
            <v>0</v>
          </cell>
          <cell r="GV707" t="b">
            <v>0</v>
          </cell>
        </row>
        <row r="708">
          <cell r="D708" t="str">
            <v>Market value of short-term borrowings</v>
          </cell>
          <cell r="GR708" t="str">
            <v>mstag:marketValueOfShortTermBorrowings</v>
          </cell>
          <cell r="GS708">
            <v>6</v>
          </cell>
          <cell r="GT708" t="str">
            <v>ISO4217:USD</v>
          </cell>
          <cell r="GU708" t="b">
            <v>0</v>
          </cell>
          <cell r="GV708" t="b">
            <v>0</v>
          </cell>
        </row>
        <row r="709">
          <cell r="D709" t="str">
            <v>Market value of long-term debt</v>
          </cell>
          <cell r="GR709" t="str">
            <v>mstag:marketValueOfLongTermDebt</v>
          </cell>
          <cell r="GS709">
            <v>6</v>
          </cell>
          <cell r="GT709" t="str">
            <v>ISO4217:USD</v>
          </cell>
          <cell r="GU709" t="b">
            <v>0</v>
          </cell>
          <cell r="GV709" t="b">
            <v>0</v>
          </cell>
        </row>
        <row r="710">
          <cell r="C710" t="str">
            <v>Market value of preferred equity</v>
          </cell>
          <cell r="N710">
            <v>407.25</v>
          </cell>
          <cell r="P710">
            <v>372.25</v>
          </cell>
          <cell r="Q710">
            <v>407.25</v>
          </cell>
          <cell r="GR710" t="str">
            <v>mstag:marketValueOfPreferredEquity</v>
          </cell>
          <cell r="GS710">
            <v>6</v>
          </cell>
          <cell r="GT710" t="str">
            <v>ISO4217:USD</v>
          </cell>
          <cell r="GU710" t="b">
            <v>0</v>
          </cell>
          <cell r="GV710" t="b">
            <v>0</v>
          </cell>
        </row>
        <row r="711">
          <cell r="C711" t="str">
            <v>Market value of trust preferred securities</v>
          </cell>
          <cell r="GR711" t="str">
            <v>mstag:marketValueOfTrustPreferredSecurities</v>
          </cell>
          <cell r="GS711">
            <v>6</v>
          </cell>
          <cell r="GT711" t="str">
            <v>ISO4217:USD</v>
          </cell>
          <cell r="GU711" t="b">
            <v>0</v>
          </cell>
          <cell r="GV711" t="b">
            <v>0</v>
          </cell>
        </row>
        <row r="712">
          <cell r="C712" t="str">
            <v>Market value of minority interests in shareholders' equity</v>
          </cell>
          <cell r="N712">
            <v>450.21299999999997</v>
          </cell>
          <cell r="P712">
            <v>380.70654999999999</v>
          </cell>
          <cell r="Q712">
            <v>450.21299999999997</v>
          </cell>
          <cell r="GR712" t="str">
            <v>mstag:marketValueOfMinorityInterestsInShareholdersEquity</v>
          </cell>
          <cell r="GS712">
            <v>6</v>
          </cell>
          <cell r="GT712" t="str">
            <v>ISO4217:USD</v>
          </cell>
          <cell r="GU712" t="b">
            <v>0</v>
          </cell>
          <cell r="GV712" t="b">
            <v>0</v>
          </cell>
        </row>
        <row r="713">
          <cell r="C713" t="str">
            <v>Share of market value of associates accounted for under the equity method (operating)</v>
          </cell>
          <cell r="GR713" t="str">
            <v>mstag:shareOfMarketValueOfAssociatesAccountedForUnderTheEquityMethodOperating</v>
          </cell>
          <cell r="GS713">
            <v>6</v>
          </cell>
          <cell r="GT713" t="str">
            <v>ISO4217:USD</v>
          </cell>
          <cell r="GU713" t="b">
            <v>0</v>
          </cell>
          <cell r="GV713" t="b">
            <v>0</v>
          </cell>
        </row>
        <row r="714">
          <cell r="C714" t="str">
            <v>Share of market value of associates accounted for under the equity method (nonoperating)</v>
          </cell>
          <cell r="GR714" t="str">
            <v>mstag:shareOfMarketValueOfAssociatesAccountedForUnderTheEquityMethodNonOperating</v>
          </cell>
          <cell r="GS714">
            <v>6</v>
          </cell>
          <cell r="GT714" t="str">
            <v>ISO4217:USD</v>
          </cell>
          <cell r="GU714" t="b">
            <v>0</v>
          </cell>
          <cell r="GV714" t="b">
            <v>0</v>
          </cell>
        </row>
        <row r="715">
          <cell r="C715" t="str">
            <v>Equity share of market value of excluded significant investments</v>
          </cell>
          <cell r="GR715" t="str">
            <v>mstag:equityShareOfMarketValueOfExcludedSignificantInvestments</v>
          </cell>
          <cell r="GS715">
            <v>6</v>
          </cell>
          <cell r="GT715" t="str">
            <v>ISO4217:USD</v>
          </cell>
          <cell r="GU715" t="b">
            <v>0</v>
          </cell>
          <cell r="GV715" t="b">
            <v>0</v>
          </cell>
        </row>
        <row r="716">
          <cell r="C716" t="str">
            <v>Equity share of book value of excluded significant investments</v>
          </cell>
          <cell r="GR716" t="str">
            <v>mstag:equityShareOfBookValueOfExcludedSignificantInvestments</v>
          </cell>
          <cell r="GS716">
            <v>6</v>
          </cell>
          <cell r="GT716" t="str">
            <v>ISO4217:USD</v>
          </cell>
          <cell r="GU716" t="b">
            <v>0</v>
          </cell>
          <cell r="GV716" t="b">
            <v>0</v>
          </cell>
        </row>
        <row r="717">
          <cell r="C717" t="str">
            <v>After tax earnings from excluded significant investments</v>
          </cell>
          <cell r="GR717" t="str">
            <v>mstag:afterTaxEarningsFromExcludedSignificantInvestments</v>
          </cell>
          <cell r="GS717">
            <v>6</v>
          </cell>
          <cell r="GT717" t="str">
            <v>ISO4217:USD</v>
          </cell>
          <cell r="GU717" t="b">
            <v>0</v>
          </cell>
          <cell r="GV717" t="b">
            <v>0</v>
          </cell>
        </row>
        <row r="718">
          <cell r="C718" t="str">
            <v>Current market value of investments, nonoperating</v>
          </cell>
          <cell r="GR718" t="str">
            <v>mstag:currentMarketValueOfInvestmentsNonOperating</v>
          </cell>
          <cell r="GS718">
            <v>6</v>
          </cell>
          <cell r="GT718" t="str">
            <v>ISO4217:USD</v>
          </cell>
          <cell r="GU718" t="b">
            <v>0</v>
          </cell>
          <cell r="GV718" t="b">
            <v>0</v>
          </cell>
        </row>
        <row r="719">
          <cell r="C719" t="str">
            <v>Current market value of short- and long-term debt</v>
          </cell>
          <cell r="H719" t="str">
            <v/>
          </cell>
          <cell r="I719" t="str">
            <v/>
          </cell>
          <cell r="J719" t="str">
            <v/>
          </cell>
          <cell r="K719" t="str">
            <v/>
          </cell>
          <cell r="L719" t="str">
            <v/>
          </cell>
          <cell r="M719" t="str">
            <v/>
          </cell>
          <cell r="N719" t="str">
            <v/>
          </cell>
          <cell r="P719" t="str">
            <v/>
          </cell>
          <cell r="Q719" t="str">
            <v/>
          </cell>
          <cell r="GR719" t="str">
            <v>mstag:currentMarketValueOfShortAndLongTermDebt</v>
          </cell>
          <cell r="GS719">
            <v>6</v>
          </cell>
          <cell r="GT719" t="str">
            <v>ISO4217:USD</v>
          </cell>
          <cell r="GU719" t="b">
            <v>0</v>
          </cell>
          <cell r="GV719" t="b">
            <v>0</v>
          </cell>
        </row>
        <row r="720">
          <cell r="D720" t="str">
            <v>Current market value of short-term borrowings</v>
          </cell>
          <cell r="GR720" t="str">
            <v>mstag:currentMarketValueOfShortTermBorrowings</v>
          </cell>
          <cell r="GS720">
            <v>6</v>
          </cell>
          <cell r="GT720" t="str">
            <v>ISO4217:USD</v>
          </cell>
          <cell r="GU720" t="b">
            <v>0</v>
          </cell>
          <cell r="GV720" t="b">
            <v>0</v>
          </cell>
        </row>
        <row r="721">
          <cell r="D721" t="str">
            <v>Current market value of long-term debt</v>
          </cell>
          <cell r="GR721" t="str">
            <v>mstag:currentMarketValueOfLongTermDebt</v>
          </cell>
          <cell r="GS721">
            <v>6</v>
          </cell>
          <cell r="GT721" t="str">
            <v>ISO4217:USD</v>
          </cell>
          <cell r="GU721" t="b">
            <v>0</v>
          </cell>
          <cell r="GV721" t="b">
            <v>0</v>
          </cell>
        </row>
        <row r="722">
          <cell r="C722" t="str">
            <v>Current market value of preferred equity</v>
          </cell>
          <cell r="GR722" t="str">
            <v>mstag:currentMarketValueOfPreferredEquity</v>
          </cell>
          <cell r="GS722">
            <v>6</v>
          </cell>
          <cell r="GT722" t="str">
            <v>ISO4217:USD</v>
          </cell>
          <cell r="GU722" t="b">
            <v>0</v>
          </cell>
          <cell r="GV722" t="b">
            <v>0</v>
          </cell>
        </row>
        <row r="723">
          <cell r="C723" t="str">
            <v>Current market value of trust preferred securities</v>
          </cell>
          <cell r="GR723" t="str">
            <v>mstag:currentMarketValueOfTrustPreferredSecurities</v>
          </cell>
          <cell r="GS723">
            <v>6</v>
          </cell>
          <cell r="GT723" t="str">
            <v>ISO4217:USD</v>
          </cell>
          <cell r="GU723" t="b">
            <v>0</v>
          </cell>
          <cell r="GV723" t="b">
            <v>0</v>
          </cell>
        </row>
        <row r="724">
          <cell r="C724" t="str">
            <v>Current market value of minority interests in shareholders equity</v>
          </cell>
          <cell r="GR724" t="str">
            <v>mstag:currentMarketValueOfMinorityInterestsInShareholdersEquity</v>
          </cell>
          <cell r="GS724">
            <v>6</v>
          </cell>
          <cell r="GT724" t="str">
            <v>ISO4217:USD</v>
          </cell>
          <cell r="GU724" t="b">
            <v>0</v>
          </cell>
          <cell r="GV724" t="b">
            <v>0</v>
          </cell>
        </row>
        <row r="725">
          <cell r="C725" t="str">
            <v>Current share of market value of associates accounted for under the equity method, operating</v>
          </cell>
          <cell r="GR725" t="str">
            <v>mstag:currentShareOfMarketValueOfAssociatesAccountedForUnderTheEquityMethodOperating</v>
          </cell>
          <cell r="GS725">
            <v>6</v>
          </cell>
          <cell r="GT725" t="str">
            <v>ISO4217:USD</v>
          </cell>
          <cell r="GU725" t="b">
            <v>0</v>
          </cell>
          <cell r="GV725" t="b">
            <v>0</v>
          </cell>
        </row>
        <row r="726">
          <cell r="C726" t="str">
            <v>Current share of market value of associates accounted for under the equity method, nonoperating</v>
          </cell>
          <cell r="GR726" t="str">
            <v>mstag:currentShareOfMarketValueOfAssociatesAccountedForUnderTheEquityMethodNonOperating</v>
          </cell>
          <cell r="GS726">
            <v>6</v>
          </cell>
          <cell r="GT726" t="str">
            <v>ISO4217:USD</v>
          </cell>
          <cell r="GU726" t="b">
            <v>0</v>
          </cell>
          <cell r="GV726" t="b">
            <v>0</v>
          </cell>
        </row>
        <row r="727">
          <cell r="C727" t="str">
            <v>Market value of convertible debt included in dilutive securities</v>
          </cell>
          <cell r="GR727" t="str">
            <v>mstag:convertibleDebtIncludedInDilutiveSecurities</v>
          </cell>
          <cell r="GS727">
            <v>6</v>
          </cell>
          <cell r="GT727" t="str">
            <v>ISO4217:USD</v>
          </cell>
          <cell r="GU727" t="b">
            <v>0</v>
          </cell>
          <cell r="GV727" t="b">
            <v>0</v>
          </cell>
        </row>
        <row r="728">
          <cell r="C728" t="str">
            <v>Market value of convertible preferred equity included in dilutive securities</v>
          </cell>
          <cell r="GR728" t="str">
            <v>mstag:convertiblePreferredEquityIncludedInDilutiveSecurities</v>
          </cell>
          <cell r="GS728">
            <v>6</v>
          </cell>
          <cell r="GT728" t="str">
            <v>ISO4217:USD</v>
          </cell>
          <cell r="GU728" t="b">
            <v>0</v>
          </cell>
          <cell r="GV728" t="b">
            <v>0</v>
          </cell>
        </row>
        <row r="729">
          <cell r="C729" t="str">
            <v>Book value of convertible debt included in dilutive securities</v>
          </cell>
          <cell r="GR729" t="str">
            <v>mstag:bookValueOfConvertibleDebtIncludedInDilutiveSecurities</v>
          </cell>
          <cell r="GS729">
            <v>6</v>
          </cell>
          <cell r="GT729" t="str">
            <v>ISO4217:USD</v>
          </cell>
          <cell r="GU729" t="b">
            <v>0</v>
          </cell>
          <cell r="GV729" t="b">
            <v>0</v>
          </cell>
        </row>
        <row r="730">
          <cell r="C730" t="str">
            <v>Book value of convertible preferred equity included in dilutive securities</v>
          </cell>
          <cell r="GR730" t="str">
            <v>mstag:bookValueOfConvertiblePreferredEquityIncludedInDilutiveSecurities</v>
          </cell>
          <cell r="GS730">
            <v>6</v>
          </cell>
          <cell r="GT730" t="str">
            <v>ISO4217:USD</v>
          </cell>
          <cell r="GU730" t="b">
            <v>0</v>
          </cell>
          <cell r="GV730" t="b">
            <v>0</v>
          </cell>
        </row>
        <row r="731">
          <cell r="C731" t="str">
            <v>Market value of excluded minority interests in shareholders' equity</v>
          </cell>
          <cell r="GR731" t="str">
            <v>mstag:marketValueOfExcludedMinorityInterestsInShareholdersEquity</v>
          </cell>
          <cell r="GS731">
            <v>6</v>
          </cell>
          <cell r="GT731" t="str">
            <v>ISO4217:USD</v>
          </cell>
          <cell r="GU731" t="b">
            <v>0</v>
          </cell>
          <cell r="GV731" t="b">
            <v>0</v>
          </cell>
        </row>
        <row r="732">
          <cell r="C732" t="str">
            <v>Book value of excluded minority interests in shareholders' equity</v>
          </cell>
          <cell r="GR732" t="str">
            <v>mstag:bookValueOfExcludedMinorityInterestsInShareholdersEquity</v>
          </cell>
          <cell r="GS732">
            <v>6</v>
          </cell>
          <cell r="GT732" t="str">
            <v>ISO4217:USD</v>
          </cell>
          <cell r="GU732" t="b">
            <v>0</v>
          </cell>
          <cell r="GV732" t="b">
            <v>0</v>
          </cell>
        </row>
        <row r="733">
          <cell r="C733" t="str">
            <v>Percentage of EBITDA attributable to entities with excluded minority interest</v>
          </cell>
          <cell r="GR733" t="str">
            <v>mstag:percentageOfEbitdaAttributableToEntitiesWithExcludedMinorityInterest</v>
          </cell>
          <cell r="GS733">
            <v>0</v>
          </cell>
          <cell r="GT733" t="str">
            <v>ms_eqr_gcim_Decimal:ms_eqr_gcim_decimal</v>
          </cell>
          <cell r="GU733" t="b">
            <v>0</v>
          </cell>
          <cell r="GV733" t="b">
            <v>0</v>
          </cell>
        </row>
        <row r="734">
          <cell r="C734" t="str">
            <v>Minority share in entities with excluded minority interest (%)</v>
          </cell>
          <cell r="GR734" t="str">
            <v>mstag:minorityShareInEntitiesWithExcludedMinorityInterestPercent</v>
          </cell>
          <cell r="GS734">
            <v>6</v>
          </cell>
          <cell r="GT734" t="str">
            <v>ms_eqr_gcim_Decimal:ms_eqr_gcim_decimal</v>
          </cell>
          <cell r="GU734" t="b">
            <v>0</v>
          </cell>
          <cell r="GV734" t="b">
            <v>0</v>
          </cell>
        </row>
        <row r="735">
          <cell r="C735" t="str">
            <v>Net financial obligations of entities with excluded minority interest</v>
          </cell>
          <cell r="GR735" t="str">
            <v>mstag:netFinancialObligationsOfEntitiesWithExcludedMinorityInterest</v>
          </cell>
          <cell r="GS735">
            <v>6</v>
          </cell>
          <cell r="GT735" t="str">
            <v>ISO4217:USD</v>
          </cell>
          <cell r="GU735" t="b">
            <v>0</v>
          </cell>
          <cell r="GV735" t="b">
            <v>0</v>
          </cell>
        </row>
        <row r="736">
          <cell r="C736" t="str">
            <v>Net financial obligations of entities consolidated using the equity method included in majority EV</v>
          </cell>
          <cell r="N736">
            <v>278.73199999999997</v>
          </cell>
          <cell r="Q736">
            <v>278.73199999999997</v>
          </cell>
          <cell r="GR736" t="str">
            <v>mstag:netFinancialObligationsOfEntitiesConsolidatedUsingTheEquityMethodIncludedInMajorityEv</v>
          </cell>
          <cell r="GS736">
            <v>6</v>
          </cell>
          <cell r="GT736" t="str">
            <v>ISO4217:USD</v>
          </cell>
          <cell r="GU736" t="b">
            <v>0</v>
          </cell>
          <cell r="GV736" t="b">
            <v>0</v>
          </cell>
        </row>
        <row r="737">
          <cell r="C737" t="str">
            <v>Majority share of entities consolidated using the equity method included in majority EV (%)</v>
          </cell>
          <cell r="N737">
            <v>1</v>
          </cell>
          <cell r="P737">
            <v>1</v>
          </cell>
          <cell r="Q737">
            <v>1</v>
          </cell>
          <cell r="GR737" t="str">
            <v>mstag:majorityShareOfEntitiesConsolidatedUsingTheEquityMethodIncludedInMajorityEvPercent</v>
          </cell>
          <cell r="GS737">
            <v>0</v>
          </cell>
          <cell r="GT737" t="str">
            <v>ms_eqr_gcim_Decimal:ms_eqr_gcim_decimal</v>
          </cell>
          <cell r="GU737" t="b">
            <v>0</v>
          </cell>
          <cell r="GV737" t="b">
            <v>0</v>
          </cell>
        </row>
        <row r="738">
          <cell r="C738" t="str">
            <v>EBITDA of entities consolidated using the equity method included in majority EBITDA</v>
          </cell>
          <cell r="GR738" t="str">
            <v>mstag:ebitdaOfEntitiesConsolidatedUsingTheEquityMethodIncludedInMajorityEbitda</v>
          </cell>
          <cell r="GS738">
            <v>6</v>
          </cell>
          <cell r="GT738" t="str">
            <v>ISO4217:USD</v>
          </cell>
          <cell r="GU738" t="b">
            <v>0</v>
          </cell>
          <cell r="GV738" t="b">
            <v>0</v>
          </cell>
        </row>
        <row r="739">
          <cell r="C739" t="str">
            <v>Market value of investments accounted for using the equity method excluded from majority EV</v>
          </cell>
          <cell r="GR739" t="str">
            <v>mstag:marketValueOfInvestmentsAccountedForUsingTheEquityMethodExcludedFromMajorityEv</v>
          </cell>
          <cell r="GS739">
            <v>6</v>
          </cell>
          <cell r="GT739" t="str">
            <v>ISO4217:USD</v>
          </cell>
          <cell r="GU739" t="b">
            <v>0</v>
          </cell>
          <cell r="GV739" t="b">
            <v>0</v>
          </cell>
        </row>
        <row r="740">
          <cell r="C740" t="str">
            <v>Book value of investments accounted for using the equity method excluded from majority EV</v>
          </cell>
          <cell r="GR740" t="str">
            <v>mstag:bookValueOfInvestmentsAccountedForUsingTheEquityMethodExcludedFromMajorityEv</v>
          </cell>
          <cell r="GS740">
            <v>6</v>
          </cell>
          <cell r="GT740" t="str">
            <v>ISO4217:USD</v>
          </cell>
          <cell r="GU740" t="b">
            <v>0</v>
          </cell>
          <cell r="GV740" t="b">
            <v>0</v>
          </cell>
        </row>
        <row r="741">
          <cell r="C741" t="str">
            <v>Current market value of investments accounted for using the equity method excluded from majority EV</v>
          </cell>
          <cell r="GR741" t="str">
            <v>mstag:currentMarketValueOfInvestmentsAccountedForUsingTheEquityMethodExcludedFromMajorityEv</v>
          </cell>
          <cell r="GS741">
            <v>6</v>
          </cell>
          <cell r="GT741" t="str">
            <v>ISO4217:USD</v>
          </cell>
          <cell r="GU741" t="b">
            <v>0</v>
          </cell>
          <cell r="GV741" t="b">
            <v>0</v>
          </cell>
        </row>
        <row r="742">
          <cell r="C742" t="str">
            <v>Current market value of excluded minority interests in shareholders' equity</v>
          </cell>
          <cell r="GR742" t="str">
            <v>mstag:currentMarketValueOfExcludedMinorityInterestsInShareholdersEquity</v>
          </cell>
          <cell r="GS742">
            <v>6</v>
          </cell>
          <cell r="GT742" t="str">
            <v>ISO4217:USD</v>
          </cell>
          <cell r="GU742" t="b">
            <v>0</v>
          </cell>
          <cell r="GV742" t="b">
            <v>0</v>
          </cell>
        </row>
        <row r="743">
          <cell r="C743" t="str">
            <v>LIFO reserve</v>
          </cell>
          <cell r="GR743" t="str">
            <v>mstag:lifoReserve</v>
          </cell>
          <cell r="GS743">
            <v>6</v>
          </cell>
          <cell r="GT743" t="str">
            <v>ISO4217:USD</v>
          </cell>
          <cell r="GU743" t="b">
            <v>0</v>
          </cell>
          <cell r="GV743" t="b">
            <v>0</v>
          </cell>
        </row>
        <row r="744">
          <cell r="C744" t="str">
            <v>Change in LIFO reserve</v>
          </cell>
          <cell r="GR744" t="str">
            <v>mstag:changeInLifoReserve</v>
          </cell>
          <cell r="GS744">
            <v>6</v>
          </cell>
          <cell r="GT744" t="str">
            <v>ISO4217:USD</v>
          </cell>
          <cell r="GU744" t="b">
            <v>0</v>
          </cell>
          <cell r="GV744" t="b">
            <v>0</v>
          </cell>
        </row>
        <row r="745">
          <cell r="C745" t="str">
            <v>Inventory obsolescence reserve</v>
          </cell>
          <cell r="GR745" t="str">
            <v>mstag:inventoryObsolescenceReserve</v>
          </cell>
          <cell r="GS745">
            <v>6</v>
          </cell>
          <cell r="GT745" t="str">
            <v>ISO4217:USD</v>
          </cell>
          <cell r="GU745" t="b">
            <v>0</v>
          </cell>
          <cell r="GV745" t="b">
            <v>0</v>
          </cell>
        </row>
        <row r="746">
          <cell r="C746" t="str">
            <v>Taxes</v>
          </cell>
          <cell r="GS746">
            <v>0</v>
          </cell>
          <cell r="GT746" t="str">
            <v>ms_eqr_gcim_String:ms_eqr_gcim_string</v>
          </cell>
          <cell r="GU746" t="b">
            <v>0</v>
          </cell>
          <cell r="GV746" t="b">
            <v>0</v>
          </cell>
        </row>
        <row r="747">
          <cell r="D747" t="str">
            <v>Deferred tax assets, operating</v>
          </cell>
          <cell r="GR747" t="str">
            <v>mstag:deferredTaxAssetsOperating</v>
          </cell>
          <cell r="GS747">
            <v>6</v>
          </cell>
          <cell r="GT747" t="str">
            <v>ISO4217:USD</v>
          </cell>
          <cell r="GU747" t="b">
            <v>0</v>
          </cell>
          <cell r="GV747" t="b">
            <v>0</v>
          </cell>
        </row>
        <row r="748">
          <cell r="D748" t="str">
            <v>Deferred tax assets, financing</v>
          </cell>
          <cell r="GR748" t="str">
            <v>mstag:deferredTaxAssetsFinancing</v>
          </cell>
          <cell r="GS748">
            <v>6</v>
          </cell>
          <cell r="GT748" t="str">
            <v>ISO4217:USD</v>
          </cell>
          <cell r="GU748" t="b">
            <v>0</v>
          </cell>
          <cell r="GV748" t="b">
            <v>0</v>
          </cell>
        </row>
        <row r="749">
          <cell r="D749" t="str">
            <v>Deferred tax assets, other</v>
          </cell>
          <cell r="GR749" t="str">
            <v>mstag:deferredTaxAssetsOther</v>
          </cell>
          <cell r="GS749">
            <v>6</v>
          </cell>
          <cell r="GT749" t="str">
            <v>ISO4217:USD</v>
          </cell>
          <cell r="GU749" t="b">
            <v>0</v>
          </cell>
          <cell r="GV749" t="b">
            <v>0</v>
          </cell>
        </row>
        <row r="750">
          <cell r="D750" t="str">
            <v>Valuation allowance in deferred taxes</v>
          </cell>
          <cell r="GR750" t="str">
            <v>mstag:valuationAllowanceInDeferredTaxes</v>
          </cell>
          <cell r="GS750">
            <v>6</v>
          </cell>
          <cell r="GT750" t="str">
            <v>ISO4217:USD</v>
          </cell>
          <cell r="GU750" t="b">
            <v>0</v>
          </cell>
          <cell r="GV750" t="b">
            <v>0</v>
          </cell>
        </row>
        <row r="751">
          <cell r="D751" t="str">
            <v>Deferred tax liabilities, operating</v>
          </cell>
          <cell r="GR751" t="str">
            <v>mstag:deferredTaxLiabilitiesOperating</v>
          </cell>
          <cell r="GS751">
            <v>6</v>
          </cell>
          <cell r="GT751" t="str">
            <v>ISO4217:USD</v>
          </cell>
          <cell r="GU751" t="b">
            <v>0</v>
          </cell>
          <cell r="GV751" t="b">
            <v>0</v>
          </cell>
        </row>
        <row r="752">
          <cell r="D752" t="str">
            <v>Deferred tax liabilities, financing</v>
          </cell>
          <cell r="GR752" t="str">
            <v>mstag:deferredTaxLiabilitiesFinancing</v>
          </cell>
          <cell r="GS752">
            <v>6</v>
          </cell>
          <cell r="GT752" t="str">
            <v>ISO4217:USD</v>
          </cell>
          <cell r="GU752" t="b">
            <v>0</v>
          </cell>
          <cell r="GV752" t="b">
            <v>0</v>
          </cell>
        </row>
        <row r="753">
          <cell r="D753" t="str">
            <v>Deferred tax liabilities, other</v>
          </cell>
          <cell r="GR753" t="str">
            <v>mstag:deferredTaxLiabilitiesOther</v>
          </cell>
          <cell r="GS753">
            <v>6</v>
          </cell>
          <cell r="GT753" t="str">
            <v>ISO4217:USD</v>
          </cell>
          <cell r="GU753" t="b">
            <v>0</v>
          </cell>
          <cell r="GV753" t="b">
            <v>0</v>
          </cell>
        </row>
        <row r="754">
          <cell r="D754" t="str">
            <v>Cash taxes paid</v>
          </cell>
          <cell r="GR754" t="str">
            <v>mstag:cashTaxesPaid</v>
          </cell>
          <cell r="GS754">
            <v>6</v>
          </cell>
          <cell r="GT754" t="str">
            <v>ISO4217:USD</v>
          </cell>
          <cell r="GU754" t="b">
            <v>0</v>
          </cell>
          <cell r="GV754" t="b">
            <v>0</v>
          </cell>
        </row>
        <row r="755">
          <cell r="D755" t="str">
            <v>Fair value of NOL</v>
          </cell>
          <cell r="GR755" t="str">
            <v>mstag:fairValueOfNol</v>
          </cell>
          <cell r="GS755">
            <v>6</v>
          </cell>
          <cell r="GT755" t="str">
            <v>ISO4217:USD</v>
          </cell>
          <cell r="GU755" t="b">
            <v>0</v>
          </cell>
          <cell r="GV755" t="b">
            <v>0</v>
          </cell>
        </row>
        <row r="756">
          <cell r="D756" t="str">
            <v>Dividend tax credit (%)</v>
          </cell>
          <cell r="GR756" t="str">
            <v>mstag:dividendTaxCreditPercent</v>
          </cell>
          <cell r="GS756">
            <v>0</v>
          </cell>
          <cell r="GT756" t="str">
            <v>ms_eqr_gcim_Decimal:ms_eqr_gcim_decimal</v>
          </cell>
          <cell r="GU756" t="b">
            <v>0</v>
          </cell>
          <cell r="GV756" t="b">
            <v>0</v>
          </cell>
        </row>
        <row r="757">
          <cell r="C757" t="str">
            <v>Dividend franking percentage</v>
          </cell>
          <cell r="GR757" t="str">
            <v>mstag:dividendFrankingPercentage</v>
          </cell>
          <cell r="GS757">
            <v>0</v>
          </cell>
          <cell r="GT757" t="str">
            <v>ms_eqr_gcim_Decimal:ms_eqr_gcim_decimal</v>
          </cell>
          <cell r="GU757" t="b">
            <v>0</v>
          </cell>
          <cell r="GV757" t="b">
            <v>0</v>
          </cell>
        </row>
        <row r="758">
          <cell r="C758" t="str">
            <v>Tax withheld on dividends paid</v>
          </cell>
          <cell r="GR758" t="str">
            <v>mstag:taxWithheldOnDividendsPaid</v>
          </cell>
          <cell r="GS758">
            <v>6</v>
          </cell>
          <cell r="GT758" t="str">
            <v>ISO4217:USD</v>
          </cell>
          <cell r="GU758" t="b">
            <v>0</v>
          </cell>
          <cell r="GV758" t="b">
            <v>0</v>
          </cell>
        </row>
        <row r="759">
          <cell r="C759" t="str">
            <v>Special dividends paid</v>
          </cell>
          <cell r="GR759" t="str">
            <v>mstag:specialDividendsPaid</v>
          </cell>
          <cell r="GS759">
            <v>6</v>
          </cell>
          <cell r="GT759" t="str">
            <v>ISO4217:USD</v>
          </cell>
          <cell r="GU759" t="b">
            <v>0</v>
          </cell>
          <cell r="GV759" t="b">
            <v>0</v>
          </cell>
        </row>
        <row r="760">
          <cell r="C760" t="str">
            <v>Off balance sheet</v>
          </cell>
          <cell r="GS760">
            <v>0</v>
          </cell>
          <cell r="GT760" t="str">
            <v>ms_eqr_gcim_String:ms_eqr_gcim_string</v>
          </cell>
          <cell r="GU760" t="b">
            <v>0</v>
          </cell>
          <cell r="GV760" t="b">
            <v>0</v>
          </cell>
        </row>
        <row r="761">
          <cell r="D761" t="str">
            <v>Securitized assets</v>
          </cell>
          <cell r="H761" t="str">
            <v/>
          </cell>
          <cell r="I761" t="str">
            <v/>
          </cell>
          <cell r="J761" t="str">
            <v/>
          </cell>
          <cell r="K761" t="str">
            <v/>
          </cell>
          <cell r="L761" t="str">
            <v/>
          </cell>
          <cell r="M761" t="str">
            <v/>
          </cell>
          <cell r="N761" t="str">
            <v/>
          </cell>
          <cell r="P761" t="str">
            <v/>
          </cell>
          <cell r="Q761" t="str">
            <v/>
          </cell>
          <cell r="GR761" t="str">
            <v>mstag:securitizedAssetsNonFinancialServices</v>
          </cell>
          <cell r="GS761">
            <v>6</v>
          </cell>
          <cell r="GT761" t="str">
            <v>ISO4217:USD</v>
          </cell>
          <cell r="GU761" t="b">
            <v>0</v>
          </cell>
          <cell r="GV761" t="b">
            <v>0</v>
          </cell>
        </row>
        <row r="762">
          <cell r="E762" t="str">
            <v>Securitized receivables</v>
          </cell>
          <cell r="GR762" t="str">
            <v>mstag:securitizedReceivablesNonFinancialServices</v>
          </cell>
          <cell r="GS762">
            <v>6</v>
          </cell>
          <cell r="GT762" t="str">
            <v>ISO4217:USD</v>
          </cell>
          <cell r="GU762" t="b">
            <v>0</v>
          </cell>
          <cell r="GV762" t="b">
            <v>0</v>
          </cell>
        </row>
        <row r="763">
          <cell r="D763" t="str">
            <v>Commitments and contingencies</v>
          </cell>
          <cell r="GR763" t="str">
            <v>mstag:commitmentsAndContingencies</v>
          </cell>
          <cell r="GS763">
            <v>6</v>
          </cell>
          <cell r="GT763" t="str">
            <v>ISO4217:USD</v>
          </cell>
          <cell r="GU763" t="b">
            <v>0</v>
          </cell>
          <cell r="GV763" t="b">
            <v>0</v>
          </cell>
        </row>
        <row r="764">
          <cell r="D764" t="str">
            <v>Unguaranteed residual value in sales-financed leases</v>
          </cell>
          <cell r="GR764" t="str">
            <v>mstag:unguaranteedResidualValueInSalesFinancedLeases</v>
          </cell>
          <cell r="GS764">
            <v>6</v>
          </cell>
          <cell r="GT764" t="str">
            <v>ISO4217:USD</v>
          </cell>
          <cell r="GU764" t="b">
            <v>0</v>
          </cell>
          <cell r="GV764" t="b">
            <v>0</v>
          </cell>
        </row>
        <row r="765">
          <cell r="C765" t="str">
            <v>Total number of employees</v>
          </cell>
          <cell r="H765">
            <v>620</v>
          </cell>
          <cell r="I765">
            <v>748</v>
          </cell>
          <cell r="J765">
            <v>1460</v>
          </cell>
          <cell r="K765">
            <v>1411</v>
          </cell>
          <cell r="L765">
            <v>1050</v>
          </cell>
          <cell r="M765">
            <v>1001</v>
          </cell>
          <cell r="GR765" t="str">
            <v>mstag:totalNumberOfEmployees</v>
          </cell>
          <cell r="GS765">
            <v>0</v>
          </cell>
          <cell r="GT765" t="str">
            <v>ms_eqr_gcim_Decimal:ms_eqr_gcim_decimal</v>
          </cell>
          <cell r="GU765" t="b">
            <v>0</v>
          </cell>
          <cell r="GV765" t="b">
            <v>0</v>
          </cell>
        </row>
        <row r="766">
          <cell r="C766" t="str">
            <v>Average number of employees</v>
          </cell>
          <cell r="GR766" t="str">
            <v>mstag:averageNumberOfEmployees</v>
          </cell>
          <cell r="GS766">
            <v>0</v>
          </cell>
          <cell r="GT766" t="str">
            <v>ms_eqr_gcim_Decimal:ms_eqr_gcim_decimal</v>
          </cell>
          <cell r="GU766" t="b">
            <v>0</v>
          </cell>
          <cell r="GV766" t="b">
            <v>0</v>
          </cell>
        </row>
        <row r="767">
          <cell r="C767" t="str">
            <v>Net effect of revaluation reserves on book value</v>
          </cell>
          <cell r="GR767" t="str">
            <v>mstag:netEffectOfRevaluationReservesOnBookValue</v>
          </cell>
          <cell r="GS767">
            <v>6</v>
          </cell>
          <cell r="GT767" t="str">
            <v>ISO4217:USD</v>
          </cell>
          <cell r="GU767" t="b">
            <v>0</v>
          </cell>
          <cell r="GV767" t="b">
            <v>0</v>
          </cell>
        </row>
        <row r="768">
          <cell r="C768" t="str">
            <v>Interest on other interest-bearing liabilities</v>
          </cell>
          <cell r="H768" t="str">
            <v/>
          </cell>
          <cell r="I768" t="str">
            <v/>
          </cell>
          <cell r="J768" t="str">
            <v/>
          </cell>
          <cell r="K768" t="str">
            <v/>
          </cell>
          <cell r="L768" t="str">
            <v/>
          </cell>
          <cell r="M768" t="str">
            <v/>
          </cell>
          <cell r="N768" t="str">
            <v/>
          </cell>
          <cell r="P768" t="str">
            <v/>
          </cell>
          <cell r="Q768" t="str">
            <v/>
          </cell>
          <cell r="GR768" t="str">
            <v>mstag:interestOnOtherInterestBearingLiabilities</v>
          </cell>
          <cell r="GS768">
            <v>6</v>
          </cell>
          <cell r="GT768" t="str">
            <v>ISO4217:USD</v>
          </cell>
          <cell r="GU768" t="b">
            <v>0</v>
          </cell>
          <cell r="GV768" t="b">
            <v>0</v>
          </cell>
        </row>
        <row r="769">
          <cell r="D769" t="str">
            <v>Interest on other interest-bearing liabilities reported as finance costs</v>
          </cell>
          <cell r="GR769" t="str">
            <v>mstag:interestOnOtherInterestBearingLiabilitiesReportedAsFinanceCosts</v>
          </cell>
          <cell r="GS769">
            <v>6</v>
          </cell>
          <cell r="GT769" t="str">
            <v>ISO4217:USD</v>
          </cell>
          <cell r="GU769" t="b">
            <v>0</v>
          </cell>
          <cell r="GV769" t="b">
            <v>0</v>
          </cell>
        </row>
        <row r="770">
          <cell r="D770" t="str">
            <v>Interest on other interest-bearing liabilities reported as operating costs</v>
          </cell>
          <cell r="GR770" t="str">
            <v>mstag:interestOnOtherInterestBearingLiabilitiesReportedAsOperatingCosts</v>
          </cell>
          <cell r="GS770">
            <v>6</v>
          </cell>
          <cell r="GT770" t="str">
            <v>ISO4217:USD</v>
          </cell>
          <cell r="GU770" t="b">
            <v>0</v>
          </cell>
          <cell r="GV770" t="b">
            <v>0</v>
          </cell>
        </row>
        <row r="771">
          <cell r="B771" t="str">
            <v>Pensions and other postretirement benefit plans</v>
          </cell>
          <cell r="GS771">
            <v>0</v>
          </cell>
          <cell r="GT771" t="str">
            <v>ms_eqr_gcim_String:ms_eqr_gcim_string</v>
          </cell>
          <cell r="GU771" t="b">
            <v>0</v>
          </cell>
          <cell r="GV771" t="b">
            <v>0</v>
          </cell>
        </row>
        <row r="772">
          <cell r="C772" t="str">
            <v>Pensions (interest and returns classified by company as operating)</v>
          </cell>
          <cell r="GS772">
            <v>0</v>
          </cell>
          <cell r="GT772" t="str">
            <v>ms_eqr_gcim_String:ms_eqr_gcim_string</v>
          </cell>
          <cell r="GU772" t="b">
            <v>0</v>
          </cell>
          <cell r="GV772" t="b">
            <v>0</v>
          </cell>
        </row>
        <row r="773">
          <cell r="D773" t="str">
            <v>Net periodic pension expense (pensions)</v>
          </cell>
          <cell r="H773" t="str">
            <v/>
          </cell>
          <cell r="I773" t="str">
            <v/>
          </cell>
          <cell r="J773" t="str">
            <v/>
          </cell>
          <cell r="K773" t="str">
            <v/>
          </cell>
          <cell r="L773" t="str">
            <v/>
          </cell>
          <cell r="M773" t="str">
            <v/>
          </cell>
          <cell r="N773" t="str">
            <v/>
          </cell>
          <cell r="P773" t="str">
            <v/>
          </cell>
          <cell r="Q773" t="str">
            <v/>
          </cell>
          <cell r="GR773" t="str">
            <v>mstag:netPeriodicPensionExpensePensions</v>
          </cell>
          <cell r="GS773">
            <v>6</v>
          </cell>
          <cell r="GT773" t="str">
            <v>ISO4217:USD</v>
          </cell>
          <cell r="GU773" t="b">
            <v>0</v>
          </cell>
          <cell r="GV773" t="b">
            <v>0</v>
          </cell>
        </row>
        <row r="774">
          <cell r="E774" t="str">
            <v>Service cost (pensions)</v>
          </cell>
          <cell r="GR774" t="str">
            <v>mstag:serviceCostPensions</v>
          </cell>
          <cell r="GS774">
            <v>6</v>
          </cell>
          <cell r="GT774" t="str">
            <v>ISO4217:USD</v>
          </cell>
          <cell r="GU774" t="b">
            <v>0</v>
          </cell>
          <cell r="GV774" t="b">
            <v>0</v>
          </cell>
        </row>
        <row r="775">
          <cell r="E775" t="str">
            <v>Interest cost (pensions)</v>
          </cell>
          <cell r="GR775" t="str">
            <v>mstag:interestCostPensions</v>
          </cell>
          <cell r="GS775">
            <v>6</v>
          </cell>
          <cell r="GT775" t="str">
            <v>ISO4217:USD</v>
          </cell>
          <cell r="GU775" t="b">
            <v>0</v>
          </cell>
          <cell r="GV775" t="b">
            <v>0</v>
          </cell>
        </row>
        <row r="776">
          <cell r="E776" t="str">
            <v>Expected return on plan assets (pensions)</v>
          </cell>
          <cell r="GR776" t="str">
            <v>mstag:expectedReturnOnPlanAssetsPensions</v>
          </cell>
          <cell r="GS776">
            <v>6</v>
          </cell>
          <cell r="GT776" t="str">
            <v>ISO4217:USD</v>
          </cell>
          <cell r="GU776" t="b">
            <v>0</v>
          </cell>
          <cell r="GV776" t="b">
            <v>0</v>
          </cell>
        </row>
        <row r="777">
          <cell r="E777" t="str">
            <v>Amortization of prior service cost (pensions)</v>
          </cell>
          <cell r="GR777" t="str">
            <v>mstag:amortizationOfPriorServiceCostPensions</v>
          </cell>
          <cell r="GS777">
            <v>6</v>
          </cell>
          <cell r="GT777" t="str">
            <v>ISO4217:USD</v>
          </cell>
          <cell r="GU777" t="b">
            <v>0</v>
          </cell>
          <cell r="GV777" t="b">
            <v>0</v>
          </cell>
        </row>
        <row r="778">
          <cell r="E778" t="str">
            <v>Net actuarial gain (loss) recognized (pensions)</v>
          </cell>
          <cell r="GR778" t="str">
            <v>mstag:netActuarialGainLossRecognizedPensions</v>
          </cell>
          <cell r="GS778">
            <v>6</v>
          </cell>
          <cell r="GT778" t="str">
            <v>ISO4217:USD</v>
          </cell>
          <cell r="GU778" t="b">
            <v>0</v>
          </cell>
          <cell r="GV778" t="b">
            <v>0</v>
          </cell>
        </row>
        <row r="779">
          <cell r="E779" t="str">
            <v>Nonrecurring pension items</v>
          </cell>
          <cell r="GR779" t="str">
            <v>mstag:nonRecurringPensionItems</v>
          </cell>
          <cell r="GS779">
            <v>6</v>
          </cell>
          <cell r="GT779" t="str">
            <v>ISO4217:USD</v>
          </cell>
          <cell r="GU779" t="b">
            <v>0</v>
          </cell>
          <cell r="GV779" t="b">
            <v>0</v>
          </cell>
        </row>
        <row r="780">
          <cell r="E780" t="str">
            <v>Other net pension expense</v>
          </cell>
          <cell r="GR780" t="str">
            <v>mstag:otherNetPensionExpense</v>
          </cell>
          <cell r="GS780">
            <v>6</v>
          </cell>
          <cell r="GT780" t="str">
            <v>ISO4217:USD</v>
          </cell>
          <cell r="GU780" t="b">
            <v>0</v>
          </cell>
          <cell r="GV780" t="b">
            <v>0</v>
          </cell>
        </row>
        <row r="781">
          <cell r="D781" t="str">
            <v>Net benefits paid to retirees (pensions)</v>
          </cell>
          <cell r="H781" t="str">
            <v/>
          </cell>
          <cell r="I781" t="str">
            <v/>
          </cell>
          <cell r="J781" t="str">
            <v/>
          </cell>
          <cell r="K781" t="str">
            <v/>
          </cell>
          <cell r="L781" t="str">
            <v/>
          </cell>
          <cell r="M781" t="str">
            <v/>
          </cell>
          <cell r="N781" t="str">
            <v/>
          </cell>
          <cell r="P781" t="str">
            <v/>
          </cell>
          <cell r="Q781" t="str">
            <v/>
          </cell>
          <cell r="GR781" t="str">
            <v>mstag:netBenefitsPaidToRetireesPensions</v>
          </cell>
          <cell r="GS781">
            <v>6</v>
          </cell>
          <cell r="GT781" t="str">
            <v>ISO4217:USD</v>
          </cell>
          <cell r="GU781" t="b">
            <v>0</v>
          </cell>
          <cell r="GV781" t="b">
            <v>0</v>
          </cell>
        </row>
        <row r="782">
          <cell r="E782" t="str">
            <v>Benefits paid to retirees, in obligation (pensions)</v>
          </cell>
          <cell r="GR782" t="str">
            <v>mstag:benefitsPaidToRetireesPensions</v>
          </cell>
          <cell r="GS782">
            <v>6</v>
          </cell>
          <cell r="GT782" t="str">
            <v>ISO4217:USD</v>
          </cell>
          <cell r="GU782" t="b">
            <v>0</v>
          </cell>
          <cell r="GV782" t="b">
            <v>0</v>
          </cell>
        </row>
        <row r="783">
          <cell r="E783" t="str">
            <v>Benefits paid to retirees, in assets (pensions)</v>
          </cell>
          <cell r="GR783" t="str">
            <v>mstag:benefitsPaidToRetireesInAssetsPensions</v>
          </cell>
          <cell r="GS783">
            <v>6</v>
          </cell>
          <cell r="GT783" t="str">
            <v>ISO4217:USD</v>
          </cell>
          <cell r="GU783" t="b">
            <v>0</v>
          </cell>
          <cell r="GV783" t="b">
            <v>0</v>
          </cell>
        </row>
        <row r="784">
          <cell r="D784" t="str">
            <v>Actual return on plan assets (pensions)</v>
          </cell>
          <cell r="GR784" t="str">
            <v>mstag:actualReturnOnPlanAssetsPensions</v>
          </cell>
          <cell r="GS784">
            <v>6</v>
          </cell>
          <cell r="GT784" t="str">
            <v>ISO4217:USD</v>
          </cell>
          <cell r="GU784" t="b">
            <v>0</v>
          </cell>
          <cell r="GV784" t="b">
            <v>0</v>
          </cell>
        </row>
        <row r="785">
          <cell r="D785" t="str">
            <v>Contribution to plan assets (pensions)</v>
          </cell>
          <cell r="GR785" t="str">
            <v>mstag:contributionToPlanAssetsPensions</v>
          </cell>
          <cell r="GS785">
            <v>6</v>
          </cell>
          <cell r="GT785" t="str">
            <v>ISO4217:USD</v>
          </cell>
          <cell r="GU785" t="b">
            <v>0</v>
          </cell>
          <cell r="GV785" t="b">
            <v>0</v>
          </cell>
        </row>
        <row r="786">
          <cell r="D786" t="str">
            <v>Projected benefit obligation (pensions)</v>
          </cell>
          <cell r="GR786" t="str">
            <v>mstag:projectedBenefitObligationPensions</v>
          </cell>
          <cell r="GS786">
            <v>6</v>
          </cell>
          <cell r="GT786" t="str">
            <v>ISO4217:USD</v>
          </cell>
          <cell r="GU786" t="b">
            <v>0</v>
          </cell>
          <cell r="GV786" t="b">
            <v>0</v>
          </cell>
        </row>
        <row r="787">
          <cell r="D787" t="str">
            <v>Plan assets at fair value (pensions)</v>
          </cell>
          <cell r="GR787" t="str">
            <v>mstag:planAssetsAtFairValuePensions</v>
          </cell>
          <cell r="GS787">
            <v>6</v>
          </cell>
          <cell r="GT787" t="str">
            <v>ISO4217:USD</v>
          </cell>
          <cell r="GU787" t="b">
            <v>0</v>
          </cell>
          <cell r="GV787" t="b">
            <v>0</v>
          </cell>
        </row>
        <row r="788">
          <cell r="D788" t="str">
            <v>Net pension prepaid asset (accrued liability)</v>
          </cell>
          <cell r="GR788" t="str">
            <v>mstag:netPensionPrepaidAssetAccruedLiability</v>
          </cell>
          <cell r="GS788">
            <v>6</v>
          </cell>
          <cell r="GT788" t="str">
            <v>ISO4217:USD</v>
          </cell>
          <cell r="GU788" t="b">
            <v>0</v>
          </cell>
          <cell r="GV788" t="b">
            <v>0</v>
          </cell>
        </row>
        <row r="789">
          <cell r="D789" t="str">
            <v>Intangible asset (pensions)</v>
          </cell>
          <cell r="GR789" t="str">
            <v>mstag:intangibleAssetPensions</v>
          </cell>
          <cell r="GS789">
            <v>6</v>
          </cell>
          <cell r="GT789" t="str">
            <v>ISO4217:USD</v>
          </cell>
          <cell r="GU789" t="b">
            <v>0</v>
          </cell>
          <cell r="GV789" t="b">
            <v>0</v>
          </cell>
        </row>
        <row r="790">
          <cell r="D790" t="str">
            <v>Accumulated other comprehensive income (pensions)</v>
          </cell>
          <cell r="GR790" t="str">
            <v>mstag:accumulatedOtherComprehensiveIncomePensions</v>
          </cell>
          <cell r="GS790">
            <v>6</v>
          </cell>
          <cell r="GT790" t="str">
            <v>ISO4217:USD</v>
          </cell>
          <cell r="GU790" t="b">
            <v>0</v>
          </cell>
          <cell r="GV790" t="b">
            <v>0</v>
          </cell>
        </row>
        <row r="791">
          <cell r="D791" t="str">
            <v>Weighted average discount rate (pensions)</v>
          </cell>
          <cell r="GR791" t="str">
            <v>mstag:weightedAverageDiscountRatePensions</v>
          </cell>
          <cell r="GS791">
            <v>0</v>
          </cell>
          <cell r="GT791" t="str">
            <v>ms_eqr_gcim_Decimal:ms_eqr_gcim_decimal</v>
          </cell>
          <cell r="GU791" t="b">
            <v>0</v>
          </cell>
          <cell r="GV791" t="b">
            <v>0</v>
          </cell>
        </row>
        <row r="792">
          <cell r="D792" t="str">
            <v>Expected long-term rate of return on plan assets (pensions)</v>
          </cell>
          <cell r="GR792" t="str">
            <v>mstag:expectedLongTermRateOfReturnOnPlanAssetsPensions</v>
          </cell>
          <cell r="GS792">
            <v>0</v>
          </cell>
          <cell r="GT792" t="str">
            <v>ms_eqr_gcim_Decimal:ms_eqr_gcim_decimal</v>
          </cell>
          <cell r="GU792" t="b">
            <v>0</v>
          </cell>
          <cell r="GV792" t="b">
            <v>0</v>
          </cell>
        </row>
        <row r="793">
          <cell r="D793" t="str">
            <v>Rate of increase in future compensation levels</v>
          </cell>
          <cell r="GR793" t="str">
            <v>mstag:rateOfIncreaseInFutureCompensationLevels</v>
          </cell>
          <cell r="GS793">
            <v>0</v>
          </cell>
          <cell r="GT793" t="str">
            <v>ms_eqr_gcim_Decimal:ms_eqr_gcim_decimal</v>
          </cell>
          <cell r="GU793" t="b">
            <v>0</v>
          </cell>
          <cell r="GV793" t="b">
            <v>0</v>
          </cell>
        </row>
        <row r="794">
          <cell r="C794" t="str">
            <v>Pensions (interest and returns classified by company as financing)</v>
          </cell>
          <cell r="GS794">
            <v>0</v>
          </cell>
          <cell r="GT794" t="str">
            <v>ms_eqr_gcim_String:ms_eqr_gcim_string</v>
          </cell>
          <cell r="GU794" t="b">
            <v>0</v>
          </cell>
          <cell r="GV794" t="b">
            <v>0</v>
          </cell>
        </row>
        <row r="795">
          <cell r="D795" t="str">
            <v>Net periodic pension expense (pensions)</v>
          </cell>
          <cell r="H795" t="str">
            <v/>
          </cell>
          <cell r="I795" t="str">
            <v/>
          </cell>
          <cell r="J795" t="str">
            <v/>
          </cell>
          <cell r="K795" t="str">
            <v/>
          </cell>
          <cell r="L795" t="str">
            <v/>
          </cell>
          <cell r="M795" t="str">
            <v/>
          </cell>
          <cell r="N795" t="str">
            <v/>
          </cell>
          <cell r="P795" t="str">
            <v/>
          </cell>
          <cell r="Q795" t="str">
            <v/>
          </cell>
          <cell r="GR795" t="str">
            <v>mstag:netPeriodicPensionExpensePensionsClassifiedAsFinancing</v>
          </cell>
          <cell r="GS795">
            <v>0</v>
          </cell>
          <cell r="GT795" t="str">
            <v>ISO4217:USD</v>
          </cell>
          <cell r="GU795" t="b">
            <v>0</v>
          </cell>
          <cell r="GV795" t="b">
            <v>0</v>
          </cell>
        </row>
        <row r="796">
          <cell r="E796" t="str">
            <v>Service cost (pensions)</v>
          </cell>
          <cell r="GR796" t="str">
            <v>mstag:serviceCostPensionsClassifiedAsFinancing</v>
          </cell>
          <cell r="GS796">
            <v>0</v>
          </cell>
          <cell r="GT796" t="str">
            <v>ISO4217:USD</v>
          </cell>
          <cell r="GU796" t="b">
            <v>0</v>
          </cell>
          <cell r="GV796" t="b">
            <v>0</v>
          </cell>
        </row>
        <row r="797">
          <cell r="E797" t="str">
            <v>Interest cost (pensions)</v>
          </cell>
          <cell r="GR797" t="str">
            <v>mstag:interestCostPensionsClassifiedAsFinancing</v>
          </cell>
          <cell r="GS797">
            <v>0</v>
          </cell>
          <cell r="GT797" t="str">
            <v>ISO4217:USD</v>
          </cell>
          <cell r="GU797" t="b">
            <v>0</v>
          </cell>
          <cell r="GV797" t="b">
            <v>0</v>
          </cell>
        </row>
        <row r="798">
          <cell r="E798" t="str">
            <v>Expected return on plan assets (pensions)</v>
          </cell>
          <cell r="GR798" t="str">
            <v>mstag:expectedReturnOnPlanAssetsPensionsClassifiedAsFinancing</v>
          </cell>
          <cell r="GS798">
            <v>0</v>
          </cell>
          <cell r="GT798" t="str">
            <v>ISO4217:USD</v>
          </cell>
          <cell r="GU798" t="b">
            <v>0</v>
          </cell>
          <cell r="GV798" t="b">
            <v>0</v>
          </cell>
        </row>
        <row r="799">
          <cell r="E799" t="str">
            <v>Amortization of prior service cost (pensions)</v>
          </cell>
          <cell r="GR799" t="str">
            <v>mstag:amortizationOfPriorServiceCostPensionsClassifiedAsFinancing</v>
          </cell>
          <cell r="GS799">
            <v>0</v>
          </cell>
          <cell r="GT799" t="str">
            <v>ISO4217:USD</v>
          </cell>
          <cell r="GU799" t="b">
            <v>0</v>
          </cell>
          <cell r="GV799" t="b">
            <v>0</v>
          </cell>
        </row>
        <row r="800">
          <cell r="E800" t="str">
            <v>Net actuarial gain (loss) recognized (pensions)</v>
          </cell>
          <cell r="GR800" t="str">
            <v>mstag:netActuarialGainLossRecognizedPensionsClassifiedAsFinancing</v>
          </cell>
          <cell r="GS800">
            <v>0</v>
          </cell>
          <cell r="GT800" t="str">
            <v>ISO4217:USD</v>
          </cell>
          <cell r="GU800" t="b">
            <v>0</v>
          </cell>
          <cell r="GV800" t="b">
            <v>0</v>
          </cell>
        </row>
        <row r="801">
          <cell r="E801" t="str">
            <v>Nonrecurring pension items</v>
          </cell>
          <cell r="GR801" t="str">
            <v>mstag:nonRecurringPensionItemsClassifiedAsFinancing</v>
          </cell>
          <cell r="GS801">
            <v>0</v>
          </cell>
          <cell r="GT801" t="str">
            <v>ISO4217:USD</v>
          </cell>
          <cell r="GU801" t="b">
            <v>0</v>
          </cell>
          <cell r="GV801" t="b">
            <v>0</v>
          </cell>
        </row>
        <row r="802">
          <cell r="E802" t="str">
            <v>Other net pension expense</v>
          </cell>
          <cell r="GR802" t="str">
            <v>mstag:otherNetPensionExpenseClassifiedAsFinancing</v>
          </cell>
          <cell r="GS802">
            <v>0</v>
          </cell>
          <cell r="GT802" t="str">
            <v>ISO4217:USD</v>
          </cell>
          <cell r="GU802" t="b">
            <v>0</v>
          </cell>
          <cell r="GV802" t="b">
            <v>0</v>
          </cell>
        </row>
        <row r="803">
          <cell r="D803" t="str">
            <v>Net benefits paid to retirees (pensions)</v>
          </cell>
          <cell r="H803" t="str">
            <v/>
          </cell>
          <cell r="I803" t="str">
            <v/>
          </cell>
          <cell r="J803" t="str">
            <v/>
          </cell>
          <cell r="K803" t="str">
            <v/>
          </cell>
          <cell r="L803" t="str">
            <v/>
          </cell>
          <cell r="M803" t="str">
            <v/>
          </cell>
          <cell r="N803" t="str">
            <v/>
          </cell>
          <cell r="P803" t="str">
            <v/>
          </cell>
          <cell r="Q803" t="str">
            <v/>
          </cell>
          <cell r="GR803" t="str">
            <v>mstag:netBenefitsPaidToRetireesPensionsAsFinancing</v>
          </cell>
          <cell r="GS803">
            <v>6</v>
          </cell>
          <cell r="GT803" t="str">
            <v>ISO4217:USD</v>
          </cell>
          <cell r="GU803" t="b">
            <v>0</v>
          </cell>
          <cell r="GV803" t="b">
            <v>0</v>
          </cell>
        </row>
        <row r="804">
          <cell r="E804" t="str">
            <v>Benefits paid to retirees, in obligation (pensions)</v>
          </cell>
          <cell r="GR804" t="str">
            <v>mstag:benefitsPaidToRetireesPensionsClassifiedAsFinancing</v>
          </cell>
          <cell r="GS804">
            <v>0</v>
          </cell>
          <cell r="GT804" t="str">
            <v>ISO4217:USD</v>
          </cell>
          <cell r="GU804" t="b">
            <v>0</v>
          </cell>
          <cell r="GV804" t="b">
            <v>0</v>
          </cell>
        </row>
        <row r="805">
          <cell r="E805" t="str">
            <v>Benefits paid to retirees, in assets (pensions)</v>
          </cell>
          <cell r="GR805" t="str">
            <v>mstag:benefitsPaidToRetireesInAssetsPensionsAsFinancing</v>
          </cell>
          <cell r="GS805">
            <v>6</v>
          </cell>
          <cell r="GT805" t="str">
            <v>ISO4217:USD</v>
          </cell>
          <cell r="GU805" t="b">
            <v>0</v>
          </cell>
          <cell r="GV805" t="b">
            <v>0</v>
          </cell>
        </row>
        <row r="806">
          <cell r="D806" t="str">
            <v>Actual return on plan assets (pensions)</v>
          </cell>
          <cell r="GR806" t="str">
            <v>mstag:actualReturnOnPlanAssetsPensionsClassifiedAsFinancing</v>
          </cell>
          <cell r="GS806">
            <v>0</v>
          </cell>
          <cell r="GT806" t="str">
            <v>ISO4217:USD</v>
          </cell>
          <cell r="GU806" t="b">
            <v>0</v>
          </cell>
          <cell r="GV806" t="b">
            <v>0</v>
          </cell>
        </row>
        <row r="807">
          <cell r="D807" t="str">
            <v>Contribution to plan assets (pensions)</v>
          </cell>
          <cell r="GR807" t="str">
            <v>mstag:contributionToPlanAssetsPensionsClassifiedAsFinancing</v>
          </cell>
          <cell r="GS807">
            <v>0</v>
          </cell>
          <cell r="GT807" t="str">
            <v>ISO4217:USD</v>
          </cell>
          <cell r="GU807" t="b">
            <v>0</v>
          </cell>
          <cell r="GV807" t="b">
            <v>0</v>
          </cell>
        </row>
        <row r="808">
          <cell r="D808" t="str">
            <v>Projected benefit obligation (pensions)</v>
          </cell>
          <cell r="GR808" t="str">
            <v>mstag:projectedBenefitObligationPensionsClassifiedAsFinancing</v>
          </cell>
          <cell r="GS808">
            <v>0</v>
          </cell>
          <cell r="GT808" t="str">
            <v>ISO4217:USD</v>
          </cell>
          <cell r="GU808" t="b">
            <v>0</v>
          </cell>
          <cell r="GV808" t="b">
            <v>0</v>
          </cell>
        </row>
        <row r="809">
          <cell r="D809" t="str">
            <v>Plan assets at fair value (pensions)</v>
          </cell>
          <cell r="GR809" t="str">
            <v>mstag:planAssetsAtFairValuePensionsClassifiedAsFinancing</v>
          </cell>
          <cell r="GS809">
            <v>0</v>
          </cell>
          <cell r="GT809" t="str">
            <v>ISO4217:USD</v>
          </cell>
          <cell r="GU809" t="b">
            <v>0</v>
          </cell>
          <cell r="GV809" t="b">
            <v>0</v>
          </cell>
        </row>
        <row r="810">
          <cell r="D810" t="str">
            <v>Net pension prepaid asset (accrued liability)</v>
          </cell>
          <cell r="GR810" t="str">
            <v>mstag:netPensionPrepaidAssetAccruedLiabilityClassifiedAsFinancing</v>
          </cell>
          <cell r="GS810">
            <v>0</v>
          </cell>
          <cell r="GT810" t="str">
            <v>ISO4217:USD</v>
          </cell>
          <cell r="GU810" t="b">
            <v>0</v>
          </cell>
          <cell r="GV810" t="b">
            <v>0</v>
          </cell>
        </row>
        <row r="811">
          <cell r="D811" t="str">
            <v>Intangible asset (pensions)</v>
          </cell>
          <cell r="GR811" t="str">
            <v>mstag:intangibleAssetPensionsClassifiedAsFinancing</v>
          </cell>
          <cell r="GS811">
            <v>0</v>
          </cell>
          <cell r="GT811" t="str">
            <v>ISO4217:USD</v>
          </cell>
          <cell r="GU811" t="b">
            <v>0</v>
          </cell>
          <cell r="GV811" t="b">
            <v>0</v>
          </cell>
        </row>
        <row r="812">
          <cell r="D812" t="str">
            <v>Accumulated other comprehensive income (pensions)</v>
          </cell>
          <cell r="GR812" t="str">
            <v>mstag:accumulatedOtherComprehensiveIncomePensionsClassifiedAsFinancing</v>
          </cell>
          <cell r="GS812">
            <v>0</v>
          </cell>
          <cell r="GT812" t="str">
            <v>ISO4217:USD</v>
          </cell>
          <cell r="GU812" t="b">
            <v>0</v>
          </cell>
          <cell r="GV812" t="b">
            <v>0</v>
          </cell>
        </row>
        <row r="813">
          <cell r="D813" t="str">
            <v>Weighted average discount rate (pensions)</v>
          </cell>
          <cell r="GR813" t="str">
            <v>mstag:weightedAverageDiscountRatePensionsClassifiedAsFinancing</v>
          </cell>
          <cell r="GS813">
            <v>0</v>
          </cell>
          <cell r="GT813" t="str">
            <v>ms_eqr_gcim_Decimal:ms_eqr_gcim_decimal</v>
          </cell>
          <cell r="GU813" t="b">
            <v>0</v>
          </cell>
          <cell r="GV813" t="b">
            <v>0</v>
          </cell>
        </row>
        <row r="814">
          <cell r="D814" t="str">
            <v>Expected long-term rate of return on plan assets (pensions)</v>
          </cell>
          <cell r="GR814" t="str">
            <v>mstag:expectedLongTermRateOfReturnOnPlanAssetsPensionsClassifiedAsFinancing</v>
          </cell>
          <cell r="GS814">
            <v>0</v>
          </cell>
          <cell r="GT814" t="str">
            <v>ms_eqr_gcim_Decimal:ms_eqr_gcim_decimal</v>
          </cell>
          <cell r="GU814" t="b">
            <v>0</v>
          </cell>
          <cell r="GV814" t="b">
            <v>0</v>
          </cell>
        </row>
        <row r="815">
          <cell r="D815" t="str">
            <v>Rate of increase in future compensation levels</v>
          </cell>
          <cell r="GR815" t="str">
            <v>mstag:rateOfIncreaseInFutureCompensationLevelsClassifiedAsFinancing</v>
          </cell>
          <cell r="GS815">
            <v>0</v>
          </cell>
          <cell r="GT815" t="str">
            <v>ms_eqr_gcim_Decimal:ms_eqr_gcim_decimal</v>
          </cell>
          <cell r="GU815" t="b">
            <v>0</v>
          </cell>
          <cell r="GV815" t="b">
            <v>0</v>
          </cell>
        </row>
        <row r="816">
          <cell r="C816" t="str">
            <v>Pensions (companies reporting under SSAP 24)</v>
          </cell>
          <cell r="GS816">
            <v>0</v>
          </cell>
          <cell r="GT816" t="str">
            <v>ms_eqr_gcim_String:ms_eqr_gcim_string</v>
          </cell>
          <cell r="GU816" t="b">
            <v>0</v>
          </cell>
          <cell r="GV816" t="b">
            <v>0</v>
          </cell>
        </row>
        <row r="817">
          <cell r="D817" t="str">
            <v>Net periodic pension expense (pensions)</v>
          </cell>
          <cell r="GR817" t="str">
            <v>mstag:netPeriodicPensionExpensePensionsUnderSSAP24</v>
          </cell>
          <cell r="GS817">
            <v>0</v>
          </cell>
          <cell r="GT817" t="str">
            <v>ISO4217:USD</v>
          </cell>
          <cell r="GU817" t="b">
            <v>0</v>
          </cell>
          <cell r="GV817" t="b">
            <v>0</v>
          </cell>
        </row>
        <row r="818">
          <cell r="D818" t="str">
            <v>Service cost (pensions)</v>
          </cell>
          <cell r="GR818" t="str">
            <v>mstag:serviceCostPensionsUnderSSAP24</v>
          </cell>
          <cell r="GS818">
            <v>0</v>
          </cell>
          <cell r="GT818" t="str">
            <v>ISO4217:USD</v>
          </cell>
          <cell r="GU818" t="b">
            <v>0</v>
          </cell>
          <cell r="GV818" t="b">
            <v>0</v>
          </cell>
        </row>
        <row r="819">
          <cell r="D819" t="str">
            <v>Prior service cost (pensions)</v>
          </cell>
          <cell r="GR819" t="str">
            <v>mstag:priorServiceCostPensionsUnderSSAP24</v>
          </cell>
          <cell r="GS819">
            <v>0</v>
          </cell>
          <cell r="GT819" t="str">
            <v>ISO4217:USD</v>
          </cell>
          <cell r="GU819" t="b">
            <v>0</v>
          </cell>
          <cell r="GV819" t="b">
            <v>0</v>
          </cell>
        </row>
        <row r="820">
          <cell r="D820" t="str">
            <v>Interest cost (pensions)</v>
          </cell>
          <cell r="GR820" t="str">
            <v>mstag:interestCostPensionsUnderSSAP24</v>
          </cell>
          <cell r="GS820">
            <v>0</v>
          </cell>
          <cell r="GT820" t="str">
            <v>ISO4217:USD</v>
          </cell>
          <cell r="GU820" t="b">
            <v>0</v>
          </cell>
          <cell r="GV820" t="b">
            <v>0</v>
          </cell>
        </row>
        <row r="821">
          <cell r="D821" t="str">
            <v>Expected return on plan assets (pensions)</v>
          </cell>
          <cell r="GR821" t="str">
            <v>mstag:expectedReturnOnPlanAssetsPensionsUnderSSAP24</v>
          </cell>
          <cell r="GS821">
            <v>0</v>
          </cell>
          <cell r="GT821" t="str">
            <v>ISO4217:USD</v>
          </cell>
          <cell r="GU821" t="b">
            <v>0</v>
          </cell>
          <cell r="GV821" t="b">
            <v>0</v>
          </cell>
        </row>
        <row r="822">
          <cell r="C822" t="str">
            <v>Other postemployment benefits</v>
          </cell>
          <cell r="GS822">
            <v>0</v>
          </cell>
          <cell r="GT822" t="str">
            <v>ms_eqr_gcim_String:ms_eqr_gcim_string</v>
          </cell>
          <cell r="GU822" t="b">
            <v>0</v>
          </cell>
          <cell r="GV822" t="b">
            <v>0</v>
          </cell>
        </row>
        <row r="823">
          <cell r="D823" t="str">
            <v>Net periodic expense (OPEB)</v>
          </cell>
          <cell r="H823" t="str">
            <v/>
          </cell>
          <cell r="I823" t="str">
            <v/>
          </cell>
          <cell r="J823" t="str">
            <v/>
          </cell>
          <cell r="K823" t="str">
            <v/>
          </cell>
          <cell r="L823" t="str">
            <v/>
          </cell>
          <cell r="M823" t="str">
            <v/>
          </cell>
          <cell r="N823" t="str">
            <v/>
          </cell>
          <cell r="P823" t="str">
            <v/>
          </cell>
          <cell r="Q823" t="str">
            <v/>
          </cell>
          <cell r="GR823" t="str">
            <v>mstag:netPeriodicExpenseOpeb</v>
          </cell>
          <cell r="GS823">
            <v>6</v>
          </cell>
          <cell r="GT823" t="str">
            <v>ISO4217:USD</v>
          </cell>
          <cell r="GU823" t="b">
            <v>0</v>
          </cell>
          <cell r="GV823" t="b">
            <v>0</v>
          </cell>
        </row>
        <row r="824">
          <cell r="E824" t="str">
            <v>Service cost (OPEB)</v>
          </cell>
          <cell r="GR824" t="str">
            <v>mstag:serviceCostOpeb</v>
          </cell>
          <cell r="GS824">
            <v>6</v>
          </cell>
          <cell r="GT824" t="str">
            <v>ISO4217:USD</v>
          </cell>
          <cell r="GU824" t="b">
            <v>0</v>
          </cell>
          <cell r="GV824" t="b">
            <v>0</v>
          </cell>
        </row>
        <row r="825">
          <cell r="E825" t="str">
            <v>Interest cost (OPEB)</v>
          </cell>
          <cell r="GR825" t="str">
            <v>mstag:interestCostOpeb</v>
          </cell>
          <cell r="GS825">
            <v>6</v>
          </cell>
          <cell r="GT825" t="str">
            <v>ISO4217:USD</v>
          </cell>
          <cell r="GU825" t="b">
            <v>0</v>
          </cell>
          <cell r="GV825" t="b">
            <v>0</v>
          </cell>
        </row>
        <row r="826">
          <cell r="E826" t="str">
            <v>Expected return on plan assets (OPEB)</v>
          </cell>
          <cell r="GR826" t="str">
            <v>mstag:expectedReturnOnPlanAssetsOpeb</v>
          </cell>
          <cell r="GS826">
            <v>6</v>
          </cell>
          <cell r="GT826" t="str">
            <v>ISO4217:USD</v>
          </cell>
          <cell r="GU826" t="b">
            <v>0</v>
          </cell>
          <cell r="GV826" t="b">
            <v>0</v>
          </cell>
        </row>
        <row r="827">
          <cell r="E827" t="str">
            <v>Amortization of prior service cost (OPEB)</v>
          </cell>
          <cell r="GR827" t="str">
            <v>mstag:amortizationOfPriorServiceCostOpeb</v>
          </cell>
          <cell r="GS827">
            <v>6</v>
          </cell>
          <cell r="GT827" t="str">
            <v>ISO4217:USD</v>
          </cell>
          <cell r="GU827" t="b">
            <v>0</v>
          </cell>
          <cell r="GV827" t="b">
            <v>0</v>
          </cell>
        </row>
        <row r="828">
          <cell r="E828" t="str">
            <v>Net actuarial gain (loss) recognized (OPEB)</v>
          </cell>
          <cell r="GR828" t="str">
            <v>mstag:netActuarialGainLossRecognizedOpeb</v>
          </cell>
          <cell r="GS828">
            <v>6</v>
          </cell>
          <cell r="GT828" t="str">
            <v>ISO4217:USD</v>
          </cell>
          <cell r="GU828" t="b">
            <v>0</v>
          </cell>
          <cell r="GV828" t="b">
            <v>0</v>
          </cell>
        </row>
        <row r="829">
          <cell r="E829" t="str">
            <v>Nonrecurring OPEB items</v>
          </cell>
          <cell r="GR829" t="str">
            <v>mstag:nonRecurringOpebItems</v>
          </cell>
          <cell r="GS829">
            <v>6</v>
          </cell>
          <cell r="GT829" t="str">
            <v>ISO4217:USD</v>
          </cell>
          <cell r="GU829" t="b">
            <v>0</v>
          </cell>
          <cell r="GV829" t="b">
            <v>0</v>
          </cell>
        </row>
        <row r="830">
          <cell r="E830" t="str">
            <v>Other net expense (OPEB)</v>
          </cell>
          <cell r="GR830" t="str">
            <v>mstag:otherNetExpenseOpeb</v>
          </cell>
          <cell r="GS830">
            <v>6</v>
          </cell>
          <cell r="GT830" t="str">
            <v>ISO4217:USD</v>
          </cell>
          <cell r="GU830" t="b">
            <v>0</v>
          </cell>
          <cell r="GV830" t="b">
            <v>0</v>
          </cell>
        </row>
        <row r="831">
          <cell r="D831" t="str">
            <v>Net benefits paid to retirees (OPEB)</v>
          </cell>
          <cell r="H831" t="str">
            <v/>
          </cell>
          <cell r="I831" t="str">
            <v/>
          </cell>
          <cell r="J831" t="str">
            <v/>
          </cell>
          <cell r="K831" t="str">
            <v/>
          </cell>
          <cell r="L831" t="str">
            <v/>
          </cell>
          <cell r="M831" t="str">
            <v/>
          </cell>
          <cell r="N831" t="str">
            <v/>
          </cell>
          <cell r="P831" t="str">
            <v/>
          </cell>
          <cell r="Q831" t="str">
            <v/>
          </cell>
          <cell r="GR831" t="str">
            <v>mstag:netBenefitsPaidToRetireesOpeb</v>
          </cell>
          <cell r="GS831">
            <v>6</v>
          </cell>
          <cell r="GT831" t="str">
            <v>ISO4217:USD</v>
          </cell>
          <cell r="GU831" t="b">
            <v>0</v>
          </cell>
          <cell r="GV831" t="b">
            <v>0</v>
          </cell>
        </row>
        <row r="832">
          <cell r="E832" t="str">
            <v>Benefits paid to retirees, in obligation (OPEB)</v>
          </cell>
          <cell r="GR832" t="str">
            <v>mstag:benefitsPaidToRetireesOpeb</v>
          </cell>
          <cell r="GS832">
            <v>6</v>
          </cell>
          <cell r="GT832" t="str">
            <v>ISO4217:USD</v>
          </cell>
          <cell r="GU832" t="b">
            <v>0</v>
          </cell>
          <cell r="GV832" t="b">
            <v>0</v>
          </cell>
        </row>
        <row r="833">
          <cell r="E833" t="str">
            <v>Benefits paid to retirees, in assets (OPEB)</v>
          </cell>
          <cell r="GR833" t="str">
            <v>mstag:benefitsPaidToRetireesInAssetsOpeb</v>
          </cell>
          <cell r="GS833">
            <v>6</v>
          </cell>
          <cell r="GT833" t="str">
            <v>ISO4217:USD</v>
          </cell>
          <cell r="GU833" t="b">
            <v>0</v>
          </cell>
          <cell r="GV833" t="b">
            <v>0</v>
          </cell>
        </row>
        <row r="834">
          <cell r="D834" t="str">
            <v>Actual return on plan assets (OPEB)</v>
          </cell>
          <cell r="GR834" t="str">
            <v>mstag:actualReturnOnPlanAssetsOpeb</v>
          </cell>
          <cell r="GS834">
            <v>6</v>
          </cell>
          <cell r="GT834" t="str">
            <v>ISO4217:USD</v>
          </cell>
          <cell r="GU834" t="b">
            <v>0</v>
          </cell>
          <cell r="GV834" t="b">
            <v>0</v>
          </cell>
        </row>
        <row r="835">
          <cell r="D835" t="str">
            <v>Contribution to plan assets (OPEB)</v>
          </cell>
          <cell r="GR835" t="str">
            <v>mstag:contributionToPlanAssetsOpeb</v>
          </cell>
          <cell r="GS835">
            <v>6</v>
          </cell>
          <cell r="GT835" t="str">
            <v>ISO4217:USD</v>
          </cell>
          <cell r="GU835" t="b">
            <v>0</v>
          </cell>
          <cell r="GV835" t="b">
            <v>0</v>
          </cell>
        </row>
        <row r="836">
          <cell r="D836" t="str">
            <v>Projected benefit obligation (OPEB)</v>
          </cell>
          <cell r="GR836" t="str">
            <v>mstag:projectedBenefitObligationOpeb</v>
          </cell>
          <cell r="GS836">
            <v>6</v>
          </cell>
          <cell r="GT836" t="str">
            <v>ISO4217:USD</v>
          </cell>
          <cell r="GU836" t="b">
            <v>0</v>
          </cell>
          <cell r="GV836" t="b">
            <v>0</v>
          </cell>
        </row>
        <row r="837">
          <cell r="D837" t="str">
            <v>Plan assets at fair value (OPEB)</v>
          </cell>
          <cell r="GR837" t="str">
            <v>mstag:planAssetsAtFairValueOpeb</v>
          </cell>
          <cell r="GS837">
            <v>6</v>
          </cell>
          <cell r="GT837" t="str">
            <v>ISO4217:USD</v>
          </cell>
          <cell r="GU837" t="b">
            <v>0</v>
          </cell>
          <cell r="GV837" t="b">
            <v>0</v>
          </cell>
        </row>
        <row r="838">
          <cell r="D838" t="str">
            <v>Net OPEB assets (liabilities) recognized in the balance sheet</v>
          </cell>
          <cell r="GR838" t="str">
            <v>mstag:netOpebAssetsLiabilitiesRecognizedInTheBalanceSheet</v>
          </cell>
          <cell r="GS838">
            <v>6</v>
          </cell>
          <cell r="GT838" t="str">
            <v>ISO4217:USD</v>
          </cell>
          <cell r="GU838" t="b">
            <v>0</v>
          </cell>
          <cell r="GV838" t="b">
            <v>0</v>
          </cell>
        </row>
        <row r="839">
          <cell r="D839" t="str">
            <v>Weighted average discount rate (OPEB)</v>
          </cell>
          <cell r="GR839" t="str">
            <v>mstag:weightedAverageDiscountRateOpeb</v>
          </cell>
          <cell r="GS839">
            <v>0</v>
          </cell>
          <cell r="GT839" t="str">
            <v>ms_eqr_gcim_Decimal:ms_eqr_gcim_decimal</v>
          </cell>
          <cell r="GU839" t="b">
            <v>0</v>
          </cell>
          <cell r="GV839" t="b">
            <v>0</v>
          </cell>
        </row>
        <row r="840">
          <cell r="D840" t="str">
            <v>Expected long term rate of return on plan assets (OPEB)</v>
          </cell>
          <cell r="GR840" t="str">
            <v>mstag:expectedLongTermRateOfReturnOnPlanAssetsOpeb</v>
          </cell>
          <cell r="GS840">
            <v>0</v>
          </cell>
          <cell r="GT840" t="str">
            <v>ms_eqr_gcim_Decimal:ms_eqr_gcim_decimal</v>
          </cell>
          <cell r="GU840" t="b">
            <v>0</v>
          </cell>
          <cell r="GV840" t="b">
            <v>0</v>
          </cell>
        </row>
        <row r="841">
          <cell r="D841" t="str">
            <v>Expected rate of healthcare cost increase, short term</v>
          </cell>
          <cell r="GR841" t="str">
            <v>mstag:expectedRateOfHealthCareCostIncreaseShortTerm</v>
          </cell>
          <cell r="GS841">
            <v>0</v>
          </cell>
          <cell r="GT841" t="str">
            <v>ms_eqr_gcim_Decimal:ms_eqr_gcim_decimal</v>
          </cell>
          <cell r="GU841" t="b">
            <v>0</v>
          </cell>
          <cell r="GV841" t="b">
            <v>0</v>
          </cell>
        </row>
        <row r="842">
          <cell r="D842" t="str">
            <v>Expected rate of healthcare cost increase, long term</v>
          </cell>
          <cell r="GR842" t="str">
            <v>mstag:expectedRateOfHealthCareCostIncreaseLongTerm</v>
          </cell>
          <cell r="GS842">
            <v>0</v>
          </cell>
          <cell r="GT842" t="str">
            <v>ms_eqr_gcim_Decimal:ms_eqr_gcim_decimal</v>
          </cell>
          <cell r="GU842" t="b">
            <v>0</v>
          </cell>
          <cell r="GV842" t="b">
            <v>0</v>
          </cell>
        </row>
        <row r="843">
          <cell r="B843" t="str">
            <v>Leases</v>
          </cell>
          <cell r="GS843">
            <v>0</v>
          </cell>
          <cell r="GT843" t="str">
            <v>ms_eqr_gcim_String:ms_eqr_gcim_string</v>
          </cell>
          <cell r="GU843" t="b">
            <v>0</v>
          </cell>
          <cell r="GV843" t="b">
            <v>0</v>
          </cell>
        </row>
        <row r="844">
          <cell r="C844" t="str">
            <v>Interest expense on capitalized operating leases (lessee)</v>
          </cell>
          <cell r="GR844" t="str">
            <v>mstag:interestExpenseOnCapitalizedOperatingLeasesLessee</v>
          </cell>
          <cell r="GS844">
            <v>6</v>
          </cell>
          <cell r="GT844" t="str">
            <v>ISO4217:USD</v>
          </cell>
          <cell r="GU844" t="b">
            <v>0</v>
          </cell>
          <cell r="GV844" t="b">
            <v>0</v>
          </cell>
        </row>
        <row r="845">
          <cell r="C845" t="str">
            <v>Implied depreciation on capitalized operating leases (lessee)</v>
          </cell>
          <cell r="GR845" t="str">
            <v>mstag:impliedDepreciationOnCapitalizedOperatingLeasesLessee</v>
          </cell>
          <cell r="GS845">
            <v>6</v>
          </cell>
          <cell r="GT845" t="str">
            <v>ISO4217:USD</v>
          </cell>
          <cell r="GU845" t="b">
            <v>0</v>
          </cell>
          <cell r="GV845" t="b">
            <v>0</v>
          </cell>
        </row>
        <row r="846">
          <cell r="C846" t="str">
            <v>Rental payment on capitalized operating leases (lessee)</v>
          </cell>
          <cell r="GR846" t="str">
            <v>mstag:rentalPaymentOnCapitalizedOperatingLeasesLessee</v>
          </cell>
          <cell r="GS846">
            <v>6</v>
          </cell>
          <cell r="GT846" t="str">
            <v>ISO4217:USD</v>
          </cell>
          <cell r="GU846" t="b">
            <v>0</v>
          </cell>
          <cell r="GV846" t="b">
            <v>0</v>
          </cell>
        </row>
        <row r="847">
          <cell r="C847" t="str">
            <v>Implied capitalized operating lease assets (lessee)</v>
          </cell>
          <cell r="GR847" t="str">
            <v>mstag:impliedCapitalizedOperatingLeaseAssetsLessee</v>
          </cell>
          <cell r="GS847">
            <v>6</v>
          </cell>
          <cell r="GT847" t="str">
            <v>ISO4217:USD</v>
          </cell>
          <cell r="GU847" t="b">
            <v>0</v>
          </cell>
          <cell r="GV847" t="b">
            <v>0</v>
          </cell>
        </row>
        <row r="848">
          <cell r="C848" t="str">
            <v>Implied capitalized operating lease obligations (lessee)</v>
          </cell>
          <cell r="GR848" t="str">
            <v>mstag:impliedCapitalizedOperatingLeaseObligationsLessee</v>
          </cell>
          <cell r="GS848">
            <v>6</v>
          </cell>
          <cell r="GT848" t="str">
            <v>ISO4217:USD</v>
          </cell>
          <cell r="GU848" t="b">
            <v>0</v>
          </cell>
          <cell r="GV848" t="b">
            <v>0</v>
          </cell>
        </row>
        <row r="849">
          <cell r="C849" t="str">
            <v>Capital expenditures financed through operating leases</v>
          </cell>
          <cell r="GR849" t="str">
            <v>mstag:capitalExpendituresFinancedThroughOperatingLeases</v>
          </cell>
          <cell r="GS849">
            <v>6</v>
          </cell>
          <cell r="GT849" t="str">
            <v>ISO4217:USD</v>
          </cell>
          <cell r="GU849" t="b">
            <v>0</v>
          </cell>
          <cell r="GV849" t="b">
            <v>0</v>
          </cell>
        </row>
        <row r="850">
          <cell r="D850" t="str">
            <v>Capital expenditures financed through operating leases (sustaining)</v>
          </cell>
          <cell r="GR850" t="str">
            <v>mstag:capitalExpendituresFinancedThroughOperatingLeasesSustaining</v>
          </cell>
          <cell r="GS850">
            <v>6</v>
          </cell>
          <cell r="GT850" t="str">
            <v>ISO4217:USD</v>
          </cell>
          <cell r="GU850" t="b">
            <v>0</v>
          </cell>
          <cell r="GV850" t="b">
            <v>0</v>
          </cell>
        </row>
        <row r="851">
          <cell r="D851" t="str">
            <v>Capital expenditures financed through operating leases (growth)</v>
          </cell>
          <cell r="GR851" t="str">
            <v>mstag:capitalExpendituresFinancedThroughOperatingLeasesGrowth</v>
          </cell>
          <cell r="GS851">
            <v>6</v>
          </cell>
          <cell r="GT851" t="str">
            <v>ISO4217:USD</v>
          </cell>
          <cell r="GU851" t="b">
            <v>0</v>
          </cell>
          <cell r="GV851" t="b">
            <v>0</v>
          </cell>
        </row>
        <row r="852">
          <cell r="C852" t="str">
            <v>Assumed average lease life of operating leases</v>
          </cell>
          <cell r="GR852" t="str">
            <v>mstag:assumedAverageLeaseLifeOfOperatingLeases</v>
          </cell>
          <cell r="GS852">
            <v>0</v>
          </cell>
          <cell r="GT852" t="str">
            <v>ms_eqr_gcim_Decimal:ms_eqr_gcim_decimal</v>
          </cell>
          <cell r="GU852" t="b">
            <v>0</v>
          </cell>
          <cell r="GV852" t="b">
            <v>0</v>
          </cell>
        </row>
        <row r="853">
          <cell r="C853" t="str">
            <v>Interest rate used to capitalized operating leases</v>
          </cell>
          <cell r="GR853" t="str">
            <v>mstag:interestRateUsedToCapitalizedOperatingLeases</v>
          </cell>
          <cell r="GS853">
            <v>0</v>
          </cell>
          <cell r="GT853" t="str">
            <v>ms_eqr_gcim_Decimal:ms_eqr_gcim_decimal</v>
          </cell>
          <cell r="GU853" t="b">
            <v>0</v>
          </cell>
          <cell r="GV853" t="b">
            <v>0</v>
          </cell>
        </row>
        <row r="854">
          <cell r="C854" t="str">
            <v>Year 1 minimum rental payment</v>
          </cell>
          <cell r="GR854" t="str">
            <v>mstag:year1MinimumRentalPayment</v>
          </cell>
          <cell r="GS854">
            <v>6</v>
          </cell>
          <cell r="GT854" t="str">
            <v>ms_eqr_gcim_Decimal:ms_eqr_gcim_decimal</v>
          </cell>
          <cell r="GU854" t="b">
            <v>0</v>
          </cell>
          <cell r="GV854" t="b">
            <v>0</v>
          </cell>
        </row>
        <row r="855">
          <cell r="C855" t="str">
            <v>Year 2 minimum rental payment</v>
          </cell>
          <cell r="GR855" t="str">
            <v>mstag:year2MinimumRentalPayment</v>
          </cell>
          <cell r="GS855">
            <v>6</v>
          </cell>
          <cell r="GT855" t="str">
            <v>ms_eqr_gcim_Decimal:ms_eqr_gcim_decimal</v>
          </cell>
          <cell r="GU855" t="b">
            <v>0</v>
          </cell>
          <cell r="GV855" t="b">
            <v>0</v>
          </cell>
        </row>
        <row r="856">
          <cell r="C856" t="str">
            <v>Year 3 minimum rental payment</v>
          </cell>
          <cell r="GR856" t="str">
            <v>mstag:year3MinimumRentalPayment</v>
          </cell>
          <cell r="GS856">
            <v>6</v>
          </cell>
          <cell r="GT856" t="str">
            <v>ms_eqr_gcim_Decimal:ms_eqr_gcim_decimal</v>
          </cell>
          <cell r="GU856" t="b">
            <v>0</v>
          </cell>
          <cell r="GV856" t="b">
            <v>0</v>
          </cell>
        </row>
        <row r="857">
          <cell r="C857" t="str">
            <v>Year 4 minimum rental payment</v>
          </cell>
          <cell r="GR857" t="str">
            <v>mstag:year4MinimumRentalPayment</v>
          </cell>
          <cell r="GS857">
            <v>6</v>
          </cell>
          <cell r="GT857" t="str">
            <v>ms_eqr_gcim_Decimal:ms_eqr_gcim_decimal</v>
          </cell>
          <cell r="GU857" t="b">
            <v>0</v>
          </cell>
          <cell r="GV857" t="b">
            <v>0</v>
          </cell>
        </row>
        <row r="858">
          <cell r="C858" t="str">
            <v>Year 5 minimum rental payment</v>
          </cell>
          <cell r="GR858" t="str">
            <v>mstag:year5MinimumRentalPayment</v>
          </cell>
          <cell r="GS858">
            <v>6</v>
          </cell>
          <cell r="GT858" t="str">
            <v>ms_eqr_gcim_Decimal:ms_eqr_gcim_decimal</v>
          </cell>
          <cell r="GU858" t="b">
            <v>0</v>
          </cell>
          <cell r="GV858" t="b">
            <v>0</v>
          </cell>
        </row>
        <row r="859">
          <cell r="C859" t="str">
            <v>Reported cumulative payments beyond year 5</v>
          </cell>
          <cell r="GR859" t="str">
            <v>mstag:reportedCumulativePaymentsBeyondYear5</v>
          </cell>
          <cell r="GS859">
            <v>6</v>
          </cell>
          <cell r="GT859" t="str">
            <v>ms_eqr_gcim_Decimal:ms_eqr_gcim_decimal</v>
          </cell>
          <cell r="GU859" t="b">
            <v>0</v>
          </cell>
          <cell r="GV859" t="b">
            <v>0</v>
          </cell>
        </row>
        <row r="860">
          <cell r="C860" t="str">
            <v>Current year minimum rental payment</v>
          </cell>
          <cell r="GR860" t="str">
            <v>mstag:currentYearMinimumRentalPayment</v>
          </cell>
          <cell r="GS860">
            <v>6</v>
          </cell>
          <cell r="GT860" t="str">
            <v>ms_eqr_gcim_Decimal:ms_eqr_gcim_decimal</v>
          </cell>
          <cell r="GU860" t="b">
            <v>0</v>
          </cell>
          <cell r="GV860" t="b">
            <v>0</v>
          </cell>
        </row>
        <row r="862">
          <cell r="N862" t="str">
            <v>Values in the System :</v>
          </cell>
          <cell r="Q862" t="str">
            <v>Values in the System :</v>
          </cell>
        </row>
        <row r="863">
          <cell r="N863">
            <v>97</v>
          </cell>
          <cell r="Q863">
            <v>97</v>
          </cell>
        </row>
        <row r="865">
          <cell r="C865" t="str">
            <v>Future minimum rents due to the Company under non-cancelable operating leases</v>
          </cell>
        </row>
        <row r="866">
          <cell r="C866" t="str">
            <v>Year 1 minimum rental payment</v>
          </cell>
          <cell r="H866">
            <v>236.19</v>
          </cell>
          <cell r="I866">
            <v>284.74599999999998</v>
          </cell>
          <cell r="J866">
            <v>553.81200000000001</v>
          </cell>
          <cell r="K866">
            <v>538.36599999999999</v>
          </cell>
          <cell r="L866">
            <v>530.63499999999999</v>
          </cell>
          <cell r="M866">
            <v>530.96100000000001</v>
          </cell>
        </row>
        <row r="867">
          <cell r="C867" t="str">
            <v>Year 2 minimum rental payment</v>
          </cell>
          <cell r="H867">
            <v>219.55500000000001</v>
          </cell>
          <cell r="I867">
            <v>254.78299999999999</v>
          </cell>
          <cell r="J867">
            <v>520.93899999999996</v>
          </cell>
          <cell r="K867">
            <v>490.19400000000002</v>
          </cell>
          <cell r="L867">
            <v>492.69299999999998</v>
          </cell>
          <cell r="M867">
            <v>495.22899999999998</v>
          </cell>
        </row>
        <row r="868">
          <cell r="C868" t="str">
            <v>Year 3 minimum rental payment</v>
          </cell>
          <cell r="H868">
            <v>190.99700000000001</v>
          </cell>
          <cell r="I868">
            <v>217.107</v>
          </cell>
          <cell r="J868">
            <v>457.339</v>
          </cell>
          <cell r="K868">
            <v>434.86799999999999</v>
          </cell>
          <cell r="L868">
            <v>432.61099999999999</v>
          </cell>
          <cell r="M868">
            <v>420.78399999999999</v>
          </cell>
        </row>
        <row r="869">
          <cell r="C869" t="str">
            <v>Year 4 minimum rental payment</v>
          </cell>
          <cell r="H869">
            <v>162.26599999999999</v>
          </cell>
          <cell r="I869">
            <v>176.846</v>
          </cell>
          <cell r="J869">
            <v>388.863</v>
          </cell>
          <cell r="K869">
            <v>363.20499999999998</v>
          </cell>
          <cell r="L869">
            <v>353.81099999999998</v>
          </cell>
          <cell r="M869">
            <v>346.38499999999999</v>
          </cell>
        </row>
        <row r="870">
          <cell r="C870" t="str">
            <v>Year 5 minimum rental payment</v>
          </cell>
          <cell r="H870">
            <v>131.67599999999999</v>
          </cell>
          <cell r="I870">
            <v>139.67400000000001</v>
          </cell>
          <cell r="J870">
            <v>317.017</v>
          </cell>
          <cell r="K870">
            <v>286.733</v>
          </cell>
          <cell r="L870">
            <v>279.036</v>
          </cell>
          <cell r="M870">
            <v>281.38600000000002</v>
          </cell>
        </row>
        <row r="871">
          <cell r="C871" t="str">
            <v>Reported cumulative payments beyond year 5</v>
          </cell>
          <cell r="H871">
            <v>582.76900000000001</v>
          </cell>
          <cell r="I871">
            <v>530.17499999999995</v>
          </cell>
          <cell r="J871">
            <v>1136.019</v>
          </cell>
          <cell r="K871">
            <v>921.45500000000004</v>
          </cell>
          <cell r="L871">
            <v>888.75699999999995</v>
          </cell>
          <cell r="M871">
            <v>940.10299999999995</v>
          </cell>
        </row>
      </sheetData>
      <sheetData sheetId="6" refreshError="1"/>
      <sheetData sheetId="7" refreshError="1">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L1">
            <v>38</v>
          </cell>
          <cell r="AM1">
            <v>39</v>
          </cell>
          <cell r="AN1">
            <v>40</v>
          </cell>
          <cell r="AO1">
            <v>41</v>
          </cell>
          <cell r="AP1">
            <v>42</v>
          </cell>
          <cell r="AQ1">
            <v>43</v>
          </cell>
          <cell r="AR1">
            <v>44</v>
          </cell>
          <cell r="AS1">
            <v>45</v>
          </cell>
          <cell r="AT1">
            <v>46</v>
          </cell>
          <cell r="AU1">
            <v>47</v>
          </cell>
          <cell r="AV1">
            <v>48</v>
          </cell>
          <cell r="AW1">
            <v>49</v>
          </cell>
          <cell r="AX1">
            <v>50</v>
          </cell>
          <cell r="AY1">
            <v>51</v>
          </cell>
          <cell r="AZ1">
            <v>52</v>
          </cell>
          <cell r="BA1">
            <v>53</v>
          </cell>
          <cell r="BB1">
            <v>54</v>
          </cell>
          <cell r="BC1">
            <v>55</v>
          </cell>
          <cell r="BD1">
            <v>56</v>
          </cell>
          <cell r="BE1">
            <v>57</v>
          </cell>
          <cell r="BF1">
            <v>58</v>
          </cell>
          <cell r="BG1">
            <v>59</v>
          </cell>
          <cell r="BH1">
            <v>60</v>
          </cell>
          <cell r="BI1">
            <v>61</v>
          </cell>
          <cell r="BJ1">
            <v>62</v>
          </cell>
          <cell r="BK1">
            <v>63</v>
          </cell>
          <cell r="BL1">
            <v>64</v>
          </cell>
          <cell r="BM1">
            <v>65</v>
          </cell>
          <cell r="BN1">
            <v>66</v>
          </cell>
          <cell r="BO1">
            <v>67</v>
          </cell>
          <cell r="BP1">
            <v>68</v>
          </cell>
          <cell r="BQ1">
            <v>69</v>
          </cell>
          <cell r="BR1">
            <v>70</v>
          </cell>
          <cell r="BS1">
            <v>71</v>
          </cell>
          <cell r="BT1">
            <v>72</v>
          </cell>
          <cell r="BU1">
            <v>73</v>
          </cell>
          <cell r="BV1">
            <v>74</v>
          </cell>
          <cell r="BW1">
            <v>75</v>
          </cell>
          <cell r="BX1">
            <v>76</v>
          </cell>
          <cell r="CG1" t="str">
            <v>ElementName</v>
          </cell>
          <cell r="CH1" t="str">
            <v>ScaleOverride</v>
          </cell>
          <cell r="CI1" t="str">
            <v>UnitOverride</v>
          </cell>
          <cell r="CJ1" t="str">
            <v>ReverseSign</v>
          </cell>
          <cell r="CK1" t="str">
            <v>IsDrivingAssumption</v>
          </cell>
          <cell r="CL1" t="str">
            <v>SegmentID</v>
          </cell>
        </row>
        <row r="2">
          <cell r="B2" t="str">
            <v>Duke Realty Corporation</v>
          </cell>
          <cell r="BB2" t="str">
            <v>SSNOI</v>
          </cell>
          <cell r="BF2">
            <v>-5.6330236294466207E-2</v>
          </cell>
          <cell r="BK2">
            <v>7.1456266019805259E-2</v>
          </cell>
          <cell r="BL2">
            <v>8.5095190990269742E-4</v>
          </cell>
          <cell r="BM2">
            <v>-3.213225932282282E-2</v>
          </cell>
          <cell r="BN2">
            <v>2.6021498556438871E-3</v>
          </cell>
          <cell r="BO2">
            <v>2.4603337346082332E-2</v>
          </cell>
          <cell r="BP2">
            <v>-1.8106695797279859E-2</v>
          </cell>
          <cell r="BQ2">
            <v>-1.0965778666879644E-2</v>
          </cell>
          <cell r="BR2">
            <v>-3.1142818140518447E-2</v>
          </cell>
          <cell r="BS2">
            <v>-9.2447016510123214E-3</v>
          </cell>
          <cell r="BT2">
            <v>-8.8555119115494296E-3</v>
          </cell>
          <cell r="BU2">
            <v>-1.1643837959228742E-3</v>
          </cell>
          <cell r="BV2">
            <v>6.5909251552420667E-3</v>
          </cell>
          <cell r="BW2">
            <v>1.44112216711616E-2</v>
          </cell>
          <cell r="BX2">
            <v>2.7051979695460471E-3</v>
          </cell>
        </row>
        <row r="3">
          <cell r="B3" t="str">
            <v>Quarterly Income Statement</v>
          </cell>
        </row>
        <row r="5">
          <cell r="B5" t="str">
            <v>(Dollars In Thousands, Except Per-Share)</v>
          </cell>
          <cell r="C5">
            <v>1997</v>
          </cell>
          <cell r="I5">
            <v>1998</v>
          </cell>
          <cell r="O5">
            <v>1999</v>
          </cell>
          <cell r="U5">
            <v>2000</v>
          </cell>
          <cell r="AA5">
            <v>2001</v>
          </cell>
          <cell r="AF5">
            <v>2002</v>
          </cell>
          <cell r="AK5">
            <v>2003</v>
          </cell>
          <cell r="AP5">
            <v>2004</v>
          </cell>
          <cell r="AU5">
            <v>2005</v>
          </cell>
          <cell r="AZ5">
            <v>2006</v>
          </cell>
          <cell r="BE5">
            <v>2007</v>
          </cell>
          <cell r="BJ5">
            <v>2008</v>
          </cell>
          <cell r="BO5">
            <v>2009</v>
          </cell>
          <cell r="BT5">
            <v>2010</v>
          </cell>
        </row>
        <row r="6">
          <cell r="B6" t="str">
            <v>Year Ends December 31</v>
          </cell>
          <cell r="C6" t="str">
            <v>1QA</v>
          </cell>
          <cell r="D6" t="str">
            <v>2QA</v>
          </cell>
          <cell r="E6" t="str">
            <v>3QA</v>
          </cell>
          <cell r="F6" t="str">
            <v>4QA</v>
          </cell>
          <cell r="G6" t="str">
            <v>1997A</v>
          </cell>
          <cell r="I6" t="str">
            <v>1QA</v>
          </cell>
          <cell r="J6" t="str">
            <v>2QA</v>
          </cell>
          <cell r="K6" t="str">
            <v>3QA</v>
          </cell>
          <cell r="L6" t="str">
            <v>4QA</v>
          </cell>
          <cell r="M6" t="str">
            <v>1998A</v>
          </cell>
          <cell r="O6" t="str">
            <v>1QA</v>
          </cell>
          <cell r="P6" t="str">
            <v>2QA</v>
          </cell>
          <cell r="Q6" t="str">
            <v>3QA</v>
          </cell>
          <cell r="R6" t="str">
            <v>4QA</v>
          </cell>
          <cell r="S6" t="str">
            <v>1999A</v>
          </cell>
          <cell r="U6" t="str">
            <v>1QA</v>
          </cell>
          <cell r="V6" t="str">
            <v>2QA</v>
          </cell>
          <cell r="W6" t="str">
            <v>3QA</v>
          </cell>
          <cell r="X6" t="str">
            <v>4QA</v>
          </cell>
          <cell r="Y6" t="str">
            <v>2000A</v>
          </cell>
          <cell r="AA6" t="str">
            <v>1QA</v>
          </cell>
          <cell r="AB6" t="str">
            <v>2QA</v>
          </cell>
          <cell r="AC6" t="str">
            <v>3QA</v>
          </cell>
          <cell r="AD6" t="str">
            <v>4QA</v>
          </cell>
          <cell r="AE6" t="str">
            <v>2001A</v>
          </cell>
          <cell r="AF6" t="str">
            <v>1QA</v>
          </cell>
          <cell r="AG6" t="str">
            <v>2QA</v>
          </cell>
          <cell r="AH6" t="str">
            <v>3QA</v>
          </cell>
          <cell r="AI6" t="str">
            <v>4QA</v>
          </cell>
          <cell r="AJ6" t="str">
            <v>2002A</v>
          </cell>
          <cell r="AK6" t="str">
            <v>1QA</v>
          </cell>
          <cell r="AL6" t="str">
            <v>2QA</v>
          </cell>
          <cell r="AM6" t="str">
            <v>3QA</v>
          </cell>
          <cell r="AN6" t="str">
            <v>4QA</v>
          </cell>
          <cell r="AO6" t="str">
            <v>2003A</v>
          </cell>
          <cell r="AP6" t="str">
            <v>1QA</v>
          </cell>
          <cell r="AQ6" t="str">
            <v>2QA</v>
          </cell>
          <cell r="AR6" t="str">
            <v>3QA</v>
          </cell>
          <cell r="AS6" t="str">
            <v>4QA</v>
          </cell>
          <cell r="AT6" t="str">
            <v>2004A</v>
          </cell>
          <cell r="AU6" t="str">
            <v>1QA</v>
          </cell>
          <cell r="AV6" t="str">
            <v>2QA</v>
          </cell>
          <cell r="AW6" t="str">
            <v>3QA</v>
          </cell>
          <cell r="AX6" t="str">
            <v>4QA</v>
          </cell>
          <cell r="AY6" t="str">
            <v>2005A</v>
          </cell>
          <cell r="AZ6" t="str">
            <v>1QA</v>
          </cell>
          <cell r="BA6" t="str">
            <v>2QA</v>
          </cell>
          <cell r="BB6" t="str">
            <v>3QA</v>
          </cell>
          <cell r="BC6" t="str">
            <v>4QA</v>
          </cell>
          <cell r="BD6" t="str">
            <v>2006A</v>
          </cell>
          <cell r="BE6" t="str">
            <v>1QA</v>
          </cell>
          <cell r="BF6" t="str">
            <v>2QA</v>
          </cell>
          <cell r="BG6" t="str">
            <v>3QA</v>
          </cell>
          <cell r="BH6" t="str">
            <v>4QA</v>
          </cell>
          <cell r="BI6" t="str">
            <v>2007A</v>
          </cell>
          <cell r="BJ6" t="str">
            <v>1QE</v>
          </cell>
          <cell r="BK6" t="str">
            <v>2QE</v>
          </cell>
          <cell r="BL6" t="str">
            <v>3QE</v>
          </cell>
          <cell r="BM6" t="str">
            <v>4QE</v>
          </cell>
          <cell r="BN6" t="str">
            <v>2008E</v>
          </cell>
          <cell r="BO6" t="str">
            <v>1QE</v>
          </cell>
          <cell r="BP6" t="str">
            <v>2QE</v>
          </cell>
          <cell r="BQ6" t="str">
            <v>3QE</v>
          </cell>
          <cell r="BR6" t="str">
            <v>4QE</v>
          </cell>
          <cell r="BS6" t="str">
            <v>2009E</v>
          </cell>
          <cell r="BT6" t="str">
            <v>1QE</v>
          </cell>
          <cell r="BU6" t="str">
            <v>2QE</v>
          </cell>
          <cell r="BV6" t="str">
            <v>3QE</v>
          </cell>
          <cell r="BW6" t="str">
            <v>4QE</v>
          </cell>
          <cell r="BX6" t="str">
            <v>2010E</v>
          </cell>
        </row>
        <row r="7">
          <cell r="AF7" t="str">
            <v>2002-Q1</v>
          </cell>
          <cell r="AG7" t="str">
            <v>2002-Q2</v>
          </cell>
          <cell r="AH7" t="str">
            <v>2002-Q3</v>
          </cell>
          <cell r="AI7" t="str">
            <v>2002-Q4</v>
          </cell>
          <cell r="AJ7" t="str">
            <v>2002-FY</v>
          </cell>
          <cell r="AK7" t="str">
            <v>2003-Q1</v>
          </cell>
          <cell r="AL7" t="str">
            <v>2003-Q2</v>
          </cell>
          <cell r="AM7" t="str">
            <v>2003-Q3</v>
          </cell>
          <cell r="AN7" t="str">
            <v>2003-Q4</v>
          </cell>
          <cell r="AO7" t="str">
            <v>2003-FY</v>
          </cell>
          <cell r="AP7" t="str">
            <v>2004-Q1</v>
          </cell>
          <cell r="AQ7" t="str">
            <v>2004-Q2</v>
          </cell>
          <cell r="AR7" t="str">
            <v>2004-Q3</v>
          </cell>
          <cell r="AS7" t="str">
            <v>2004-Q4</v>
          </cell>
          <cell r="AT7" t="str">
            <v>2004-FY</v>
          </cell>
          <cell r="AU7" t="str">
            <v>2005-Q1</v>
          </cell>
          <cell r="AV7" t="str">
            <v>2005-Q2</v>
          </cell>
          <cell r="AW7" t="str">
            <v>2005-Q3</v>
          </cell>
          <cell r="AX7" t="str">
            <v>2005-Q4</v>
          </cell>
          <cell r="AY7" t="str">
            <v>2005-FY</v>
          </cell>
          <cell r="AZ7" t="str">
            <v>2006-Q1</v>
          </cell>
          <cell r="BA7" t="str">
            <v>2006-Q2</v>
          </cell>
          <cell r="BB7" t="str">
            <v>2006-Q3</v>
          </cell>
          <cell r="BC7" t="str">
            <v>2006-Q4</v>
          </cell>
          <cell r="BD7" t="str">
            <v>2006-FY</v>
          </cell>
          <cell r="BE7" t="str">
            <v>2007-Q1</v>
          </cell>
          <cell r="BF7" t="str">
            <v>2007-Q2</v>
          </cell>
          <cell r="BG7" t="str">
            <v>2007-Q3</v>
          </cell>
          <cell r="BH7" t="str">
            <v>2007-Q4</v>
          </cell>
          <cell r="BI7" t="str">
            <v>2007-FY</v>
          </cell>
          <cell r="BJ7" t="str">
            <v>2008-Q1</v>
          </cell>
          <cell r="BK7" t="str">
            <v>2008-Q2</v>
          </cell>
          <cell r="BL7" t="str">
            <v>2008-Q3</v>
          </cell>
          <cell r="BM7" t="str">
            <v>2008-Q4</v>
          </cell>
          <cell r="BN7" t="str">
            <v>2008-FY</v>
          </cell>
          <cell r="BO7" t="str">
            <v>2009-Q1</v>
          </cell>
          <cell r="BP7" t="str">
            <v>2009-Q2</v>
          </cell>
          <cell r="BQ7" t="str">
            <v>2009-Q3</v>
          </cell>
          <cell r="BR7" t="str">
            <v>2009-Q4</v>
          </cell>
          <cell r="BS7" t="str">
            <v>2009-FY</v>
          </cell>
          <cell r="BT7" t="str">
            <v>2010-Q1</v>
          </cell>
          <cell r="BU7" t="str">
            <v>2010-Q2</v>
          </cell>
          <cell r="BV7" t="str">
            <v>2010-Q3</v>
          </cell>
          <cell r="BW7" t="str">
            <v>2010-Q4</v>
          </cell>
          <cell r="BX7" t="str">
            <v>2010-FY</v>
          </cell>
        </row>
        <row r="9">
          <cell r="A9" t="str">
            <v>RENTAL OPERATIONS</v>
          </cell>
        </row>
        <row r="10">
          <cell r="A10" t="str">
            <v>Rental Income</v>
          </cell>
          <cell r="C10">
            <v>49058</v>
          </cell>
          <cell r="D10">
            <v>49802</v>
          </cell>
          <cell r="E10">
            <v>53729</v>
          </cell>
          <cell r="F10">
            <v>68381</v>
          </cell>
          <cell r="G10">
            <v>220970</v>
          </cell>
          <cell r="I10">
            <v>76835</v>
          </cell>
          <cell r="J10">
            <v>80503</v>
          </cell>
          <cell r="K10">
            <v>87699</v>
          </cell>
          <cell r="L10">
            <v>92731</v>
          </cell>
          <cell r="M10">
            <v>337768</v>
          </cell>
          <cell r="O10">
            <v>99479</v>
          </cell>
          <cell r="P10">
            <v>104369</v>
          </cell>
          <cell r="Q10">
            <v>157001</v>
          </cell>
          <cell r="R10">
            <v>163101</v>
          </cell>
          <cell r="S10">
            <v>523950</v>
          </cell>
          <cell r="U10">
            <v>171910</v>
          </cell>
          <cell r="V10">
            <v>174182</v>
          </cell>
          <cell r="W10">
            <v>182525</v>
          </cell>
          <cell r="X10">
            <v>168653</v>
          </cell>
          <cell r="Y10">
            <v>697270</v>
          </cell>
          <cell r="AA10">
            <v>173998</v>
          </cell>
          <cell r="AB10">
            <v>174453</v>
          </cell>
          <cell r="AC10">
            <v>171175</v>
          </cell>
          <cell r="AD10">
            <v>172332</v>
          </cell>
          <cell r="AE10">
            <v>691958</v>
          </cell>
          <cell r="AF10">
            <v>168380</v>
          </cell>
          <cell r="AG10">
            <v>173876</v>
          </cell>
          <cell r="AH10">
            <v>173809</v>
          </cell>
          <cell r="AI10">
            <v>170066</v>
          </cell>
          <cell r="AJ10">
            <v>686131</v>
          </cell>
          <cell r="AK10">
            <v>180742</v>
          </cell>
          <cell r="AL10">
            <v>175709</v>
          </cell>
          <cell r="AM10">
            <v>176754</v>
          </cell>
          <cell r="AN10">
            <v>182097</v>
          </cell>
          <cell r="AO10">
            <v>715302</v>
          </cell>
          <cell r="AP10">
            <v>186825</v>
          </cell>
          <cell r="AQ10">
            <v>181962</v>
          </cell>
          <cell r="AR10">
            <v>188751</v>
          </cell>
          <cell r="AS10">
            <v>191450</v>
          </cell>
          <cell r="AT10">
            <v>748988</v>
          </cell>
          <cell r="AU10">
            <v>191030</v>
          </cell>
          <cell r="AV10">
            <v>189482</v>
          </cell>
          <cell r="AW10">
            <v>173159</v>
          </cell>
          <cell r="AX10">
            <v>180993</v>
          </cell>
          <cell r="AY10">
            <v>734664</v>
          </cell>
          <cell r="AZ10">
            <v>193745</v>
          </cell>
          <cell r="BA10">
            <v>201263</v>
          </cell>
          <cell r="BB10">
            <v>208253</v>
          </cell>
          <cell r="BC10">
            <v>201457</v>
          </cell>
          <cell r="BD10">
            <v>804718</v>
          </cell>
          <cell r="BE10">
            <v>207447</v>
          </cell>
          <cell r="BF10">
            <v>189705</v>
          </cell>
          <cell r="BG10">
            <v>201376</v>
          </cell>
          <cell r="BH10">
            <v>207165</v>
          </cell>
          <cell r="BI10">
            <v>805693</v>
          </cell>
          <cell r="BJ10">
            <v>202269.95750000002</v>
          </cell>
          <cell r="BK10">
            <v>202135.29374303517</v>
          </cell>
          <cell r="BL10">
            <v>201773.57068737457</v>
          </cell>
          <cell r="BM10">
            <v>201411.84763171396</v>
          </cell>
          <cell r="BN10">
            <v>807590.66956212372</v>
          </cell>
          <cell r="BO10">
            <v>201079.80663367463</v>
          </cell>
          <cell r="BP10">
            <v>200247.7656356353</v>
          </cell>
          <cell r="BQ10">
            <v>199415.72463759597</v>
          </cell>
          <cell r="BR10">
            <v>198583.68363955664</v>
          </cell>
          <cell r="BS10">
            <v>799326.98054646247</v>
          </cell>
          <cell r="BT10">
            <v>199299.14201085799</v>
          </cell>
          <cell r="BU10">
            <v>200014.60038215935</v>
          </cell>
          <cell r="BV10">
            <v>200730.0587534607</v>
          </cell>
          <cell r="BW10">
            <v>201445.51712476206</v>
          </cell>
          <cell r="BX10">
            <v>801489.31827124022</v>
          </cell>
          <cell r="CG10" t="str">
            <v>mstag:grossRents</v>
          </cell>
          <cell r="CH10">
            <v>3</v>
          </cell>
          <cell r="CI10" t="str">
            <v>ISO4217:USD</v>
          </cell>
          <cell r="CJ10" t="b">
            <v>0</v>
          </cell>
          <cell r="CK10" t="b">
            <v>0</v>
          </cell>
        </row>
        <row r="11">
          <cell r="B11" t="str">
            <v xml:space="preserve">    Lease Termination Fees (forecasting only)</v>
          </cell>
          <cell r="AZ11">
            <v>4141</v>
          </cell>
          <cell r="BA11">
            <v>6095</v>
          </cell>
          <cell r="BB11">
            <v>5165</v>
          </cell>
          <cell r="BC11">
            <v>756</v>
          </cell>
          <cell r="BE11">
            <v>3404</v>
          </cell>
          <cell r="BF11">
            <v>1912</v>
          </cell>
          <cell r="BG11">
            <v>9579</v>
          </cell>
          <cell r="BH11">
            <v>9558</v>
          </cell>
          <cell r="BJ11">
            <v>4500</v>
          </cell>
          <cell r="BK11">
            <v>4500</v>
          </cell>
          <cell r="BL11">
            <v>4500</v>
          </cell>
          <cell r="BM11">
            <v>4500</v>
          </cell>
          <cell r="BO11">
            <v>5000</v>
          </cell>
          <cell r="BP11">
            <v>5000</v>
          </cell>
          <cell r="BQ11">
            <v>5000</v>
          </cell>
          <cell r="BR11">
            <v>5000</v>
          </cell>
          <cell r="BT11">
            <v>5000</v>
          </cell>
          <cell r="BU11">
            <v>5000</v>
          </cell>
          <cell r="BV11">
            <v>5000</v>
          </cell>
          <cell r="BW11">
            <v>5000</v>
          </cell>
        </row>
        <row r="12">
          <cell r="A12" t="str">
            <v>Lost Income, Lower Rent/Retention</v>
          </cell>
          <cell r="CG12" t="str">
            <v>mstag:grossRents</v>
          </cell>
          <cell r="CH12">
            <v>3</v>
          </cell>
          <cell r="CI12" t="str">
            <v>ISO4217:USD</v>
          </cell>
          <cell r="CJ12" t="b">
            <v>0</v>
          </cell>
          <cell r="CK12" t="b">
            <v>0</v>
          </cell>
        </row>
        <row r="13">
          <cell r="A13" t="str">
            <v>Equity in Unconsolidated Cos.</v>
          </cell>
          <cell r="C13">
            <v>1860</v>
          </cell>
          <cell r="D13">
            <v>1784</v>
          </cell>
          <cell r="E13">
            <v>2489</v>
          </cell>
          <cell r="F13">
            <v>2599</v>
          </cell>
          <cell r="G13">
            <v>8732</v>
          </cell>
          <cell r="I13">
            <v>2841</v>
          </cell>
          <cell r="J13">
            <v>2576</v>
          </cell>
          <cell r="K13">
            <v>2649</v>
          </cell>
          <cell r="L13">
            <v>2791</v>
          </cell>
          <cell r="M13">
            <v>10857</v>
          </cell>
          <cell r="O13">
            <v>2508</v>
          </cell>
          <cell r="P13">
            <v>2779</v>
          </cell>
          <cell r="Q13">
            <v>3272</v>
          </cell>
          <cell r="R13">
            <v>3054</v>
          </cell>
          <cell r="S13">
            <v>11613</v>
          </cell>
          <cell r="U13">
            <v>2824</v>
          </cell>
          <cell r="V13">
            <v>4226</v>
          </cell>
          <cell r="W13">
            <v>3235</v>
          </cell>
          <cell r="X13">
            <v>4271</v>
          </cell>
          <cell r="Y13">
            <v>14556</v>
          </cell>
          <cell r="AA13">
            <v>9970</v>
          </cell>
          <cell r="AB13">
            <v>7315</v>
          </cell>
          <cell r="AC13">
            <v>7024</v>
          </cell>
          <cell r="AD13">
            <v>7082</v>
          </cell>
          <cell r="AE13">
            <v>31391</v>
          </cell>
          <cell r="AF13">
            <v>6296</v>
          </cell>
          <cell r="AG13">
            <v>6278</v>
          </cell>
          <cell r="AH13">
            <v>8344</v>
          </cell>
          <cell r="AI13">
            <v>6262</v>
          </cell>
          <cell r="AJ13">
            <v>27180</v>
          </cell>
          <cell r="AK13">
            <v>4269</v>
          </cell>
          <cell r="AL13">
            <v>6693</v>
          </cell>
          <cell r="AM13">
            <v>7368</v>
          </cell>
          <cell r="AN13">
            <v>5358</v>
          </cell>
          <cell r="AO13">
            <v>23688</v>
          </cell>
          <cell r="AP13">
            <v>4525</v>
          </cell>
          <cell r="AQ13">
            <v>5770</v>
          </cell>
          <cell r="AR13">
            <v>6220</v>
          </cell>
          <cell r="AS13">
            <v>5071</v>
          </cell>
          <cell r="AT13">
            <v>21586</v>
          </cell>
          <cell r="AU13">
            <v>5206</v>
          </cell>
          <cell r="AV13">
            <v>15684</v>
          </cell>
          <cell r="AW13">
            <v>4143</v>
          </cell>
          <cell r="AX13">
            <v>4516</v>
          </cell>
          <cell r="AY13">
            <v>29549</v>
          </cell>
          <cell r="AZ13">
            <v>8259</v>
          </cell>
          <cell r="BA13">
            <v>9696</v>
          </cell>
          <cell r="BB13">
            <v>3492</v>
          </cell>
          <cell r="BC13">
            <v>16557</v>
          </cell>
          <cell r="BD13">
            <v>38004</v>
          </cell>
          <cell r="BE13">
            <v>7691</v>
          </cell>
          <cell r="BF13">
            <v>7949</v>
          </cell>
          <cell r="BG13">
            <v>1838</v>
          </cell>
          <cell r="BH13">
            <v>7487</v>
          </cell>
          <cell r="BI13">
            <v>24965</v>
          </cell>
          <cell r="BJ13">
            <v>7515.4399999999987</v>
          </cell>
          <cell r="BK13">
            <v>7544.0222000000012</v>
          </cell>
          <cell r="BL13">
            <v>7572.7473109999983</v>
          </cell>
          <cell r="BM13">
            <v>7601.6160475549968</v>
          </cell>
          <cell r="BN13">
            <v>30233.825558554996</v>
          </cell>
          <cell r="BO13">
            <v>7729.345060945966</v>
          </cell>
          <cell r="BP13">
            <v>7788.6485115554251</v>
          </cell>
          <cell r="BQ13">
            <v>7848.5449966709775</v>
          </cell>
          <cell r="BR13">
            <v>7909.0404466376895</v>
          </cell>
          <cell r="BS13">
            <v>31275.579015810057</v>
          </cell>
          <cell r="BT13">
            <v>7970.1408511040672</v>
          </cell>
          <cell r="BU13">
            <v>8031.8522596151051</v>
          </cell>
          <cell r="BV13">
            <v>8094.1807822112596</v>
          </cell>
          <cell r="BW13">
            <v>8157.1325900333695</v>
          </cell>
          <cell r="BX13">
            <v>32253.306482963802</v>
          </cell>
          <cell r="CG13" t="str">
            <v>mstag:incomeLossFromInvestmentsAccountedForUnderTheEquityMethodOperatingIncomeStatement</v>
          </cell>
          <cell r="CH13">
            <v>3</v>
          </cell>
          <cell r="CI13" t="str">
            <v>ISO4217:USD</v>
          </cell>
          <cell r="CJ13" t="b">
            <v>0</v>
          </cell>
          <cell r="CK13" t="b">
            <v>0</v>
          </cell>
        </row>
        <row r="14">
          <cell r="A14" t="str">
            <v>Total Income</v>
          </cell>
          <cell r="C14">
            <v>50918</v>
          </cell>
          <cell r="D14">
            <v>51586</v>
          </cell>
          <cell r="E14">
            <v>56218</v>
          </cell>
          <cell r="F14">
            <v>70980</v>
          </cell>
          <cell r="G14">
            <v>229702</v>
          </cell>
          <cell r="I14">
            <v>79676</v>
          </cell>
          <cell r="J14">
            <v>83079</v>
          </cell>
          <cell r="K14">
            <v>90348</v>
          </cell>
          <cell r="L14">
            <v>95522</v>
          </cell>
          <cell r="M14">
            <v>348625</v>
          </cell>
          <cell r="O14">
            <v>101987</v>
          </cell>
          <cell r="P14">
            <v>107148</v>
          </cell>
          <cell r="Q14">
            <v>160273</v>
          </cell>
          <cell r="R14">
            <v>166155</v>
          </cell>
          <cell r="S14">
            <v>535563</v>
          </cell>
          <cell r="U14">
            <v>174734</v>
          </cell>
          <cell r="V14">
            <v>178408</v>
          </cell>
          <cell r="W14">
            <v>185760</v>
          </cell>
          <cell r="X14">
            <v>172924</v>
          </cell>
          <cell r="Y14">
            <v>711826</v>
          </cell>
          <cell r="AA14">
            <v>183968</v>
          </cell>
          <cell r="AB14">
            <v>181768</v>
          </cell>
          <cell r="AC14">
            <v>178199</v>
          </cell>
          <cell r="AD14">
            <v>179414</v>
          </cell>
          <cell r="AE14">
            <v>723349</v>
          </cell>
          <cell r="AF14">
            <v>174676</v>
          </cell>
          <cell r="AG14">
            <v>180154</v>
          </cell>
          <cell r="AH14">
            <v>182153</v>
          </cell>
          <cell r="AI14">
            <v>176328</v>
          </cell>
          <cell r="AJ14">
            <v>713311</v>
          </cell>
          <cell r="AK14">
            <v>185011</v>
          </cell>
          <cell r="AL14">
            <v>182402</v>
          </cell>
          <cell r="AM14">
            <v>184122</v>
          </cell>
          <cell r="AN14">
            <v>187455</v>
          </cell>
          <cell r="AO14">
            <v>738990</v>
          </cell>
          <cell r="AP14">
            <v>191350</v>
          </cell>
          <cell r="AQ14">
            <v>187732</v>
          </cell>
          <cell r="AR14">
            <v>194971</v>
          </cell>
          <cell r="AS14">
            <v>196521</v>
          </cell>
          <cell r="AT14">
            <v>770574</v>
          </cell>
          <cell r="AU14">
            <v>196236</v>
          </cell>
          <cell r="AV14">
            <v>205166</v>
          </cell>
          <cell r="AW14">
            <v>177302</v>
          </cell>
          <cell r="AX14">
            <v>185509</v>
          </cell>
          <cell r="AY14">
            <v>764213</v>
          </cell>
          <cell r="AZ14">
            <v>202004</v>
          </cell>
          <cell r="BA14">
            <v>210959</v>
          </cell>
          <cell r="BB14">
            <v>211745</v>
          </cell>
          <cell r="BC14">
            <v>218014</v>
          </cell>
          <cell r="BD14">
            <v>842722</v>
          </cell>
          <cell r="BE14">
            <v>215138</v>
          </cell>
          <cell r="BF14">
            <v>197654</v>
          </cell>
          <cell r="BG14">
            <v>203214</v>
          </cell>
          <cell r="BH14">
            <v>214652</v>
          </cell>
          <cell r="BI14">
            <v>830658</v>
          </cell>
          <cell r="BJ14">
            <v>209785.39750000002</v>
          </cell>
          <cell r="BK14">
            <v>209679.31594303518</v>
          </cell>
          <cell r="BL14">
            <v>209346.31799837455</v>
          </cell>
          <cell r="BM14">
            <v>209013.46367926896</v>
          </cell>
          <cell r="BN14">
            <v>837824.49512067868</v>
          </cell>
          <cell r="BO14">
            <v>208809.15169462058</v>
          </cell>
          <cell r="BP14">
            <v>208036.41414719072</v>
          </cell>
          <cell r="BQ14">
            <v>207264.26963426694</v>
          </cell>
          <cell r="BR14">
            <v>206492.72408619433</v>
          </cell>
          <cell r="BS14">
            <v>830602.55956227251</v>
          </cell>
          <cell r="BT14">
            <v>207269.28286196207</v>
          </cell>
          <cell r="BU14">
            <v>208046.45264177446</v>
          </cell>
          <cell r="BV14">
            <v>208824.23953567195</v>
          </cell>
          <cell r="BW14">
            <v>209602.64971479544</v>
          </cell>
          <cell r="BX14">
            <v>833742.62475420407</v>
          </cell>
        </row>
        <row r="16">
          <cell r="A16" t="str">
            <v>Rental Expenses</v>
          </cell>
          <cell r="C16">
            <v>-9229</v>
          </cell>
          <cell r="D16">
            <v>-8793</v>
          </cell>
          <cell r="E16">
            <v>-10204</v>
          </cell>
          <cell r="F16">
            <v>-12149</v>
          </cell>
          <cell r="G16">
            <v>-40375</v>
          </cell>
          <cell r="I16">
            <v>-13845</v>
          </cell>
          <cell r="J16">
            <v>-13839</v>
          </cell>
          <cell r="K16">
            <v>-16115</v>
          </cell>
          <cell r="L16">
            <v>-15970</v>
          </cell>
          <cell r="M16">
            <v>-59769</v>
          </cell>
          <cell r="O16">
            <v>-18626</v>
          </cell>
          <cell r="P16">
            <v>-17501</v>
          </cell>
          <cell r="Q16">
            <v>-25095</v>
          </cell>
          <cell r="R16">
            <v>-27181</v>
          </cell>
          <cell r="S16">
            <v>-88403</v>
          </cell>
          <cell r="U16">
            <v>-28842</v>
          </cell>
          <cell r="V16">
            <v>-28264</v>
          </cell>
          <cell r="W16">
            <v>-30322</v>
          </cell>
          <cell r="X16">
            <v>-30612</v>
          </cell>
          <cell r="Y16">
            <v>-118040</v>
          </cell>
          <cell r="AA16">
            <v>-30768</v>
          </cell>
          <cell r="AB16">
            <v>-29736</v>
          </cell>
          <cell r="AC16">
            <v>-31089</v>
          </cell>
          <cell r="AD16">
            <v>-29846</v>
          </cell>
          <cell r="AE16">
            <v>-121439</v>
          </cell>
          <cell r="AF16">
            <v>-31216</v>
          </cell>
          <cell r="AG16">
            <v>-30226</v>
          </cell>
          <cell r="AH16">
            <v>-33311</v>
          </cell>
          <cell r="AI16">
            <v>-32638</v>
          </cell>
          <cell r="AJ16">
            <v>-127391</v>
          </cell>
          <cell r="AK16">
            <v>-40473</v>
          </cell>
          <cell r="AL16">
            <v>-33511</v>
          </cell>
          <cell r="AM16">
            <v>-36082</v>
          </cell>
          <cell r="AN16">
            <v>-35775</v>
          </cell>
          <cell r="AO16">
            <v>-145841</v>
          </cell>
          <cell r="AP16">
            <v>-40306</v>
          </cell>
          <cell r="AQ16">
            <v>-36718</v>
          </cell>
          <cell r="AR16">
            <v>-40970</v>
          </cell>
          <cell r="AS16">
            <v>-39097</v>
          </cell>
          <cell r="AT16">
            <v>-157091</v>
          </cell>
          <cell r="AU16">
            <v>-44296</v>
          </cell>
          <cell r="AV16">
            <v>-42277</v>
          </cell>
          <cell r="AW16">
            <v>-41251</v>
          </cell>
          <cell r="AX16">
            <v>-40062</v>
          </cell>
          <cell r="AY16">
            <v>-167886</v>
          </cell>
          <cell r="AZ16">
            <v>-46338</v>
          </cell>
          <cell r="BA16">
            <v>-45057</v>
          </cell>
          <cell r="BB16">
            <v>-46073</v>
          </cell>
          <cell r="BC16">
            <v>-47536</v>
          </cell>
          <cell r="BD16">
            <v>-185004</v>
          </cell>
          <cell r="BE16">
            <v>-50124</v>
          </cell>
          <cell r="BF16">
            <v>-41036</v>
          </cell>
          <cell r="BG16">
            <v>-44833</v>
          </cell>
          <cell r="BH16">
            <v>-43631</v>
          </cell>
          <cell r="BI16">
            <v>-179624</v>
          </cell>
          <cell r="BJ16">
            <v>-49479.916496023121</v>
          </cell>
          <cell r="BK16">
            <v>-44331.262442939085</v>
          </cell>
          <cell r="BL16">
            <v>-45526.833179422007</v>
          </cell>
          <cell r="BM16">
            <v>-43023.564696078894</v>
          </cell>
          <cell r="BN16">
            <v>-182361.5768144631</v>
          </cell>
          <cell r="BO16">
            <v>-45402.87272302762</v>
          </cell>
          <cell r="BP16">
            <v>-45215.001786772234</v>
          </cell>
          <cell r="BQ16">
            <v>-45027.130850516849</v>
          </cell>
          <cell r="BR16">
            <v>-44839.259914261464</v>
          </cell>
          <cell r="BS16">
            <v>-180484.26527457815</v>
          </cell>
          <cell r="BT16">
            <v>-45000.807042810273</v>
          </cell>
          <cell r="BU16">
            <v>-45162.354171359082</v>
          </cell>
          <cell r="BV16">
            <v>-45323.901299907891</v>
          </cell>
          <cell r="BW16">
            <v>-45485.448428456701</v>
          </cell>
          <cell r="BX16">
            <v>-180972.51094253393</v>
          </cell>
          <cell r="CG16" t="str">
            <v>mstag:propertyOperatingExpenses</v>
          </cell>
          <cell r="CH16">
            <v>3</v>
          </cell>
          <cell r="CI16" t="str">
            <v>ISO4217:USD</v>
          </cell>
          <cell r="CJ16" t="b">
            <v>1</v>
          </cell>
          <cell r="CK16" t="b">
            <v>0</v>
          </cell>
        </row>
        <row r="17">
          <cell r="A17" t="str">
            <v>Real Estate Taxes</v>
          </cell>
          <cell r="C17">
            <v>-4442</v>
          </cell>
          <cell r="D17">
            <v>-4673</v>
          </cell>
          <cell r="E17">
            <v>-5252</v>
          </cell>
          <cell r="F17">
            <v>-6118</v>
          </cell>
          <cell r="G17">
            <v>-20485</v>
          </cell>
          <cell r="I17">
            <v>-7834</v>
          </cell>
          <cell r="J17">
            <v>-8053</v>
          </cell>
          <cell r="K17">
            <v>-8984</v>
          </cell>
          <cell r="L17">
            <v>-9035</v>
          </cell>
          <cell r="M17">
            <v>-33906</v>
          </cell>
          <cell r="O17">
            <v>-10817</v>
          </cell>
          <cell r="P17">
            <v>-11674</v>
          </cell>
          <cell r="Q17">
            <v>-16408</v>
          </cell>
          <cell r="R17">
            <v>-15347</v>
          </cell>
          <cell r="S17">
            <v>-54246</v>
          </cell>
          <cell r="U17">
            <v>-18520</v>
          </cell>
          <cell r="V17">
            <v>-19064</v>
          </cell>
          <cell r="W17">
            <v>-18833</v>
          </cell>
          <cell r="X17">
            <v>-14546</v>
          </cell>
          <cell r="Y17">
            <v>-70963</v>
          </cell>
          <cell r="AA17">
            <v>-17857</v>
          </cell>
          <cell r="AB17">
            <v>-18066</v>
          </cell>
          <cell r="AC17">
            <v>-18276</v>
          </cell>
          <cell r="AD17">
            <v>-16463</v>
          </cell>
          <cell r="AE17">
            <v>-70662</v>
          </cell>
          <cell r="AF17">
            <v>-19100</v>
          </cell>
          <cell r="AG17">
            <v>-18960</v>
          </cell>
          <cell r="AH17">
            <v>-18853</v>
          </cell>
          <cell r="AI17">
            <v>-16582</v>
          </cell>
          <cell r="AJ17">
            <v>-73495</v>
          </cell>
          <cell r="AK17">
            <v>-20572</v>
          </cell>
          <cell r="AL17">
            <v>-21455</v>
          </cell>
          <cell r="AM17">
            <v>-18469</v>
          </cell>
          <cell r="AN17">
            <v>-19683</v>
          </cell>
          <cell r="AO17">
            <v>-80179</v>
          </cell>
          <cell r="AP17">
            <v>-21518</v>
          </cell>
          <cell r="AQ17">
            <v>-21499</v>
          </cell>
          <cell r="AR17">
            <v>-22404</v>
          </cell>
          <cell r="AS17">
            <v>-19942</v>
          </cell>
          <cell r="AT17">
            <v>-85363</v>
          </cell>
          <cell r="AU17">
            <v>-22847</v>
          </cell>
          <cell r="AV17">
            <v>-23121</v>
          </cell>
          <cell r="AW17">
            <v>-22199</v>
          </cell>
          <cell r="AX17">
            <v>-21947</v>
          </cell>
          <cell r="AY17">
            <v>-90114</v>
          </cell>
          <cell r="AZ17">
            <v>-23138</v>
          </cell>
          <cell r="BA17">
            <v>-24252</v>
          </cell>
          <cell r="BB17">
            <v>-23086</v>
          </cell>
          <cell r="BC17">
            <v>-21010</v>
          </cell>
          <cell r="BD17">
            <v>-91486</v>
          </cell>
          <cell r="BE17">
            <v>-25746</v>
          </cell>
          <cell r="BF17">
            <v>-24148</v>
          </cell>
          <cell r="BG17">
            <v>-24750</v>
          </cell>
          <cell r="BH17">
            <v>-24992</v>
          </cell>
          <cell r="BI17">
            <v>-99636</v>
          </cell>
          <cell r="BJ17">
            <v>-24401.471184032052</v>
          </cell>
          <cell r="BK17">
            <v>-24385.225599043926</v>
          </cell>
          <cell r="BL17">
            <v>-24341.588002890763</v>
          </cell>
          <cell r="BM17">
            <v>-24297.9504067376</v>
          </cell>
          <cell r="BN17">
            <v>-97426.235192704335</v>
          </cell>
          <cell r="BO17">
            <v>-24129.576796040954</v>
          </cell>
          <cell r="BP17">
            <v>-24029.731876276233</v>
          </cell>
          <cell r="BQ17">
            <v>-23929.886956511516</v>
          </cell>
          <cell r="BR17">
            <v>-23830.042036746796</v>
          </cell>
          <cell r="BS17">
            <v>-95919.237665575492</v>
          </cell>
          <cell r="BT17">
            <v>-23915.897041302956</v>
          </cell>
          <cell r="BU17">
            <v>-24001.752045859121</v>
          </cell>
          <cell r="BV17">
            <v>-24087.607050415285</v>
          </cell>
          <cell r="BW17">
            <v>-24173.462054971445</v>
          </cell>
          <cell r="BX17">
            <v>-96178.718192548811</v>
          </cell>
          <cell r="CG17" t="str">
            <v>mstag:realEstateTaxExpense</v>
          </cell>
          <cell r="CH17">
            <v>3</v>
          </cell>
          <cell r="CI17" t="str">
            <v>ISO4217:USD</v>
          </cell>
          <cell r="CJ17" t="b">
            <v>1</v>
          </cell>
          <cell r="CK17" t="b">
            <v>0</v>
          </cell>
        </row>
        <row r="18">
          <cell r="A18" t="str">
            <v>Acq. &amp; Develop. NOI</v>
          </cell>
          <cell r="BI18">
            <v>0</v>
          </cell>
          <cell r="BJ18">
            <v>4424.5600069063148</v>
          </cell>
          <cell r="BK18">
            <v>7515.2930966588574</v>
          </cell>
          <cell r="BL18">
            <v>11117.295990170549</v>
          </cell>
          <cell r="BM18">
            <v>13358.549288166725</v>
          </cell>
          <cell r="BN18">
            <v>36415.698381902446</v>
          </cell>
          <cell r="BO18">
            <v>14884.513533694888</v>
          </cell>
          <cell r="BP18">
            <v>16036.428580652888</v>
          </cell>
          <cell r="BQ18">
            <v>17191.223415228276</v>
          </cell>
          <cell r="BR18">
            <v>18348.90523689011</v>
          </cell>
          <cell r="BS18">
            <v>66461.07076646616</v>
          </cell>
          <cell r="BT18">
            <v>20048.160847352065</v>
          </cell>
          <cell r="BU18">
            <v>21907.413941417624</v>
          </cell>
          <cell r="BV18">
            <v>23771.315168218345</v>
          </cell>
          <cell r="BW18">
            <v>25639.876148086074</v>
          </cell>
          <cell r="BX18">
            <v>91366.766105074115</v>
          </cell>
          <cell r="CG18" t="str">
            <v>mstag:cumulativeNoiFromAcquisitionsDevelopmentsAndDispositions</v>
          </cell>
          <cell r="CH18">
            <v>3</v>
          </cell>
          <cell r="CI18" t="str">
            <v>ISO4217:USD</v>
          </cell>
          <cell r="CJ18" t="b">
            <v>0</v>
          </cell>
          <cell r="CK18" t="b">
            <v>0</v>
          </cell>
        </row>
        <row r="19">
          <cell r="A19" t="str">
            <v>Net Operating Income</v>
          </cell>
          <cell r="C19">
            <v>37247</v>
          </cell>
          <cell r="D19">
            <v>38120</v>
          </cell>
          <cell r="E19">
            <v>40762</v>
          </cell>
          <cell r="F19">
            <v>52713</v>
          </cell>
          <cell r="G19">
            <v>168842</v>
          </cell>
          <cell r="I19">
            <v>57997</v>
          </cell>
          <cell r="J19">
            <v>61187</v>
          </cell>
          <cell r="K19">
            <v>65249</v>
          </cell>
          <cell r="L19">
            <v>70517</v>
          </cell>
          <cell r="M19">
            <v>254950</v>
          </cell>
          <cell r="O19">
            <v>72544</v>
          </cell>
          <cell r="P19">
            <v>77973</v>
          </cell>
          <cell r="Q19">
            <v>118770</v>
          </cell>
          <cell r="R19">
            <v>123627</v>
          </cell>
          <cell r="S19">
            <v>392914</v>
          </cell>
          <cell r="U19">
            <v>127372</v>
          </cell>
          <cell r="V19">
            <v>131080</v>
          </cell>
          <cell r="W19">
            <v>136605</v>
          </cell>
          <cell r="X19">
            <v>127766</v>
          </cell>
          <cell r="Y19">
            <v>522823</v>
          </cell>
          <cell r="AA19">
            <v>135343</v>
          </cell>
          <cell r="AB19">
            <v>133966</v>
          </cell>
          <cell r="AC19">
            <v>128834</v>
          </cell>
          <cell r="AD19">
            <v>133105</v>
          </cell>
          <cell r="AE19">
            <v>531248</v>
          </cell>
          <cell r="AF19">
            <v>124360</v>
          </cell>
          <cell r="AG19">
            <v>130968</v>
          </cell>
          <cell r="AH19">
            <v>129989</v>
          </cell>
          <cell r="AI19">
            <v>127108</v>
          </cell>
          <cell r="AJ19">
            <v>512425</v>
          </cell>
          <cell r="AK19">
            <v>123966</v>
          </cell>
          <cell r="AL19">
            <v>127436</v>
          </cell>
          <cell r="AM19">
            <v>129571</v>
          </cell>
          <cell r="AN19">
            <v>131997</v>
          </cell>
          <cell r="AO19">
            <v>512970</v>
          </cell>
          <cell r="AP19">
            <v>129526</v>
          </cell>
          <cell r="AQ19">
            <v>129515</v>
          </cell>
          <cell r="AR19">
            <v>131597</v>
          </cell>
          <cell r="AS19">
            <v>137482</v>
          </cell>
          <cell r="AT19">
            <v>528120</v>
          </cell>
          <cell r="AU19">
            <v>129093</v>
          </cell>
          <cell r="AV19">
            <v>139768</v>
          </cell>
          <cell r="AW19">
            <v>113852</v>
          </cell>
          <cell r="AX19">
            <v>123500</v>
          </cell>
          <cell r="AY19">
            <v>506213</v>
          </cell>
          <cell r="AZ19">
            <v>132528</v>
          </cell>
          <cell r="BA19">
            <v>141650</v>
          </cell>
          <cell r="BB19">
            <v>142586</v>
          </cell>
          <cell r="BC19">
            <v>149468</v>
          </cell>
          <cell r="BD19">
            <v>566232</v>
          </cell>
          <cell r="BE19">
            <v>139268</v>
          </cell>
          <cell r="BF19">
            <v>132470</v>
          </cell>
          <cell r="BG19">
            <v>133631</v>
          </cell>
          <cell r="BH19">
            <v>146029</v>
          </cell>
          <cell r="BI19">
            <v>551398</v>
          </cell>
          <cell r="BJ19">
            <v>140328.56982685116</v>
          </cell>
          <cell r="BK19">
            <v>148478.12099771103</v>
          </cell>
          <cell r="BL19">
            <v>150595.19280623234</v>
          </cell>
          <cell r="BM19">
            <v>155050.49786461919</v>
          </cell>
          <cell r="BN19">
            <v>594452.3814954136</v>
          </cell>
          <cell r="BO19">
            <v>154161.21570924687</v>
          </cell>
          <cell r="BP19">
            <v>154828.10906479514</v>
          </cell>
          <cell r="BQ19">
            <v>155498.47524246687</v>
          </cell>
          <cell r="BR19">
            <v>156172.32737207616</v>
          </cell>
          <cell r="BS19">
            <v>620660.12738858513</v>
          </cell>
          <cell r="BT19">
            <v>158400.73962520089</v>
          </cell>
          <cell r="BU19">
            <v>160789.7603659739</v>
          </cell>
          <cell r="BV19">
            <v>163184.04635356713</v>
          </cell>
          <cell r="BW19">
            <v>165583.61537945337</v>
          </cell>
          <cell r="BX19">
            <v>647958.16172419535</v>
          </cell>
        </row>
        <row r="21">
          <cell r="A21" t="str">
            <v>SERVICE OPERATIONS</v>
          </cell>
        </row>
        <row r="22">
          <cell r="A22" t="str">
            <v>Gross Contractor Revenue</v>
          </cell>
          <cell r="Y22">
            <v>0</v>
          </cell>
          <cell r="AE22">
            <v>0</v>
          </cell>
          <cell r="AF22">
            <v>45933</v>
          </cell>
          <cell r="AG22">
            <v>40980</v>
          </cell>
          <cell r="AH22">
            <v>47783</v>
          </cell>
          <cell r="AI22">
            <v>59753</v>
          </cell>
          <cell r="AJ22">
            <v>194449</v>
          </cell>
          <cell r="AK22">
            <v>50142</v>
          </cell>
          <cell r="AL22">
            <v>67519</v>
          </cell>
          <cell r="AM22">
            <v>79018</v>
          </cell>
          <cell r="AN22">
            <v>90010</v>
          </cell>
          <cell r="AO22">
            <v>286689</v>
          </cell>
          <cell r="AP22">
            <v>82723</v>
          </cell>
          <cell r="AQ22">
            <v>89733</v>
          </cell>
          <cell r="AR22">
            <v>90932</v>
          </cell>
          <cell r="AS22">
            <v>93745</v>
          </cell>
          <cell r="AT22">
            <v>357133</v>
          </cell>
          <cell r="AU22">
            <v>86714.125</v>
          </cell>
          <cell r="AV22">
            <v>101808</v>
          </cell>
          <cell r="AW22">
            <v>103879</v>
          </cell>
          <cell r="AX22">
            <v>87771.875</v>
          </cell>
          <cell r="AY22">
            <v>380173</v>
          </cell>
          <cell r="AZ22">
            <v>69549</v>
          </cell>
          <cell r="BA22">
            <v>54061</v>
          </cell>
          <cell r="BB22">
            <v>100314</v>
          </cell>
          <cell r="BC22">
            <v>84638</v>
          </cell>
          <cell r="BD22">
            <v>308562</v>
          </cell>
        </row>
        <row r="23">
          <cell r="A23" t="str">
            <v>Gross Contractor Costs</v>
          </cell>
          <cell r="AF23">
            <v>-40219</v>
          </cell>
          <cell r="AG23">
            <v>-36658</v>
          </cell>
          <cell r="AH23">
            <v>-42426</v>
          </cell>
          <cell r="AI23">
            <v>-53256</v>
          </cell>
          <cell r="AJ23">
            <v>-172559</v>
          </cell>
          <cell r="AK23">
            <v>-44880</v>
          </cell>
          <cell r="AL23">
            <v>-60554</v>
          </cell>
          <cell r="AM23">
            <v>-71420</v>
          </cell>
          <cell r="AN23">
            <v>-83076</v>
          </cell>
          <cell r="AO23">
            <v>-259930</v>
          </cell>
          <cell r="AP23">
            <v>-76036</v>
          </cell>
          <cell r="AQ23">
            <v>-83242</v>
          </cell>
          <cell r="AR23">
            <v>-84368</v>
          </cell>
          <cell r="AS23">
            <v>-85899</v>
          </cell>
          <cell r="AT23">
            <v>-329545</v>
          </cell>
          <cell r="AU23">
            <v>-79776.99500000001</v>
          </cell>
          <cell r="AV23">
            <v>-94597</v>
          </cell>
          <cell r="AW23">
            <v>-93750</v>
          </cell>
          <cell r="AX23">
            <v>-80139.005000000005</v>
          </cell>
          <cell r="AY23">
            <v>-348263</v>
          </cell>
          <cell r="AZ23">
            <v>-64208</v>
          </cell>
          <cell r="BA23">
            <v>-48798</v>
          </cell>
          <cell r="BB23">
            <v>-93555</v>
          </cell>
          <cell r="BC23">
            <v>-78072</v>
          </cell>
          <cell r="BD23">
            <v>-284633</v>
          </cell>
        </row>
        <row r="24">
          <cell r="A24" t="str">
            <v xml:space="preserve">  Net Contractor Revenue</v>
          </cell>
          <cell r="C24">
            <v>462</v>
          </cell>
          <cell r="D24">
            <v>1712</v>
          </cell>
          <cell r="E24">
            <v>2325</v>
          </cell>
          <cell r="F24">
            <v>2654</v>
          </cell>
          <cell r="G24">
            <v>7153</v>
          </cell>
          <cell r="I24">
            <v>895</v>
          </cell>
          <cell r="J24">
            <v>1820</v>
          </cell>
          <cell r="K24">
            <v>2815</v>
          </cell>
          <cell r="L24">
            <v>1665</v>
          </cell>
          <cell r="M24">
            <v>7195</v>
          </cell>
          <cell r="O24">
            <v>5036</v>
          </cell>
          <cell r="P24">
            <v>3582</v>
          </cell>
          <cell r="Q24">
            <v>3871</v>
          </cell>
          <cell r="R24">
            <v>5383</v>
          </cell>
          <cell r="S24">
            <v>17872</v>
          </cell>
          <cell r="U24">
            <v>5376</v>
          </cell>
          <cell r="V24">
            <v>10953</v>
          </cell>
          <cell r="W24">
            <v>8493</v>
          </cell>
          <cell r="X24">
            <v>7938</v>
          </cell>
          <cell r="Y24">
            <v>32760</v>
          </cell>
          <cell r="AF24">
            <v>5714</v>
          </cell>
          <cell r="AG24">
            <v>4322</v>
          </cell>
          <cell r="AH24">
            <v>5357</v>
          </cell>
          <cell r="AI24">
            <v>6497</v>
          </cell>
          <cell r="AJ24">
            <v>21890</v>
          </cell>
          <cell r="AK24">
            <v>5262</v>
          </cell>
          <cell r="AL24">
            <v>6965</v>
          </cell>
          <cell r="AM24">
            <v>7598</v>
          </cell>
          <cell r="AN24">
            <v>6934</v>
          </cell>
          <cell r="AO24">
            <v>26759</v>
          </cell>
          <cell r="AP24">
            <v>6687</v>
          </cell>
          <cell r="AQ24">
            <v>6491</v>
          </cell>
          <cell r="AR24">
            <v>6564</v>
          </cell>
          <cell r="AS24">
            <v>7846</v>
          </cell>
          <cell r="AT24">
            <v>27588</v>
          </cell>
          <cell r="AU24">
            <v>6937.1299999999901</v>
          </cell>
          <cell r="AV24">
            <v>7211</v>
          </cell>
          <cell r="AW24">
            <v>10129</v>
          </cell>
          <cell r="AX24">
            <v>7632.8699999999953</v>
          </cell>
          <cell r="AY24">
            <v>31909.999999999985</v>
          </cell>
          <cell r="AZ24">
            <v>5341</v>
          </cell>
          <cell r="BA24">
            <v>5263</v>
          </cell>
          <cell r="BB24">
            <v>6759</v>
          </cell>
          <cell r="BC24">
            <v>6566</v>
          </cell>
          <cell r="BD24">
            <v>23929</v>
          </cell>
          <cell r="BE24">
            <v>5469</v>
          </cell>
          <cell r="BF24">
            <v>7571</v>
          </cell>
          <cell r="BG24">
            <v>10200</v>
          </cell>
          <cell r="BH24">
            <v>9325</v>
          </cell>
          <cell r="BI24">
            <v>32565</v>
          </cell>
          <cell r="BJ24">
            <v>8141.25</v>
          </cell>
          <cell r="BK24">
            <v>8141.25</v>
          </cell>
          <cell r="BL24">
            <v>8141.25</v>
          </cell>
          <cell r="BM24">
            <v>8141.25</v>
          </cell>
          <cell r="BN24">
            <v>32565</v>
          </cell>
          <cell r="BO24">
            <v>8385.4875000000011</v>
          </cell>
          <cell r="BP24">
            <v>8385.4875000000011</v>
          </cell>
          <cell r="BQ24">
            <v>8385.4875000000011</v>
          </cell>
          <cell r="BR24">
            <v>8385.4875000000011</v>
          </cell>
          <cell r="BS24">
            <v>33541.950000000004</v>
          </cell>
          <cell r="BT24">
            <v>8385.4875000000011</v>
          </cell>
          <cell r="BU24">
            <v>8385.4875000000011</v>
          </cell>
          <cell r="BV24">
            <v>8385.4875000000011</v>
          </cell>
          <cell r="BW24">
            <v>8385.4875000000011</v>
          </cell>
          <cell r="BX24">
            <v>33541.950000000004</v>
          </cell>
          <cell r="CG24" t="str">
            <v>mstag:revenueFromNonPropertyActivities</v>
          </cell>
          <cell r="CH24">
            <v>3</v>
          </cell>
          <cell r="CI24" t="str">
            <v>ISO4217:USD</v>
          </cell>
          <cell r="CJ24" t="b">
            <v>0</v>
          </cell>
          <cell r="CK24" t="b">
            <v>0</v>
          </cell>
        </row>
        <row r="25">
          <cell r="A25" t="str">
            <v>Gain on Sale of Service Operations Properties</v>
          </cell>
          <cell r="AA25">
            <v>9288</v>
          </cell>
          <cell r="AB25">
            <v>9227</v>
          </cell>
          <cell r="AC25">
            <v>11840</v>
          </cell>
          <cell r="AD25">
            <v>4760</v>
          </cell>
          <cell r="AF25">
            <v>20393</v>
          </cell>
          <cell r="AG25">
            <v>7536</v>
          </cell>
          <cell r="AH25">
            <v>794</v>
          </cell>
          <cell r="AI25">
            <v>705</v>
          </cell>
          <cell r="AJ25">
            <v>29428</v>
          </cell>
          <cell r="AK25">
            <v>-193</v>
          </cell>
          <cell r="AL25">
            <v>910</v>
          </cell>
          <cell r="AM25">
            <v>122</v>
          </cell>
          <cell r="AN25">
            <v>14647</v>
          </cell>
          <cell r="AO25">
            <v>15486</v>
          </cell>
          <cell r="AP25">
            <v>579</v>
          </cell>
          <cell r="AQ25">
            <v>4051</v>
          </cell>
          <cell r="AR25">
            <v>4794</v>
          </cell>
          <cell r="AS25">
            <v>15578</v>
          </cell>
          <cell r="AT25">
            <v>25002</v>
          </cell>
          <cell r="AU25">
            <v>8113.8700000000099</v>
          </cell>
          <cell r="AV25">
            <v>12038</v>
          </cell>
          <cell r="AW25">
            <v>8092</v>
          </cell>
          <cell r="AX25">
            <v>2235.1300000000047</v>
          </cell>
          <cell r="AY25">
            <v>30479.000000000015</v>
          </cell>
          <cell r="AZ25">
            <v>722</v>
          </cell>
          <cell r="BA25">
            <v>561</v>
          </cell>
          <cell r="BB25">
            <v>11665</v>
          </cell>
          <cell r="BC25">
            <v>36442</v>
          </cell>
          <cell r="BD25">
            <v>49390</v>
          </cell>
          <cell r="BE25">
            <v>2864</v>
          </cell>
          <cell r="BF25">
            <v>6813</v>
          </cell>
          <cell r="BG25">
            <v>1116</v>
          </cell>
          <cell r="BH25">
            <v>23889</v>
          </cell>
          <cell r="BI25">
            <v>34682</v>
          </cell>
          <cell r="BJ25">
            <v>7392.0000000000009</v>
          </cell>
          <cell r="BK25">
            <v>7392.0000000000009</v>
          </cell>
          <cell r="BL25">
            <v>7392.0000000000009</v>
          </cell>
          <cell r="BM25">
            <v>7392.0000000000009</v>
          </cell>
          <cell r="BN25">
            <v>29568.000000000004</v>
          </cell>
          <cell r="BO25">
            <v>16526.25</v>
          </cell>
          <cell r="BP25">
            <v>16380.000000000002</v>
          </cell>
          <cell r="BQ25">
            <v>16380.000000000002</v>
          </cell>
          <cell r="BR25">
            <v>16380.000000000002</v>
          </cell>
          <cell r="BS25">
            <v>65666.25</v>
          </cell>
          <cell r="BT25">
            <v>19406.249999999996</v>
          </cell>
          <cell r="BU25">
            <v>18900</v>
          </cell>
          <cell r="BV25">
            <v>18900</v>
          </cell>
          <cell r="BW25">
            <v>18900</v>
          </cell>
          <cell r="BX25">
            <v>76106.25</v>
          </cell>
          <cell r="CG25" t="str">
            <v>mstag:profitsFromSaleOfTradingProperties</v>
          </cell>
          <cell r="CH25">
            <v>3</v>
          </cell>
          <cell r="CI25" t="str">
            <v>ISO4217:USD</v>
          </cell>
          <cell r="CJ25" t="b">
            <v>0</v>
          </cell>
          <cell r="CK25" t="b">
            <v>0</v>
          </cell>
        </row>
        <row r="26">
          <cell r="A26" t="str">
            <v>Service Fee Revenue</v>
          </cell>
          <cell r="AF26">
            <v>3199</v>
          </cell>
          <cell r="AG26">
            <v>3429</v>
          </cell>
          <cell r="AH26">
            <v>3817</v>
          </cell>
          <cell r="AI26">
            <v>3856</v>
          </cell>
          <cell r="AJ26">
            <v>14301</v>
          </cell>
          <cell r="AK26">
            <v>4094</v>
          </cell>
          <cell r="AL26">
            <v>3448</v>
          </cell>
          <cell r="AM26">
            <v>3409</v>
          </cell>
          <cell r="AN26">
            <v>3780</v>
          </cell>
          <cell r="AO26">
            <v>14731</v>
          </cell>
          <cell r="AP26">
            <v>3935</v>
          </cell>
          <cell r="AQ26">
            <v>3855</v>
          </cell>
          <cell r="AR26">
            <v>3742</v>
          </cell>
          <cell r="AS26">
            <v>3468</v>
          </cell>
          <cell r="AT26">
            <v>15000</v>
          </cell>
          <cell r="AU26">
            <v>3879</v>
          </cell>
          <cell r="AV26">
            <v>4153</v>
          </cell>
          <cell r="AW26">
            <v>4092</v>
          </cell>
          <cell r="AX26">
            <v>3801</v>
          </cell>
          <cell r="AY26">
            <v>15925</v>
          </cell>
          <cell r="AZ26">
            <v>3787</v>
          </cell>
          <cell r="BA26">
            <v>3504</v>
          </cell>
          <cell r="BB26">
            <v>3335</v>
          </cell>
          <cell r="BC26">
            <v>4919</v>
          </cell>
          <cell r="BD26">
            <v>15545</v>
          </cell>
          <cell r="BE26">
            <v>6397</v>
          </cell>
          <cell r="BF26">
            <v>7655</v>
          </cell>
          <cell r="BG26">
            <v>8957</v>
          </cell>
          <cell r="BH26">
            <v>9102</v>
          </cell>
          <cell r="BI26">
            <v>32111</v>
          </cell>
          <cell r="BJ26">
            <v>8402</v>
          </cell>
          <cell r="BK26">
            <v>8402</v>
          </cell>
          <cell r="BL26">
            <v>8722</v>
          </cell>
          <cell r="BM26">
            <v>8722</v>
          </cell>
          <cell r="BN26">
            <v>34248</v>
          </cell>
          <cell r="BO26">
            <v>9122</v>
          </cell>
          <cell r="BP26">
            <v>9122</v>
          </cell>
          <cell r="BQ26">
            <v>9442</v>
          </cell>
          <cell r="BR26">
            <v>9442</v>
          </cell>
          <cell r="BS26">
            <v>37128</v>
          </cell>
          <cell r="BT26">
            <v>9442</v>
          </cell>
          <cell r="BU26">
            <v>9442</v>
          </cell>
          <cell r="BV26">
            <v>9722</v>
          </cell>
          <cell r="BW26">
            <v>9722</v>
          </cell>
          <cell r="BX26">
            <v>38328</v>
          </cell>
          <cell r="CG26" t="str">
            <v>mstag:profitsFromThirdPartyPropertyManagement</v>
          </cell>
          <cell r="CH26">
            <v>3</v>
          </cell>
          <cell r="CI26" t="str">
            <v>ISO4217:USD</v>
          </cell>
          <cell r="CJ26" t="b">
            <v>0</v>
          </cell>
          <cell r="CK26" t="b">
            <v>0</v>
          </cell>
        </row>
        <row r="27">
          <cell r="A27" t="str">
            <v>Other Income</v>
          </cell>
          <cell r="AF27">
            <v>215</v>
          </cell>
          <cell r="AG27">
            <v>317</v>
          </cell>
          <cell r="AH27">
            <v>1856</v>
          </cell>
          <cell r="AI27">
            <v>583</v>
          </cell>
          <cell r="AJ27">
            <v>2971</v>
          </cell>
          <cell r="AK27">
            <v>259</v>
          </cell>
          <cell r="AL27">
            <v>338</v>
          </cell>
          <cell r="AM27">
            <v>1564</v>
          </cell>
          <cell r="AN27">
            <v>319</v>
          </cell>
          <cell r="AO27">
            <v>2480</v>
          </cell>
          <cell r="AP27">
            <v>234</v>
          </cell>
          <cell r="AQ27">
            <v>342</v>
          </cell>
          <cell r="AR27">
            <v>2334</v>
          </cell>
          <cell r="AS27">
            <v>303</v>
          </cell>
          <cell r="AT27">
            <v>3213</v>
          </cell>
          <cell r="AU27">
            <v>2765</v>
          </cell>
          <cell r="AV27">
            <v>346</v>
          </cell>
          <cell r="AW27">
            <v>271</v>
          </cell>
          <cell r="AX27">
            <v>245</v>
          </cell>
          <cell r="AY27">
            <v>3627</v>
          </cell>
          <cell r="AZ27">
            <v>156</v>
          </cell>
          <cell r="BA27">
            <v>390</v>
          </cell>
          <cell r="BB27">
            <v>715</v>
          </cell>
          <cell r="BC27">
            <v>0</v>
          </cell>
          <cell r="BD27">
            <v>1261</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CG27" t="str">
            <v>mstag:revenueFromNonPropertyActivities</v>
          </cell>
          <cell r="CH27">
            <v>3</v>
          </cell>
          <cell r="CI27" t="str">
            <v>ISO4217:USD</v>
          </cell>
          <cell r="CJ27" t="b">
            <v>0</v>
          </cell>
          <cell r="CK27" t="b">
            <v>0</v>
          </cell>
        </row>
        <row r="28">
          <cell r="A28" t="str">
            <v>Operating Expenses</v>
          </cell>
          <cell r="AF28">
            <v>-14006</v>
          </cell>
          <cell r="AG28">
            <v>-7993</v>
          </cell>
          <cell r="AH28">
            <v>-8341</v>
          </cell>
          <cell r="AI28">
            <v>-7970</v>
          </cell>
          <cell r="AJ28">
            <v>-38310</v>
          </cell>
          <cell r="AK28">
            <v>-7369</v>
          </cell>
          <cell r="AL28">
            <v>-6778</v>
          </cell>
          <cell r="AM28">
            <v>-8222</v>
          </cell>
          <cell r="AN28">
            <v>-15266</v>
          </cell>
          <cell r="AO28">
            <v>-37635</v>
          </cell>
          <cell r="AP28">
            <v>-9393</v>
          </cell>
          <cell r="AQ28">
            <v>-10016</v>
          </cell>
          <cell r="AR28">
            <v>-11093</v>
          </cell>
          <cell r="AS28">
            <v>-15880</v>
          </cell>
          <cell r="AT28">
            <v>-46382</v>
          </cell>
          <cell r="AU28">
            <v>-10775</v>
          </cell>
          <cell r="AV28">
            <v>-11485</v>
          </cell>
          <cell r="AW28">
            <v>-10588</v>
          </cell>
          <cell r="AX28">
            <v>-8074</v>
          </cell>
          <cell r="AY28">
            <v>-40922</v>
          </cell>
          <cell r="AZ28">
            <v>-5556</v>
          </cell>
          <cell r="BA28">
            <v>-6242</v>
          </cell>
          <cell r="BB28">
            <v>-11923</v>
          </cell>
          <cell r="BC28">
            <v>-13208</v>
          </cell>
          <cell r="BD28">
            <v>-36929</v>
          </cell>
          <cell r="BE28">
            <v>-7796</v>
          </cell>
          <cell r="BF28">
            <v>-10021</v>
          </cell>
          <cell r="BG28">
            <v>-12972</v>
          </cell>
          <cell r="BH28">
            <v>-16535</v>
          </cell>
          <cell r="BI28">
            <v>-47324</v>
          </cell>
          <cell r="BJ28">
            <v>-9352.7119470176767</v>
          </cell>
          <cell r="BK28">
            <v>-9352.7119470176767</v>
          </cell>
          <cell r="BL28">
            <v>-9477.7521209471597</v>
          </cell>
          <cell r="BM28">
            <v>-9477.7521209471597</v>
          </cell>
          <cell r="BN28">
            <v>-37660.928135929673</v>
          </cell>
          <cell r="BO28">
            <v>-13298.701426469894</v>
          </cell>
          <cell r="BP28">
            <v>-13241.554159478685</v>
          </cell>
          <cell r="BQ28">
            <v>-13366.594333408168</v>
          </cell>
          <cell r="BR28">
            <v>-13366.594333408168</v>
          </cell>
          <cell r="BS28">
            <v>-53273.444252764915</v>
          </cell>
          <cell r="BT28">
            <v>-14549.10316576472</v>
          </cell>
          <cell r="BU28">
            <v>-14351.285703102847</v>
          </cell>
          <cell r="BV28">
            <v>-14460.695855291144</v>
          </cell>
          <cell r="BW28">
            <v>-14460.695855291144</v>
          </cell>
          <cell r="BX28">
            <v>-57821.780579449856</v>
          </cell>
          <cell r="CG28" t="str">
            <v>mstag:expensesFromNonPropertyActivities</v>
          </cell>
          <cell r="CH28">
            <v>3</v>
          </cell>
          <cell r="CI28" t="str">
            <v>ISO4217:USD</v>
          </cell>
          <cell r="CJ28" t="b">
            <v>1</v>
          </cell>
          <cell r="CK28" t="b">
            <v>0</v>
          </cell>
        </row>
        <row r="29">
          <cell r="A29" t="str">
            <v>General and Administrative</v>
          </cell>
          <cell r="C29">
            <v>-1316</v>
          </cell>
          <cell r="D29">
            <v>-1574</v>
          </cell>
          <cell r="E29">
            <v>-1457</v>
          </cell>
          <cell r="F29">
            <v>-2183</v>
          </cell>
          <cell r="G29">
            <v>-6530</v>
          </cell>
          <cell r="I29">
            <v>-2340</v>
          </cell>
          <cell r="J29">
            <v>-3103</v>
          </cell>
          <cell r="K29">
            <v>-2792</v>
          </cell>
          <cell r="L29">
            <v>-3338</v>
          </cell>
          <cell r="M29">
            <v>-11573</v>
          </cell>
          <cell r="O29">
            <v>-3615</v>
          </cell>
          <cell r="P29">
            <v>-3496</v>
          </cell>
          <cell r="Q29">
            <v>-4626</v>
          </cell>
          <cell r="R29">
            <v>-4819</v>
          </cell>
          <cell r="S29">
            <v>-16556</v>
          </cell>
          <cell r="U29">
            <v>-5164</v>
          </cell>
          <cell r="V29">
            <v>-4510</v>
          </cell>
          <cell r="W29">
            <v>-5825</v>
          </cell>
          <cell r="X29">
            <v>-5645</v>
          </cell>
          <cell r="Y29">
            <v>-21144</v>
          </cell>
          <cell r="AA29">
            <v>-4027</v>
          </cell>
          <cell r="AB29">
            <v>-4688</v>
          </cell>
          <cell r="AC29">
            <v>-1437</v>
          </cell>
          <cell r="AD29">
            <v>-5407</v>
          </cell>
          <cell r="AE29">
            <v>-15559</v>
          </cell>
          <cell r="AF29">
            <v>-7237</v>
          </cell>
          <cell r="AG29">
            <v>-7224</v>
          </cell>
          <cell r="AH29">
            <v>-6804</v>
          </cell>
          <cell r="AI29">
            <v>-4088</v>
          </cell>
          <cell r="AJ29">
            <v>-25353</v>
          </cell>
          <cell r="AK29">
            <v>-6272</v>
          </cell>
          <cell r="AL29">
            <v>-5081</v>
          </cell>
          <cell r="AM29">
            <v>-4892</v>
          </cell>
          <cell r="AN29">
            <v>-5915</v>
          </cell>
          <cell r="AO29">
            <v>-22160</v>
          </cell>
          <cell r="AP29">
            <v>-8323</v>
          </cell>
          <cell r="AQ29">
            <v>-5718</v>
          </cell>
          <cell r="AR29">
            <v>-6892</v>
          </cell>
          <cell r="AS29">
            <v>-5465</v>
          </cell>
          <cell r="AT29">
            <v>-26398</v>
          </cell>
          <cell r="AU29">
            <v>-7581</v>
          </cell>
          <cell r="AV29">
            <v>-6280</v>
          </cell>
          <cell r="AW29">
            <v>-5250</v>
          </cell>
          <cell r="AX29">
            <v>-8773</v>
          </cell>
          <cell r="AY29">
            <v>-27884</v>
          </cell>
          <cell r="AZ29">
            <v>-13947</v>
          </cell>
          <cell r="BA29">
            <v>-6965</v>
          </cell>
          <cell r="BB29">
            <v>-6804</v>
          </cell>
          <cell r="BC29">
            <v>-8164</v>
          </cell>
          <cell r="BD29">
            <v>-35880</v>
          </cell>
          <cell r="BE29">
            <v>-13467</v>
          </cell>
          <cell r="BF29">
            <v>-10606</v>
          </cell>
          <cell r="BG29">
            <v>-3847</v>
          </cell>
          <cell r="BH29">
            <v>-9768</v>
          </cell>
          <cell r="BI29">
            <v>-37688</v>
          </cell>
          <cell r="BJ29">
            <v>-9822.9998878795832</v>
          </cell>
          <cell r="BK29">
            <v>-10393.468469839772</v>
          </cell>
          <cell r="BL29">
            <v>-10541.663496436266</v>
          </cell>
          <cell r="BM29">
            <v>-10853.534850523345</v>
          </cell>
          <cell r="BN29">
            <v>-41611.666704678966</v>
          </cell>
          <cell r="BO29">
            <v>-10328.801452519541</v>
          </cell>
          <cell r="BP29">
            <v>-10373.483307341274</v>
          </cell>
          <cell r="BQ29">
            <v>-10418.397841245282</v>
          </cell>
          <cell r="BR29">
            <v>-10463.545933929103</v>
          </cell>
          <cell r="BS29">
            <v>-41584.228535035196</v>
          </cell>
          <cell r="BT29">
            <v>-10296.048075638058</v>
          </cell>
          <cell r="BU29">
            <v>-10451.334423788303</v>
          </cell>
          <cell r="BV29">
            <v>-10606.963012981863</v>
          </cell>
          <cell r="BW29">
            <v>-10762.934999664471</v>
          </cell>
          <cell r="BX29">
            <v>-42117.280512072699</v>
          </cell>
          <cell r="CG29" t="str">
            <v>mstag:generalAndAdministrativeExpensesByNature</v>
          </cell>
          <cell r="CH29">
            <v>3</v>
          </cell>
          <cell r="CI29" t="str">
            <v>ISO4217:USD</v>
          </cell>
          <cell r="CJ29" t="b">
            <v>1</v>
          </cell>
          <cell r="CK29" t="b">
            <v>0</v>
          </cell>
        </row>
        <row r="31">
          <cell r="A31" t="str">
            <v>EBITDA</v>
          </cell>
          <cell r="C31">
            <v>36393</v>
          </cell>
          <cell r="D31">
            <v>38258</v>
          </cell>
          <cell r="E31">
            <v>41630</v>
          </cell>
          <cell r="F31">
            <v>53184</v>
          </cell>
          <cell r="G31">
            <v>169465</v>
          </cell>
          <cell r="I31">
            <v>56552</v>
          </cell>
          <cell r="J31">
            <v>59904</v>
          </cell>
          <cell r="K31">
            <v>65272</v>
          </cell>
          <cell r="L31">
            <v>68844</v>
          </cell>
          <cell r="M31">
            <v>250572</v>
          </cell>
          <cell r="O31">
            <v>73965</v>
          </cell>
          <cell r="P31">
            <v>78059</v>
          </cell>
          <cell r="Q31">
            <v>118015</v>
          </cell>
          <cell r="R31">
            <v>124191</v>
          </cell>
          <cell r="S31">
            <v>394230</v>
          </cell>
          <cell r="U31">
            <v>127584</v>
          </cell>
          <cell r="V31">
            <v>137523</v>
          </cell>
          <cell r="W31">
            <v>139273</v>
          </cell>
          <cell r="X31">
            <v>130059</v>
          </cell>
          <cell r="Y31">
            <v>534439</v>
          </cell>
          <cell r="AA31">
            <v>140604</v>
          </cell>
          <cell r="AB31">
            <v>138505</v>
          </cell>
          <cell r="AC31">
            <v>139237</v>
          </cell>
          <cell r="AD31">
            <v>132458</v>
          </cell>
          <cell r="AE31">
            <v>515689</v>
          </cell>
          <cell r="AF31">
            <v>132638</v>
          </cell>
          <cell r="AG31">
            <v>131355</v>
          </cell>
          <cell r="AH31">
            <v>126668</v>
          </cell>
          <cell r="AI31">
            <v>126691</v>
          </cell>
          <cell r="AJ31">
            <v>517352</v>
          </cell>
          <cell r="AK31">
            <v>119747</v>
          </cell>
          <cell r="AL31">
            <v>127238</v>
          </cell>
          <cell r="AM31">
            <v>129150</v>
          </cell>
          <cell r="AN31">
            <v>136496</v>
          </cell>
          <cell r="AO31">
            <v>512631</v>
          </cell>
          <cell r="AP31">
            <v>123245</v>
          </cell>
          <cell r="AQ31">
            <v>128520</v>
          </cell>
          <cell r="AR31">
            <v>131046</v>
          </cell>
          <cell r="AS31">
            <v>143332</v>
          </cell>
          <cell r="AT31">
            <v>526143</v>
          </cell>
          <cell r="AU31">
            <v>132432</v>
          </cell>
          <cell r="AV31">
            <v>145751</v>
          </cell>
          <cell r="AW31">
            <v>120598</v>
          </cell>
          <cell r="AX31">
            <v>120567</v>
          </cell>
          <cell r="AY31">
            <v>519348</v>
          </cell>
          <cell r="AZ31">
            <v>123031</v>
          </cell>
          <cell r="BA31">
            <v>138161</v>
          </cell>
          <cell r="BB31">
            <v>146333</v>
          </cell>
          <cell r="BC31">
            <v>176023</v>
          </cell>
          <cell r="BD31">
            <v>583548</v>
          </cell>
          <cell r="BE31">
            <v>132735</v>
          </cell>
          <cell r="BF31">
            <v>133882</v>
          </cell>
          <cell r="BG31">
            <v>137085</v>
          </cell>
          <cell r="BH31">
            <v>162042</v>
          </cell>
          <cell r="BI31">
            <v>565744</v>
          </cell>
          <cell r="BJ31">
            <v>145088.1079919539</v>
          </cell>
          <cell r="BK31">
            <v>152667.19058085358</v>
          </cell>
          <cell r="BL31">
            <v>154831.02718884891</v>
          </cell>
          <cell r="BM31">
            <v>158974.46089314867</v>
          </cell>
          <cell r="BN31">
            <v>611560.78665480507</v>
          </cell>
          <cell r="BO31">
            <v>164567.45033025744</v>
          </cell>
          <cell r="BP31">
            <v>165100.55909797517</v>
          </cell>
          <cell r="BQ31">
            <v>165920.97056781343</v>
          </cell>
          <cell r="BR31">
            <v>166549.67460473889</v>
          </cell>
          <cell r="BS31">
            <v>662138.65460078488</v>
          </cell>
          <cell r="BT31">
            <v>170789.3258837981</v>
          </cell>
          <cell r="BU31">
            <v>172714.62773908276</v>
          </cell>
          <cell r="BV31">
            <v>175123.87498529413</v>
          </cell>
          <cell r="BW31">
            <v>177367.47202449775</v>
          </cell>
          <cell r="BX31">
            <v>695995.30063267273</v>
          </cell>
        </row>
        <row r="33">
          <cell r="A33" t="str">
            <v>Interest Expense</v>
          </cell>
          <cell r="C33">
            <v>8946</v>
          </cell>
          <cell r="D33">
            <v>9349</v>
          </cell>
          <cell r="E33">
            <v>9271</v>
          </cell>
          <cell r="F33">
            <v>11706</v>
          </cell>
          <cell r="G33">
            <v>39272</v>
          </cell>
          <cell r="I33">
            <v>12879</v>
          </cell>
          <cell r="J33">
            <v>14346</v>
          </cell>
          <cell r="K33">
            <v>16701</v>
          </cell>
          <cell r="L33">
            <v>16291</v>
          </cell>
          <cell r="M33">
            <v>60217</v>
          </cell>
          <cell r="O33">
            <v>15991</v>
          </cell>
          <cell r="P33">
            <v>17129</v>
          </cell>
          <cell r="Q33">
            <v>25960</v>
          </cell>
          <cell r="R33">
            <v>27677</v>
          </cell>
          <cell r="S33">
            <v>86757</v>
          </cell>
          <cell r="U33">
            <v>32681</v>
          </cell>
          <cell r="V33">
            <v>36253</v>
          </cell>
          <cell r="W33">
            <v>36376</v>
          </cell>
          <cell r="X33">
            <v>28638</v>
          </cell>
          <cell r="Y33">
            <v>133948</v>
          </cell>
          <cell r="AA33">
            <v>29613</v>
          </cell>
          <cell r="AB33">
            <v>28671</v>
          </cell>
          <cell r="AC33">
            <v>28042</v>
          </cell>
          <cell r="AD33">
            <v>27504</v>
          </cell>
          <cell r="AE33">
            <v>113830</v>
          </cell>
          <cell r="AF33">
            <v>27720</v>
          </cell>
          <cell r="AG33">
            <v>27918</v>
          </cell>
          <cell r="AH33">
            <v>29797</v>
          </cell>
          <cell r="AI33">
            <v>32391</v>
          </cell>
          <cell r="AJ33">
            <v>117826</v>
          </cell>
          <cell r="AK33">
            <v>32713</v>
          </cell>
          <cell r="AL33">
            <v>34767</v>
          </cell>
          <cell r="AM33">
            <v>31469</v>
          </cell>
          <cell r="AN33">
            <v>31715</v>
          </cell>
          <cell r="AO33">
            <v>130664</v>
          </cell>
          <cell r="AP33">
            <v>33222</v>
          </cell>
          <cell r="AQ33">
            <v>32682</v>
          </cell>
          <cell r="AR33">
            <v>34423</v>
          </cell>
          <cell r="AS33">
            <v>35658</v>
          </cell>
          <cell r="AT33">
            <v>135985</v>
          </cell>
          <cell r="AU33">
            <v>35226</v>
          </cell>
          <cell r="AV33">
            <v>35921</v>
          </cell>
          <cell r="AW33">
            <v>31522</v>
          </cell>
          <cell r="AX33">
            <v>30807</v>
          </cell>
          <cell r="AY33">
            <v>133476</v>
          </cell>
          <cell r="AZ33">
            <v>38655</v>
          </cell>
          <cell r="BA33">
            <v>45467</v>
          </cell>
          <cell r="BB33">
            <v>50173</v>
          </cell>
          <cell r="BC33">
            <v>49302</v>
          </cell>
          <cell r="BD33">
            <v>183597</v>
          </cell>
          <cell r="BE33">
            <v>45704</v>
          </cell>
          <cell r="BF33">
            <v>39207</v>
          </cell>
          <cell r="BG33">
            <v>42390</v>
          </cell>
          <cell r="BH33">
            <v>43643</v>
          </cell>
          <cell r="BI33">
            <v>170944</v>
          </cell>
          <cell r="BJ33">
            <v>44009.228300426985</v>
          </cell>
          <cell r="BK33">
            <v>45866.523680445956</v>
          </cell>
          <cell r="BL33">
            <v>48587.975554848053</v>
          </cell>
          <cell r="BM33">
            <v>50389.380790810894</v>
          </cell>
          <cell r="BN33">
            <v>188853.10832653189</v>
          </cell>
          <cell r="BO33">
            <v>51466.108531973267</v>
          </cell>
          <cell r="BP33">
            <v>52504.73454766292</v>
          </cell>
          <cell r="BQ33">
            <v>53589.808146117022</v>
          </cell>
          <cell r="BR33">
            <v>54715.432286809533</v>
          </cell>
          <cell r="BS33">
            <v>212276.08351256273</v>
          </cell>
          <cell r="BT33">
            <v>55950.881268408441</v>
          </cell>
          <cell r="BU33">
            <v>57314.757489859978</v>
          </cell>
          <cell r="BV33">
            <v>58734.027908408221</v>
          </cell>
          <cell r="BW33">
            <v>60185.949176152695</v>
          </cell>
          <cell r="BX33">
            <v>232185.61584282934</v>
          </cell>
          <cell r="CG33" t="str">
            <v>mstag:interestExpense</v>
          </cell>
          <cell r="CH33">
            <v>3</v>
          </cell>
          <cell r="CI33" t="str">
            <v>ISO4217:USD</v>
          </cell>
          <cell r="CJ33" t="b">
            <v>0</v>
          </cell>
          <cell r="CK33" t="b">
            <v>0</v>
          </cell>
        </row>
        <row r="34">
          <cell r="A34" t="str">
            <v>Depreciation and Amortization</v>
          </cell>
          <cell r="C34">
            <v>9499</v>
          </cell>
          <cell r="D34">
            <v>10398</v>
          </cell>
          <cell r="E34">
            <v>11037</v>
          </cell>
          <cell r="F34">
            <v>14896</v>
          </cell>
          <cell r="G34">
            <v>45830</v>
          </cell>
          <cell r="I34">
            <v>14260</v>
          </cell>
          <cell r="J34">
            <v>16525</v>
          </cell>
          <cell r="K34">
            <v>17660</v>
          </cell>
          <cell r="L34">
            <v>20321</v>
          </cell>
          <cell r="M34">
            <v>68766</v>
          </cell>
          <cell r="O34">
            <v>20454</v>
          </cell>
          <cell r="P34">
            <v>20935</v>
          </cell>
          <cell r="Q34">
            <v>32738</v>
          </cell>
          <cell r="R34">
            <v>36637</v>
          </cell>
          <cell r="S34">
            <v>110764</v>
          </cell>
          <cell r="U34">
            <v>39779</v>
          </cell>
          <cell r="V34">
            <v>39766</v>
          </cell>
          <cell r="W34">
            <v>41884</v>
          </cell>
          <cell r="X34">
            <v>39898</v>
          </cell>
          <cell r="Y34">
            <v>161327</v>
          </cell>
          <cell r="AA34">
            <v>40314</v>
          </cell>
          <cell r="AB34">
            <v>37995</v>
          </cell>
          <cell r="AC34">
            <v>38282</v>
          </cell>
          <cell r="AD34">
            <v>39497</v>
          </cell>
          <cell r="AE34">
            <v>156088</v>
          </cell>
          <cell r="AF34">
            <v>42397</v>
          </cell>
          <cell r="AG34">
            <v>42991</v>
          </cell>
          <cell r="AH34">
            <v>45074</v>
          </cell>
          <cell r="AI34">
            <v>44706</v>
          </cell>
          <cell r="AJ34">
            <v>175168</v>
          </cell>
          <cell r="AK34">
            <v>47654</v>
          </cell>
          <cell r="AL34">
            <v>46545</v>
          </cell>
          <cell r="AM34">
            <v>48159</v>
          </cell>
          <cell r="AN34">
            <v>53376</v>
          </cell>
          <cell r="AO34">
            <v>195734</v>
          </cell>
          <cell r="AP34">
            <v>52318</v>
          </cell>
          <cell r="AQ34">
            <v>51264</v>
          </cell>
          <cell r="AR34">
            <v>61447</v>
          </cell>
          <cell r="AS34">
            <v>61169</v>
          </cell>
          <cell r="AT34">
            <v>226198</v>
          </cell>
          <cell r="AU34">
            <v>62876</v>
          </cell>
          <cell r="AV34">
            <v>63789</v>
          </cell>
          <cell r="AW34">
            <v>61245</v>
          </cell>
          <cell r="AX34">
            <v>59139</v>
          </cell>
          <cell r="AY34">
            <v>247049</v>
          </cell>
          <cell r="AZ34">
            <v>60147</v>
          </cell>
          <cell r="BA34">
            <v>64333</v>
          </cell>
          <cell r="BB34">
            <v>63892</v>
          </cell>
          <cell r="BC34">
            <v>62275</v>
          </cell>
          <cell r="BD34">
            <v>250647</v>
          </cell>
          <cell r="BE34">
            <v>67739</v>
          </cell>
          <cell r="BF34">
            <v>65943</v>
          </cell>
          <cell r="BG34">
            <v>71981</v>
          </cell>
          <cell r="BH34">
            <v>69192</v>
          </cell>
          <cell r="BI34">
            <v>274855</v>
          </cell>
          <cell r="BJ34">
            <v>72831.958835823505</v>
          </cell>
          <cell r="BK34">
            <v>76814.601460257589</v>
          </cell>
          <cell r="BL34">
            <v>80175.926249376294</v>
          </cell>
          <cell r="BM34">
            <v>82025.240166531046</v>
          </cell>
          <cell r="BN34">
            <v>311847.72671198845</v>
          </cell>
          <cell r="BO34">
            <v>82928.477996938484</v>
          </cell>
          <cell r="BP34">
            <v>84694.535992771576</v>
          </cell>
          <cell r="BQ34">
            <v>86462.264532166868</v>
          </cell>
          <cell r="BR34">
            <v>88231.672302070059</v>
          </cell>
          <cell r="BS34">
            <v>342316.95082394703</v>
          </cell>
          <cell r="BT34">
            <v>89636.748458229922</v>
          </cell>
          <cell r="BU34">
            <v>91634.884565782937</v>
          </cell>
          <cell r="BV34">
            <v>93638.95044469033</v>
          </cell>
          <cell r="BW34">
            <v>95648.959179107187</v>
          </cell>
          <cell r="BX34">
            <v>370559.54264781042</v>
          </cell>
          <cell r="CG34" t="str">
            <v>mstag:depreciationInIncomeStatement</v>
          </cell>
          <cell r="CH34">
            <v>3</v>
          </cell>
          <cell r="CI34" t="str">
            <v>ISO4217:USD</v>
          </cell>
          <cell r="CJ34" t="b">
            <v>0</v>
          </cell>
          <cell r="CK34" t="b">
            <v>0</v>
          </cell>
        </row>
        <row r="35">
          <cell r="A35" t="str">
            <v>Interest Income</v>
          </cell>
          <cell r="C35">
            <v>250</v>
          </cell>
          <cell r="D35">
            <v>177</v>
          </cell>
          <cell r="E35">
            <v>795</v>
          </cell>
          <cell r="F35">
            <v>952</v>
          </cell>
          <cell r="G35">
            <v>2174</v>
          </cell>
          <cell r="I35">
            <v>189</v>
          </cell>
          <cell r="J35">
            <v>400</v>
          </cell>
          <cell r="K35">
            <v>518</v>
          </cell>
          <cell r="L35">
            <v>455</v>
          </cell>
          <cell r="M35">
            <v>1562</v>
          </cell>
          <cell r="O35">
            <v>599</v>
          </cell>
          <cell r="P35">
            <v>546</v>
          </cell>
          <cell r="Q35">
            <v>699</v>
          </cell>
          <cell r="R35">
            <v>830</v>
          </cell>
          <cell r="S35">
            <v>2674</v>
          </cell>
          <cell r="U35">
            <v>1620</v>
          </cell>
          <cell r="V35">
            <v>2283</v>
          </cell>
          <cell r="W35">
            <v>1630</v>
          </cell>
          <cell r="X35">
            <v>1333</v>
          </cell>
          <cell r="Y35">
            <v>6866</v>
          </cell>
          <cell r="AA35">
            <v>1435</v>
          </cell>
          <cell r="AB35">
            <v>1567</v>
          </cell>
          <cell r="AC35">
            <v>1587</v>
          </cell>
          <cell r="AD35">
            <v>719</v>
          </cell>
          <cell r="AE35">
            <v>5308</v>
          </cell>
          <cell r="AF35">
            <v>425</v>
          </cell>
          <cell r="AG35">
            <v>1333</v>
          </cell>
          <cell r="AH35">
            <v>931</v>
          </cell>
          <cell r="AI35">
            <v>1165</v>
          </cell>
          <cell r="AJ35">
            <v>3854</v>
          </cell>
          <cell r="AK35">
            <v>991</v>
          </cell>
          <cell r="AL35">
            <v>882</v>
          </cell>
          <cell r="AM35">
            <v>809</v>
          </cell>
          <cell r="AN35">
            <v>925</v>
          </cell>
          <cell r="AO35">
            <v>3607</v>
          </cell>
          <cell r="AP35">
            <v>1508</v>
          </cell>
          <cell r="AQ35">
            <v>1564</v>
          </cell>
          <cell r="AR35">
            <v>1223</v>
          </cell>
          <cell r="AS35">
            <v>888</v>
          </cell>
          <cell r="AT35">
            <v>5183</v>
          </cell>
          <cell r="AU35">
            <v>1320</v>
          </cell>
          <cell r="AV35">
            <v>1083</v>
          </cell>
          <cell r="AW35">
            <v>1683</v>
          </cell>
          <cell r="AX35">
            <v>1758</v>
          </cell>
          <cell r="AY35">
            <v>5844</v>
          </cell>
          <cell r="AZ35">
            <v>2200</v>
          </cell>
          <cell r="BA35">
            <v>2232</v>
          </cell>
          <cell r="BB35">
            <v>4381</v>
          </cell>
          <cell r="BC35">
            <v>2137</v>
          </cell>
          <cell r="BD35">
            <v>10950</v>
          </cell>
          <cell r="BE35">
            <v>2418</v>
          </cell>
          <cell r="BF35">
            <v>2566</v>
          </cell>
          <cell r="BG35">
            <v>6292</v>
          </cell>
          <cell r="BH35">
            <v>859</v>
          </cell>
          <cell r="BI35">
            <v>12135</v>
          </cell>
          <cell r="BJ35">
            <v>2369.0820962751436</v>
          </cell>
          <cell r="BK35">
            <v>2506.6660237347105</v>
          </cell>
          <cell r="BL35">
            <v>2542.4072624880537</v>
          </cell>
          <cell r="BM35">
            <v>2617.6234744133371</v>
          </cell>
          <cell r="BN35">
            <v>10035.778856911245</v>
          </cell>
          <cell r="BO35">
            <v>2602.6102633799096</v>
          </cell>
          <cell r="BP35">
            <v>2613.8690192462577</v>
          </cell>
          <cell r="BQ35">
            <v>2625.1864046612882</v>
          </cell>
          <cell r="BR35">
            <v>2636.5626412876859</v>
          </cell>
          <cell r="BS35">
            <v>10478.228328575142</v>
          </cell>
          <cell r="BT35">
            <v>2674.1835732084769</v>
          </cell>
          <cell r="BU35">
            <v>2714.5159607727401</v>
          </cell>
          <cell r="BV35">
            <v>2754.9372383042396</v>
          </cell>
          <cell r="BW35">
            <v>2795.4477061656157</v>
          </cell>
          <cell r="BX35">
            <v>10939.084478451072</v>
          </cell>
          <cell r="CG35" t="str">
            <v>mstag:interestAndDividendIncome</v>
          </cell>
          <cell r="CH35">
            <v>3</v>
          </cell>
          <cell r="CI35" t="str">
            <v>ISO4217:USD</v>
          </cell>
          <cell r="CJ35" t="b">
            <v>0</v>
          </cell>
          <cell r="CK35" t="b">
            <v>0</v>
          </cell>
        </row>
        <row r="36">
          <cell r="A36" t="str">
            <v>Other Expense</v>
          </cell>
          <cell r="C36">
            <v>-43</v>
          </cell>
          <cell r="D36">
            <v>-376</v>
          </cell>
          <cell r="E36">
            <v>-220</v>
          </cell>
          <cell r="F36">
            <v>-444</v>
          </cell>
          <cell r="G36">
            <v>-1083</v>
          </cell>
          <cell r="I36">
            <v>-31</v>
          </cell>
          <cell r="J36">
            <v>-30</v>
          </cell>
          <cell r="K36">
            <v>-131</v>
          </cell>
          <cell r="L36">
            <v>-113</v>
          </cell>
          <cell r="M36">
            <v>-305</v>
          </cell>
          <cell r="O36">
            <v>-232</v>
          </cell>
          <cell r="P36">
            <v>-106</v>
          </cell>
          <cell r="Q36">
            <v>-133</v>
          </cell>
          <cell r="R36">
            <v>-620</v>
          </cell>
          <cell r="S36">
            <v>-1091</v>
          </cell>
          <cell r="U36">
            <v>-122</v>
          </cell>
          <cell r="V36">
            <v>-128</v>
          </cell>
          <cell r="W36">
            <v>-111</v>
          </cell>
          <cell r="X36">
            <v>-602</v>
          </cell>
          <cell r="Y36">
            <v>-963</v>
          </cell>
          <cell r="AA36">
            <v>-939</v>
          </cell>
          <cell r="AB36">
            <v>-428</v>
          </cell>
          <cell r="AC36">
            <v>-916</v>
          </cell>
          <cell r="AD36">
            <v>-299</v>
          </cell>
          <cell r="AE36">
            <v>-2582</v>
          </cell>
          <cell r="AF36">
            <v>212</v>
          </cell>
          <cell r="AG36">
            <v>25</v>
          </cell>
          <cell r="AH36">
            <v>-93</v>
          </cell>
          <cell r="AI36">
            <v>38</v>
          </cell>
          <cell r="AJ36">
            <v>182</v>
          </cell>
          <cell r="AK36">
            <v>-550</v>
          </cell>
          <cell r="AL36">
            <v>-9</v>
          </cell>
          <cell r="AM36">
            <v>421</v>
          </cell>
          <cell r="AN36">
            <v>-596</v>
          </cell>
          <cell r="AO36">
            <v>-734</v>
          </cell>
          <cell r="AP36">
            <v>-3</v>
          </cell>
          <cell r="AQ36">
            <v>-71</v>
          </cell>
          <cell r="AR36">
            <v>-260</v>
          </cell>
          <cell r="AS36">
            <v>-233</v>
          </cell>
          <cell r="AT36">
            <v>-567</v>
          </cell>
          <cell r="AU36">
            <v>-78</v>
          </cell>
          <cell r="AV36">
            <v>-166</v>
          </cell>
          <cell r="AW36">
            <v>-166</v>
          </cell>
          <cell r="AX36">
            <v>-797</v>
          </cell>
          <cell r="AY36">
            <v>-1207</v>
          </cell>
          <cell r="AZ36">
            <v>-220</v>
          </cell>
          <cell r="BA36">
            <v>-280</v>
          </cell>
          <cell r="BB36">
            <v>0</v>
          </cell>
          <cell r="BC36">
            <v>0</v>
          </cell>
          <cell r="BD36">
            <v>-500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CG36" t="str">
            <v>mstag:otherNonOperatingIncomeExpense</v>
          </cell>
          <cell r="CH36">
            <v>3</v>
          </cell>
          <cell r="CI36" t="str">
            <v>ISO4217:USD</v>
          </cell>
          <cell r="CJ36" t="b">
            <v>0</v>
          </cell>
          <cell r="CK36" t="b">
            <v>0</v>
          </cell>
        </row>
        <row r="37">
          <cell r="A37" t="str">
            <v>Other Min. Int. in Earn. of Subs.</v>
          </cell>
          <cell r="C37">
            <v>15</v>
          </cell>
          <cell r="D37">
            <v>-440</v>
          </cell>
          <cell r="E37">
            <v>-350</v>
          </cell>
          <cell r="F37">
            <v>-396</v>
          </cell>
          <cell r="G37">
            <v>-1171</v>
          </cell>
          <cell r="I37">
            <v>0</v>
          </cell>
          <cell r="J37">
            <v>-254</v>
          </cell>
          <cell r="K37">
            <v>-692</v>
          </cell>
          <cell r="L37">
            <v>-306</v>
          </cell>
          <cell r="M37">
            <v>-1252</v>
          </cell>
          <cell r="O37">
            <v>-430</v>
          </cell>
          <cell r="P37">
            <v>-450</v>
          </cell>
          <cell r="Q37">
            <v>-2719</v>
          </cell>
          <cell r="R37">
            <v>-553</v>
          </cell>
          <cell r="S37">
            <v>-4152</v>
          </cell>
          <cell r="U37">
            <v>-661</v>
          </cell>
          <cell r="V37">
            <v>-311</v>
          </cell>
          <cell r="W37">
            <v>-697</v>
          </cell>
          <cell r="X37">
            <v>-476</v>
          </cell>
          <cell r="Y37">
            <v>-2145</v>
          </cell>
          <cell r="AA37">
            <v>-911</v>
          </cell>
          <cell r="AB37">
            <v>-330</v>
          </cell>
          <cell r="AC37">
            <v>-727</v>
          </cell>
          <cell r="AD37">
            <v>-443</v>
          </cell>
          <cell r="AE37">
            <v>-2411</v>
          </cell>
          <cell r="AF37">
            <v>-385</v>
          </cell>
          <cell r="AG37">
            <v>-251</v>
          </cell>
          <cell r="AH37">
            <v>-247</v>
          </cell>
          <cell r="AI37">
            <v>-210</v>
          </cell>
          <cell r="AJ37">
            <v>-1093</v>
          </cell>
          <cell r="AK37">
            <v>-23</v>
          </cell>
          <cell r="AL37">
            <v>-449</v>
          </cell>
          <cell r="AM37">
            <v>-296</v>
          </cell>
          <cell r="AN37">
            <v>182</v>
          </cell>
          <cell r="AO37">
            <v>-586</v>
          </cell>
          <cell r="AP37">
            <v>-307</v>
          </cell>
          <cell r="AQ37">
            <v>-425</v>
          </cell>
          <cell r="AR37">
            <v>-275</v>
          </cell>
          <cell r="AS37">
            <v>-246</v>
          </cell>
          <cell r="AT37">
            <v>-1253</v>
          </cell>
          <cell r="AU37">
            <v>-37</v>
          </cell>
          <cell r="AV37">
            <v>-29</v>
          </cell>
          <cell r="AW37">
            <v>-1396</v>
          </cell>
          <cell r="AX37">
            <v>24</v>
          </cell>
          <cell r="AY37">
            <v>-1438</v>
          </cell>
          <cell r="AZ37">
            <v>-102</v>
          </cell>
          <cell r="BA37">
            <v>-73</v>
          </cell>
          <cell r="BB37">
            <v>-126</v>
          </cell>
          <cell r="BC37">
            <v>54</v>
          </cell>
          <cell r="BD37">
            <v>-247</v>
          </cell>
          <cell r="BE37">
            <v>-15</v>
          </cell>
          <cell r="BF37">
            <v>-36</v>
          </cell>
          <cell r="BG37">
            <v>-38</v>
          </cell>
          <cell r="BH37">
            <v>-3097</v>
          </cell>
          <cell r="BI37">
            <v>-3186</v>
          </cell>
          <cell r="BJ37">
            <v>-767.31476046913542</v>
          </cell>
          <cell r="BK37">
            <v>-811.87639829039369</v>
          </cell>
          <cell r="BL37">
            <v>-823.45251888832956</v>
          </cell>
          <cell r="BM37">
            <v>-847.81406791509733</v>
          </cell>
          <cell r="BN37">
            <v>-3250.457745562956</v>
          </cell>
          <cell r="BO37">
            <v>-842.95148487245012</v>
          </cell>
          <cell r="BP37">
            <v>-846.59804890429598</v>
          </cell>
          <cell r="BQ37">
            <v>-850.26360228149838</v>
          </cell>
          <cell r="BR37">
            <v>-853.94821679770678</v>
          </cell>
          <cell r="BS37">
            <v>-3393.7613528559514</v>
          </cell>
          <cell r="BT37">
            <v>-866.1331454714807</v>
          </cell>
          <cell r="BU37">
            <v>-879.19627922766381</v>
          </cell>
          <cell r="BV37">
            <v>-892.28820328369568</v>
          </cell>
          <cell r="BW37">
            <v>-905.40901492311389</v>
          </cell>
          <cell r="BX37">
            <v>-3543.0266429059538</v>
          </cell>
          <cell r="CG37" t="str">
            <v>mstag:otherMinorityInterestsInNetIncome</v>
          </cell>
          <cell r="CH37">
            <v>3</v>
          </cell>
          <cell r="CI37" t="str">
            <v>ISO4217:USD</v>
          </cell>
          <cell r="CJ37" t="b">
            <v>1</v>
          </cell>
          <cell r="CK37" t="b">
            <v>0</v>
          </cell>
        </row>
        <row r="38">
          <cell r="A38" t="str">
            <v>Preferred Issuance Costs</v>
          </cell>
          <cell r="AK38">
            <v>0</v>
          </cell>
          <cell r="AL38">
            <v>0</v>
          </cell>
          <cell r="AM38">
            <v>0</v>
          </cell>
          <cell r="AN38">
            <v>-3600</v>
          </cell>
          <cell r="AO38">
            <v>-3600</v>
          </cell>
          <cell r="AP38">
            <v>3614</v>
          </cell>
          <cell r="AQ38">
            <v>31</v>
          </cell>
          <cell r="AR38">
            <v>0</v>
          </cell>
          <cell r="AS38">
            <v>0</v>
          </cell>
          <cell r="AT38">
            <v>3645</v>
          </cell>
          <cell r="AU38">
            <v>0</v>
          </cell>
          <cell r="AV38">
            <v>0</v>
          </cell>
          <cell r="AW38">
            <v>0</v>
          </cell>
          <cell r="AX38">
            <v>0</v>
          </cell>
          <cell r="AY38">
            <v>0</v>
          </cell>
          <cell r="AZ38">
            <v>2633</v>
          </cell>
          <cell r="BA38">
            <v>0</v>
          </cell>
          <cell r="BB38">
            <v>0</v>
          </cell>
          <cell r="BC38">
            <v>0</v>
          </cell>
          <cell r="BD38">
            <v>2633</v>
          </cell>
          <cell r="BE38">
            <v>0</v>
          </cell>
          <cell r="BF38">
            <v>0</v>
          </cell>
          <cell r="BG38">
            <v>0</v>
          </cell>
          <cell r="BH38">
            <v>3483</v>
          </cell>
          <cell r="BI38">
            <v>3483</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CG38" t="str">
            <v>mstag:preferredDividendsPaid</v>
          </cell>
          <cell r="CH38">
            <v>3</v>
          </cell>
          <cell r="CI38" t="str">
            <v>ISO4217:USD</v>
          </cell>
          <cell r="CJ38" t="b">
            <v>0</v>
          </cell>
          <cell r="CK38" t="b">
            <v>0</v>
          </cell>
        </row>
        <row r="39">
          <cell r="A39" t="str">
            <v>NI Before Gains &amp; Minority Int.</v>
          </cell>
          <cell r="C39">
            <v>18170</v>
          </cell>
          <cell r="D39">
            <v>17872</v>
          </cell>
          <cell r="E39">
            <v>21547</v>
          </cell>
          <cell r="F39">
            <v>26694</v>
          </cell>
          <cell r="G39">
            <v>84283</v>
          </cell>
          <cell r="I39">
            <v>29571</v>
          </cell>
          <cell r="J39">
            <v>29149</v>
          </cell>
          <cell r="K39">
            <v>30606</v>
          </cell>
          <cell r="L39">
            <v>32268</v>
          </cell>
          <cell r="M39">
            <v>121594</v>
          </cell>
          <cell r="O39">
            <v>37457</v>
          </cell>
          <cell r="P39">
            <v>39985</v>
          </cell>
          <cell r="Q39">
            <v>57164</v>
          </cell>
          <cell r="R39">
            <v>59534</v>
          </cell>
          <cell r="S39">
            <v>194140</v>
          </cell>
          <cell r="U39">
            <v>55961</v>
          </cell>
          <cell r="V39">
            <v>63348</v>
          </cell>
          <cell r="W39">
            <v>61835</v>
          </cell>
          <cell r="X39">
            <v>61778</v>
          </cell>
          <cell r="Y39">
            <v>242922</v>
          </cell>
          <cell r="AA39">
            <v>70262</v>
          </cell>
          <cell r="AB39">
            <v>72648</v>
          </cell>
          <cell r="AC39">
            <v>72857</v>
          </cell>
          <cell r="AD39">
            <v>65434</v>
          </cell>
          <cell r="AE39">
            <v>281201</v>
          </cell>
          <cell r="AF39">
            <v>62773</v>
          </cell>
          <cell r="AG39">
            <v>61553</v>
          </cell>
          <cell r="AH39">
            <v>52388</v>
          </cell>
          <cell r="AI39">
            <v>50587</v>
          </cell>
          <cell r="AJ39">
            <v>227301</v>
          </cell>
          <cell r="AK39">
            <v>39798</v>
          </cell>
          <cell r="AL39">
            <v>46350</v>
          </cell>
          <cell r="AM39">
            <v>50456</v>
          </cell>
          <cell r="AN39">
            <v>55516</v>
          </cell>
          <cell r="AO39">
            <v>192120</v>
          </cell>
          <cell r="AP39">
            <v>35289</v>
          </cell>
          <cell r="AQ39">
            <v>45611</v>
          </cell>
          <cell r="AR39">
            <v>35864</v>
          </cell>
          <cell r="AS39">
            <v>46914</v>
          </cell>
          <cell r="AT39">
            <v>163678</v>
          </cell>
          <cell r="AU39">
            <v>35535</v>
          </cell>
          <cell r="AV39">
            <v>46929</v>
          </cell>
          <cell r="AW39">
            <v>27952</v>
          </cell>
          <cell r="AX39">
            <v>31606</v>
          </cell>
          <cell r="AY39">
            <v>142022</v>
          </cell>
          <cell r="AZ39">
            <v>23474</v>
          </cell>
          <cell r="BA39">
            <v>30240</v>
          </cell>
          <cell r="BB39">
            <v>36523</v>
          </cell>
          <cell r="BC39">
            <v>66637</v>
          </cell>
          <cell r="BD39">
            <v>156874</v>
          </cell>
          <cell r="BE39">
            <v>21695</v>
          </cell>
          <cell r="BF39">
            <v>31262</v>
          </cell>
          <cell r="BG39">
            <v>28968</v>
          </cell>
          <cell r="BH39">
            <v>43486</v>
          </cell>
          <cell r="BI39">
            <v>125411</v>
          </cell>
          <cell r="BJ39">
            <v>29848.68819150942</v>
          </cell>
          <cell r="BK39">
            <v>31680.855065594351</v>
          </cell>
          <cell r="BL39">
            <v>27786.080128224276</v>
          </cell>
          <cell r="BM39">
            <v>28329.64934230498</v>
          </cell>
          <cell r="BN39">
            <v>117645.27272763301</v>
          </cell>
          <cell r="BO39">
            <v>31932.522579853154</v>
          </cell>
          <cell r="BP39">
            <v>29668.559527882629</v>
          </cell>
          <cell r="BQ39">
            <v>27643.820691909335</v>
          </cell>
          <cell r="BR39">
            <v>25385.184440349272</v>
          </cell>
          <cell r="BS39">
            <v>114630.08723999432</v>
          </cell>
          <cell r="BT39">
            <v>27009.746584896729</v>
          </cell>
          <cell r="BU39">
            <v>25600.305364984928</v>
          </cell>
          <cell r="BV39">
            <v>24613.545667216109</v>
          </cell>
          <cell r="BW39">
            <v>23422.602360480363</v>
          </cell>
          <cell r="BX39">
            <v>100646.19997757809</v>
          </cell>
        </row>
        <row r="41">
          <cell r="A41" t="str">
            <v>Gains On Sale</v>
          </cell>
          <cell r="C41">
            <v>280</v>
          </cell>
          <cell r="D41">
            <v>102</v>
          </cell>
          <cell r="E41">
            <v>1425</v>
          </cell>
          <cell r="F41">
            <v>-32</v>
          </cell>
          <cell r="G41">
            <v>1775</v>
          </cell>
          <cell r="I41">
            <v>586</v>
          </cell>
          <cell r="J41">
            <v>368</v>
          </cell>
          <cell r="K41">
            <v>661</v>
          </cell>
          <cell r="L41">
            <v>-264</v>
          </cell>
          <cell r="M41">
            <v>1351</v>
          </cell>
          <cell r="O41">
            <v>2314</v>
          </cell>
          <cell r="P41">
            <v>1971</v>
          </cell>
          <cell r="Q41">
            <v>3095</v>
          </cell>
          <cell r="R41">
            <v>2633</v>
          </cell>
          <cell r="S41">
            <v>10013</v>
          </cell>
          <cell r="U41">
            <v>14686</v>
          </cell>
          <cell r="V41">
            <v>3405</v>
          </cell>
          <cell r="W41">
            <v>4459</v>
          </cell>
          <cell r="X41">
            <v>36946</v>
          </cell>
          <cell r="Y41">
            <v>59496</v>
          </cell>
          <cell r="AA41">
            <v>12517</v>
          </cell>
          <cell r="AB41">
            <v>146</v>
          </cell>
          <cell r="AC41">
            <v>30513</v>
          </cell>
          <cell r="AD41">
            <v>-1094</v>
          </cell>
          <cell r="AE41">
            <v>42082</v>
          </cell>
          <cell r="AF41">
            <v>-97</v>
          </cell>
          <cell r="AG41">
            <v>1093</v>
          </cell>
          <cell r="AH41">
            <v>3474</v>
          </cell>
          <cell r="AI41">
            <v>-9358</v>
          </cell>
          <cell r="AJ41">
            <v>-4888</v>
          </cell>
          <cell r="AK41">
            <v>6259</v>
          </cell>
          <cell r="AL41">
            <v>-23</v>
          </cell>
          <cell r="AM41">
            <v>10</v>
          </cell>
          <cell r="AN41">
            <v>2373</v>
          </cell>
          <cell r="AO41">
            <v>8619</v>
          </cell>
          <cell r="AP41">
            <v>0</v>
          </cell>
          <cell r="AQ41">
            <v>50</v>
          </cell>
          <cell r="AR41">
            <v>0</v>
          </cell>
          <cell r="AS41">
            <v>33</v>
          </cell>
          <cell r="AT41">
            <v>83</v>
          </cell>
          <cell r="AU41">
            <v>2114</v>
          </cell>
          <cell r="AV41">
            <v>242</v>
          </cell>
          <cell r="AW41">
            <v>-56</v>
          </cell>
          <cell r="AX41">
            <v>14</v>
          </cell>
          <cell r="AY41">
            <v>2314</v>
          </cell>
          <cell r="AZ41">
            <v>-920</v>
          </cell>
          <cell r="BA41">
            <v>30</v>
          </cell>
          <cell r="BB41">
            <v>235</v>
          </cell>
          <cell r="BC41">
            <v>0</v>
          </cell>
          <cell r="BD41">
            <v>-655</v>
          </cell>
          <cell r="BE41">
            <v>0</v>
          </cell>
          <cell r="BF41">
            <v>0</v>
          </cell>
          <cell r="BG41">
            <v>0</v>
          </cell>
          <cell r="BH41">
            <v>4416</v>
          </cell>
          <cell r="BI41">
            <v>4416</v>
          </cell>
          <cell r="BJ41">
            <v>6250</v>
          </cell>
          <cell r="BK41">
            <v>6250</v>
          </cell>
          <cell r="BL41">
            <v>6250</v>
          </cell>
          <cell r="BM41">
            <v>6250</v>
          </cell>
          <cell r="BN41">
            <v>25000</v>
          </cell>
          <cell r="BO41">
            <v>8750</v>
          </cell>
          <cell r="BP41">
            <v>8750</v>
          </cell>
          <cell r="BQ41">
            <v>8750</v>
          </cell>
          <cell r="BR41">
            <v>8750</v>
          </cell>
          <cell r="BS41">
            <v>35000</v>
          </cell>
          <cell r="BT41">
            <v>8750</v>
          </cell>
          <cell r="BU41">
            <v>8750</v>
          </cell>
          <cell r="BV41">
            <v>8750</v>
          </cell>
          <cell r="BW41">
            <v>8750</v>
          </cell>
          <cell r="BX41">
            <v>35000</v>
          </cell>
          <cell r="CG41" t="str">
            <v>mstag:gainsLossesFromSaleOfOperatingAssetsOneTimeIncomeStatement</v>
          </cell>
          <cell r="CH41">
            <v>3</v>
          </cell>
          <cell r="CI41" t="str">
            <v>ISO4217:USD</v>
          </cell>
          <cell r="CJ41" t="b">
            <v>0</v>
          </cell>
          <cell r="CK41" t="b">
            <v>0</v>
          </cell>
        </row>
        <row r="42">
          <cell r="A42" t="str">
            <v>Land Sales Gains - incl. in FFO</v>
          </cell>
          <cell r="AF42">
            <v>1208</v>
          </cell>
          <cell r="AG42">
            <v>1883</v>
          </cell>
          <cell r="AH42">
            <v>1321</v>
          </cell>
          <cell r="AI42">
            <v>66</v>
          </cell>
          <cell r="AJ42">
            <v>4478</v>
          </cell>
          <cell r="AK42">
            <v>3143</v>
          </cell>
          <cell r="AL42">
            <v>1767</v>
          </cell>
          <cell r="AM42">
            <v>1383</v>
          </cell>
          <cell r="AN42">
            <v>842</v>
          </cell>
          <cell r="AO42">
            <v>7135</v>
          </cell>
          <cell r="AP42">
            <v>4629</v>
          </cell>
          <cell r="AQ42">
            <v>1054</v>
          </cell>
          <cell r="AR42">
            <v>3387</v>
          </cell>
          <cell r="AS42">
            <v>1049</v>
          </cell>
          <cell r="AT42">
            <v>10119</v>
          </cell>
          <cell r="AU42">
            <v>837</v>
          </cell>
          <cell r="AV42">
            <v>3779</v>
          </cell>
          <cell r="AW42">
            <v>2506</v>
          </cell>
          <cell r="AX42">
            <v>8421</v>
          </cell>
          <cell r="AY42">
            <v>15543</v>
          </cell>
          <cell r="AZ42">
            <v>2810</v>
          </cell>
          <cell r="BA42">
            <v>555</v>
          </cell>
          <cell r="BB42">
            <v>2982</v>
          </cell>
          <cell r="BC42">
            <v>2364</v>
          </cell>
          <cell r="BD42">
            <v>8711</v>
          </cell>
          <cell r="BE42">
            <v>13997</v>
          </cell>
          <cell r="BF42">
            <v>2411</v>
          </cell>
          <cell r="BG42">
            <v>1799</v>
          </cell>
          <cell r="BH42">
            <v>15215</v>
          </cell>
          <cell r="BI42">
            <v>33422</v>
          </cell>
          <cell r="BJ42">
            <v>5400</v>
          </cell>
          <cell r="BK42">
            <v>5400</v>
          </cell>
          <cell r="BL42">
            <v>5400</v>
          </cell>
          <cell r="BM42">
            <v>5400</v>
          </cell>
          <cell r="BN42">
            <v>21600</v>
          </cell>
          <cell r="BO42">
            <v>6400</v>
          </cell>
          <cell r="BP42">
            <v>6400</v>
          </cell>
          <cell r="BQ42">
            <v>6400</v>
          </cell>
          <cell r="BR42">
            <v>6400</v>
          </cell>
          <cell r="BS42">
            <v>25600</v>
          </cell>
          <cell r="BT42">
            <v>6400</v>
          </cell>
          <cell r="BU42">
            <v>6400</v>
          </cell>
          <cell r="BV42">
            <v>6400</v>
          </cell>
          <cell r="BW42">
            <v>6400</v>
          </cell>
          <cell r="BX42">
            <v>25600</v>
          </cell>
          <cell r="CG42" t="str">
            <v>mstag:gainLossOnLandSales</v>
          </cell>
          <cell r="CH42">
            <v>3</v>
          </cell>
          <cell r="CI42" t="str">
            <v>ISO4217:USD</v>
          </cell>
          <cell r="CJ42" t="b">
            <v>0</v>
          </cell>
          <cell r="CK42" t="b">
            <v>0</v>
          </cell>
        </row>
        <row r="43">
          <cell r="A43" t="str">
            <v>Impairment Charge</v>
          </cell>
          <cell r="AU43">
            <v>-2809</v>
          </cell>
          <cell r="AV43">
            <v>-755</v>
          </cell>
          <cell r="AW43">
            <v>-79</v>
          </cell>
          <cell r="AX43">
            <v>-13</v>
          </cell>
          <cell r="AY43">
            <v>-3656</v>
          </cell>
          <cell r="AZ43">
            <v>0</v>
          </cell>
          <cell r="BA43">
            <v>-31</v>
          </cell>
          <cell r="BB43">
            <v>-235</v>
          </cell>
          <cell r="BC43">
            <v>0</v>
          </cell>
          <cell r="BD43">
            <v>-266</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CG43" t="str">
            <v>mstag:otherProvisionsOneTime</v>
          </cell>
          <cell r="CH43">
            <v>3</v>
          </cell>
          <cell r="CI43" t="str">
            <v>ISO4217:USD</v>
          </cell>
          <cell r="CJ43" t="b">
            <v>1</v>
          </cell>
          <cell r="CK43" t="b">
            <v>0</v>
          </cell>
        </row>
        <row r="44">
          <cell r="A44" t="str">
            <v>Min Interest in Earnings of Pfd Unitholders</v>
          </cell>
          <cell r="U44">
            <v>2102</v>
          </cell>
          <cell r="V44">
            <v>2102</v>
          </cell>
          <cell r="W44">
            <v>2102</v>
          </cell>
          <cell r="X44">
            <v>2102</v>
          </cell>
          <cell r="Y44">
            <v>8408</v>
          </cell>
          <cell r="AA44">
            <v>2102</v>
          </cell>
          <cell r="AB44">
            <v>2102</v>
          </cell>
          <cell r="AC44">
            <v>2102</v>
          </cell>
          <cell r="AD44">
            <v>2102</v>
          </cell>
          <cell r="AE44">
            <v>8408</v>
          </cell>
          <cell r="AF44">
            <v>2102</v>
          </cell>
          <cell r="AG44">
            <v>2102</v>
          </cell>
          <cell r="AH44">
            <v>1955</v>
          </cell>
          <cell r="AI44">
            <v>1401</v>
          </cell>
          <cell r="AJ44">
            <v>7560</v>
          </cell>
          <cell r="AK44">
            <v>1402</v>
          </cell>
          <cell r="AL44">
            <v>1402</v>
          </cell>
          <cell r="AM44">
            <v>1401</v>
          </cell>
          <cell r="AN44">
            <v>1299</v>
          </cell>
          <cell r="AO44">
            <v>5504</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CG44" t="str">
            <v>mstag:shareOfNetIncomeToPreferredUnitholdersOfOperatingPartnership</v>
          </cell>
          <cell r="CH44">
            <v>3</v>
          </cell>
          <cell r="CI44" t="str">
            <v>ISO4217:USD</v>
          </cell>
          <cell r="CJ44" t="b">
            <v>0</v>
          </cell>
          <cell r="CK44" t="b">
            <v>0</v>
          </cell>
        </row>
        <row r="45">
          <cell r="A45" t="str">
            <v>Min Interest in Earnings of Unitholders</v>
          </cell>
          <cell r="C45">
            <v>1758</v>
          </cell>
          <cell r="D45">
            <v>1572</v>
          </cell>
          <cell r="E45">
            <v>1691</v>
          </cell>
          <cell r="F45">
            <v>2553</v>
          </cell>
          <cell r="G45">
            <v>7574</v>
          </cell>
          <cell r="I45">
            <v>3192</v>
          </cell>
          <cell r="J45">
            <v>2956</v>
          </cell>
          <cell r="K45">
            <v>3116</v>
          </cell>
          <cell r="L45">
            <v>2977</v>
          </cell>
          <cell r="M45">
            <v>12241</v>
          </cell>
          <cell r="O45">
            <v>3535</v>
          </cell>
          <cell r="P45">
            <v>3106</v>
          </cell>
          <cell r="Q45">
            <v>6543</v>
          </cell>
          <cell r="R45">
            <v>6627</v>
          </cell>
          <cell r="S45">
            <v>19811</v>
          </cell>
          <cell r="U45">
            <v>7434</v>
          </cell>
          <cell r="V45">
            <v>6877</v>
          </cell>
          <cell r="W45">
            <v>6800</v>
          </cell>
          <cell r="X45">
            <v>10960</v>
          </cell>
          <cell r="Y45">
            <v>32071</v>
          </cell>
          <cell r="AA45">
            <v>8635</v>
          </cell>
          <cell r="AB45">
            <v>7202</v>
          </cell>
          <cell r="AC45">
            <v>10916</v>
          </cell>
          <cell r="AD45">
            <v>5710</v>
          </cell>
          <cell r="AE45">
            <v>32463</v>
          </cell>
          <cell r="AF45">
            <v>5596</v>
          </cell>
          <cell r="AG45">
            <v>5109</v>
          </cell>
          <cell r="AH45">
            <v>4303</v>
          </cell>
          <cell r="AI45">
            <v>2982</v>
          </cell>
          <cell r="AJ45">
            <v>17990</v>
          </cell>
          <cell r="AK45">
            <v>3873</v>
          </cell>
          <cell r="AL45">
            <v>3725</v>
          </cell>
          <cell r="AM45">
            <v>4019</v>
          </cell>
          <cell r="AN45">
            <v>4528</v>
          </cell>
          <cell r="AO45">
            <v>16145</v>
          </cell>
          <cell r="AP45">
            <v>2977</v>
          </cell>
          <cell r="AQ45">
            <v>4150</v>
          </cell>
          <cell r="AR45">
            <v>2928</v>
          </cell>
          <cell r="AS45">
            <v>3458</v>
          </cell>
          <cell r="AT45">
            <v>13513</v>
          </cell>
          <cell r="AU45">
            <v>2316</v>
          </cell>
          <cell r="AV45">
            <v>3480</v>
          </cell>
          <cell r="AW45">
            <v>1821</v>
          </cell>
          <cell r="AX45">
            <v>2656</v>
          </cell>
          <cell r="AY45">
            <v>10273</v>
          </cell>
          <cell r="AZ45">
            <v>1253</v>
          </cell>
          <cell r="BA45">
            <v>1767</v>
          </cell>
          <cell r="BB45">
            <v>2306</v>
          </cell>
          <cell r="BC45">
            <v>4743</v>
          </cell>
          <cell r="BD45">
            <v>10069</v>
          </cell>
          <cell r="BE45">
            <v>1391</v>
          </cell>
          <cell r="BF45">
            <v>1230</v>
          </cell>
          <cell r="BG45">
            <v>1078</v>
          </cell>
          <cell r="BH45">
            <v>2716</v>
          </cell>
          <cell r="BI45">
            <v>6415</v>
          </cell>
          <cell r="BJ45">
            <v>2609.9774404380482</v>
          </cell>
          <cell r="BK45">
            <v>2761.551312614502</v>
          </cell>
          <cell r="BL45">
            <v>2800.9268272858612</v>
          </cell>
          <cell r="BM45">
            <v>3659.0437376388809</v>
          </cell>
          <cell r="BN45">
            <v>11831.499317977294</v>
          </cell>
          <cell r="BO45">
            <v>3638.0575276852032</v>
          </cell>
          <cell r="BP45">
            <v>3653.7955742564727</v>
          </cell>
          <cell r="BQ45">
            <v>3669.6155761146829</v>
          </cell>
          <cell r="BR45">
            <v>3685.5178431109125</v>
          </cell>
          <cell r="BS45">
            <v>14646.986521167271</v>
          </cell>
          <cell r="BT45">
            <v>3738.1062450313839</v>
          </cell>
          <cell r="BU45">
            <v>3794.4848539427039</v>
          </cell>
          <cell r="BV45">
            <v>3850.9877176527511</v>
          </cell>
          <cell r="BW45">
            <v>3907.615256023299</v>
          </cell>
          <cell r="BX45">
            <v>15291.194072650138</v>
          </cell>
        </row>
        <row r="46">
          <cell r="A46" t="str">
            <v>Net Income</v>
          </cell>
          <cell r="C46">
            <v>16692</v>
          </cell>
          <cell r="D46">
            <v>16402</v>
          </cell>
          <cell r="E46">
            <v>21281</v>
          </cell>
          <cell r="F46">
            <v>24109</v>
          </cell>
          <cell r="G46">
            <v>78484</v>
          </cell>
          <cell r="I46">
            <v>26965</v>
          </cell>
          <cell r="J46">
            <v>26561</v>
          </cell>
          <cell r="K46">
            <v>28151</v>
          </cell>
          <cell r="L46">
            <v>29027</v>
          </cell>
          <cell r="M46">
            <v>110704</v>
          </cell>
          <cell r="O46">
            <v>36236</v>
          </cell>
          <cell r="P46">
            <v>38850</v>
          </cell>
          <cell r="Q46">
            <v>53716</v>
          </cell>
          <cell r="R46">
            <v>55540</v>
          </cell>
          <cell r="S46">
            <v>184342</v>
          </cell>
          <cell r="U46">
            <v>61111</v>
          </cell>
          <cell r="V46">
            <v>57774</v>
          </cell>
          <cell r="W46">
            <v>57392</v>
          </cell>
          <cell r="X46">
            <v>85662</v>
          </cell>
          <cell r="Y46">
            <v>261939</v>
          </cell>
          <cell r="AA46">
            <v>72042</v>
          </cell>
          <cell r="AB46">
            <v>63490</v>
          </cell>
          <cell r="AC46">
            <v>90352</v>
          </cell>
          <cell r="AD46">
            <v>56528</v>
          </cell>
          <cell r="AE46">
            <v>282412</v>
          </cell>
          <cell r="AF46">
            <v>56186</v>
          </cell>
          <cell r="AG46">
            <v>57318</v>
          </cell>
          <cell r="AH46">
            <v>50925</v>
          </cell>
          <cell r="AI46">
            <v>36912</v>
          </cell>
          <cell r="AJ46">
            <v>201341</v>
          </cell>
          <cell r="AK46">
            <v>43925</v>
          </cell>
          <cell r="AL46">
            <v>42967</v>
          </cell>
          <cell r="AM46">
            <v>46429</v>
          </cell>
          <cell r="AN46">
            <v>52904</v>
          </cell>
          <cell r="AO46">
            <v>186225</v>
          </cell>
          <cell r="AP46">
            <v>36941</v>
          </cell>
          <cell r="AQ46">
            <v>42565</v>
          </cell>
          <cell r="AR46">
            <v>36323</v>
          </cell>
          <cell r="AS46">
            <v>44538</v>
          </cell>
          <cell r="AT46">
            <v>160367</v>
          </cell>
          <cell r="AU46">
            <v>33361</v>
          </cell>
          <cell r="AV46">
            <v>46715</v>
          </cell>
          <cell r="AW46">
            <v>28502</v>
          </cell>
          <cell r="AX46">
            <v>37372</v>
          </cell>
          <cell r="AY46">
            <v>145950</v>
          </cell>
          <cell r="AZ46">
            <v>24111</v>
          </cell>
          <cell r="BA46">
            <v>29027</v>
          </cell>
          <cell r="BB46">
            <v>37199</v>
          </cell>
          <cell r="BC46">
            <v>64258</v>
          </cell>
          <cell r="BD46">
            <v>154595</v>
          </cell>
          <cell r="BE46">
            <v>34301</v>
          </cell>
          <cell r="BF46">
            <v>32443</v>
          </cell>
          <cell r="BG46">
            <v>29689</v>
          </cell>
          <cell r="BH46">
            <v>60401</v>
          </cell>
          <cell r="BI46">
            <v>156834</v>
          </cell>
          <cell r="BJ46">
            <v>38888.710751071369</v>
          </cell>
          <cell r="BK46">
            <v>40569.303752979853</v>
          </cell>
          <cell r="BL46">
            <v>36635.153300938415</v>
          </cell>
          <cell r="BM46">
            <v>36320.605604666103</v>
          </cell>
          <cell r="BN46">
            <v>152413.77340965573</v>
          </cell>
          <cell r="BO46">
            <v>43444.46505216795</v>
          </cell>
          <cell r="BP46">
            <v>41164.763953626156</v>
          </cell>
          <cell r="BQ46">
            <v>39124.205115794655</v>
          </cell>
          <cell r="BR46">
            <v>36849.666597238363</v>
          </cell>
          <cell r="BS46">
            <v>160583.10071882705</v>
          </cell>
          <cell r="BT46">
            <v>38421.640339865342</v>
          </cell>
          <cell r="BU46">
            <v>36955.820511042228</v>
          </cell>
          <cell r="BV46">
            <v>35912.557949563357</v>
          </cell>
          <cell r="BW46">
            <v>34664.987104457061</v>
          </cell>
          <cell r="BX46">
            <v>145955.00590492794</v>
          </cell>
        </row>
        <row r="47">
          <cell r="A47" t="str">
            <v>Preferred Dividend</v>
          </cell>
          <cell r="C47">
            <v>1706</v>
          </cell>
          <cell r="D47">
            <v>1706</v>
          </cell>
          <cell r="E47">
            <v>4370</v>
          </cell>
          <cell r="F47">
            <v>4703</v>
          </cell>
          <cell r="G47">
            <v>12485</v>
          </cell>
          <cell r="I47">
            <v>4703</v>
          </cell>
          <cell r="J47">
            <v>4702.5</v>
          </cell>
          <cell r="K47">
            <v>4702.5</v>
          </cell>
          <cell r="L47">
            <v>5725</v>
          </cell>
          <cell r="M47">
            <v>19833</v>
          </cell>
          <cell r="O47">
            <v>8842</v>
          </cell>
          <cell r="P47">
            <v>9253.9624999999996</v>
          </cell>
          <cell r="Q47">
            <v>12254</v>
          </cell>
          <cell r="R47">
            <v>14356</v>
          </cell>
          <cell r="S47">
            <v>44705.962500000001</v>
          </cell>
          <cell r="U47">
            <v>12252</v>
          </cell>
          <cell r="V47">
            <v>12249</v>
          </cell>
          <cell r="W47">
            <v>12243</v>
          </cell>
          <cell r="X47">
            <v>12237</v>
          </cell>
          <cell r="Y47">
            <v>48981</v>
          </cell>
          <cell r="AA47">
            <v>13272</v>
          </cell>
          <cell r="AB47">
            <v>13815</v>
          </cell>
          <cell r="AC47">
            <v>13247</v>
          </cell>
          <cell r="AD47">
            <v>12108</v>
          </cell>
          <cell r="AE47">
            <v>52442</v>
          </cell>
          <cell r="AF47">
            <v>12108</v>
          </cell>
          <cell r="AG47">
            <v>12107</v>
          </cell>
          <cell r="AH47">
            <v>11753</v>
          </cell>
          <cell r="AI47">
            <v>9085</v>
          </cell>
          <cell r="AJ47">
            <v>45053</v>
          </cell>
          <cell r="AK47">
            <v>8752</v>
          </cell>
          <cell r="AL47">
            <v>8752</v>
          </cell>
          <cell r="AM47">
            <v>9415</v>
          </cell>
          <cell r="AN47">
            <v>10402</v>
          </cell>
          <cell r="AO47">
            <v>37321</v>
          </cell>
          <cell r="AP47">
            <v>7600</v>
          </cell>
          <cell r="AQ47">
            <v>8401</v>
          </cell>
          <cell r="AR47">
            <v>8320</v>
          </cell>
          <cell r="AS47">
            <v>9456</v>
          </cell>
          <cell r="AT47">
            <v>33777</v>
          </cell>
          <cell r="AU47">
            <v>11620</v>
          </cell>
          <cell r="AV47">
            <v>11620</v>
          </cell>
          <cell r="AW47">
            <v>11619</v>
          </cell>
          <cell r="AX47">
            <v>11620</v>
          </cell>
          <cell r="AY47">
            <v>46479</v>
          </cell>
          <cell r="AZ47">
            <v>12712</v>
          </cell>
          <cell r="BA47">
            <v>13255</v>
          </cell>
          <cell r="BB47">
            <v>15226</v>
          </cell>
          <cell r="BC47">
            <v>15226</v>
          </cell>
          <cell r="BD47">
            <v>56419</v>
          </cell>
          <cell r="BE47">
            <v>15226</v>
          </cell>
          <cell r="BF47">
            <v>15226</v>
          </cell>
          <cell r="BG47">
            <v>15227</v>
          </cell>
          <cell r="BH47">
            <v>12613</v>
          </cell>
          <cell r="BI47">
            <v>58292</v>
          </cell>
          <cell r="BJ47">
            <v>12613</v>
          </cell>
          <cell r="BK47">
            <v>12613</v>
          </cell>
          <cell r="BL47">
            <v>12613</v>
          </cell>
          <cell r="BM47">
            <v>12613</v>
          </cell>
          <cell r="BN47">
            <v>50452</v>
          </cell>
          <cell r="BO47">
            <v>12613</v>
          </cell>
          <cell r="BP47">
            <v>12613</v>
          </cell>
          <cell r="BQ47">
            <v>12613</v>
          </cell>
          <cell r="BR47">
            <v>12613</v>
          </cell>
          <cell r="BS47">
            <v>50452</v>
          </cell>
          <cell r="BT47">
            <v>12613</v>
          </cell>
          <cell r="BU47">
            <v>12613</v>
          </cell>
          <cell r="BV47">
            <v>12613</v>
          </cell>
          <cell r="BW47">
            <v>12613</v>
          </cell>
          <cell r="BX47">
            <v>50452</v>
          </cell>
          <cell r="CG47" t="str">
            <v>mstag:preferredDividendsPaid</v>
          </cell>
          <cell r="CH47">
            <v>3</v>
          </cell>
          <cell r="CI47" t="str">
            <v>ISO4217:USD</v>
          </cell>
          <cell r="CJ47" t="b">
            <v>0</v>
          </cell>
          <cell r="CK47" t="b">
            <v>0</v>
          </cell>
        </row>
        <row r="48">
          <cell r="A48" t="str">
            <v>Net Income from Discontinued Operations</v>
          </cell>
          <cell r="AF48">
            <v>1200</v>
          </cell>
          <cell r="AG48">
            <v>870</v>
          </cell>
          <cell r="AH48">
            <v>0</v>
          </cell>
          <cell r="AI48">
            <v>467</v>
          </cell>
          <cell r="AJ48">
            <v>2537</v>
          </cell>
          <cell r="AK48">
            <v>2304</v>
          </cell>
          <cell r="AL48">
            <v>323</v>
          </cell>
          <cell r="AM48">
            <v>157</v>
          </cell>
          <cell r="AN48">
            <v>702</v>
          </cell>
          <cell r="AO48">
            <v>3486</v>
          </cell>
          <cell r="AP48">
            <v>-95</v>
          </cell>
          <cell r="AQ48">
            <v>-82</v>
          </cell>
          <cell r="AR48">
            <v>978</v>
          </cell>
          <cell r="AS48">
            <v>-18</v>
          </cell>
          <cell r="AT48">
            <v>783</v>
          </cell>
          <cell r="AU48">
            <v>366</v>
          </cell>
          <cell r="AV48">
            <v>512</v>
          </cell>
          <cell r="AW48">
            <v>3853</v>
          </cell>
          <cell r="AX48">
            <v>418</v>
          </cell>
          <cell r="AY48">
            <v>5149</v>
          </cell>
          <cell r="AZ48">
            <v>-410</v>
          </cell>
          <cell r="BA48">
            <v>4580</v>
          </cell>
          <cell r="BB48">
            <v>-3974</v>
          </cell>
          <cell r="BC48">
            <v>649</v>
          </cell>
          <cell r="BD48">
            <v>845</v>
          </cell>
          <cell r="BE48">
            <v>-2232</v>
          </cell>
          <cell r="BF48">
            <v>-502</v>
          </cell>
          <cell r="BG48">
            <v>-745</v>
          </cell>
          <cell r="BH48">
            <v>1558</v>
          </cell>
          <cell r="BI48">
            <v>-1921</v>
          </cell>
          <cell r="BJ48">
            <v>1558</v>
          </cell>
          <cell r="BK48">
            <v>1558</v>
          </cell>
          <cell r="BL48">
            <v>1558</v>
          </cell>
          <cell r="BM48">
            <v>1558</v>
          </cell>
          <cell r="BN48">
            <v>6232</v>
          </cell>
          <cell r="BO48">
            <v>1558</v>
          </cell>
          <cell r="BP48">
            <v>1558</v>
          </cell>
          <cell r="BQ48">
            <v>1558</v>
          </cell>
          <cell r="BR48">
            <v>1558</v>
          </cell>
          <cell r="BS48">
            <v>6232</v>
          </cell>
          <cell r="BT48">
            <v>1558</v>
          </cell>
          <cell r="BU48">
            <v>1558</v>
          </cell>
          <cell r="BV48">
            <v>1558</v>
          </cell>
          <cell r="BW48">
            <v>1558</v>
          </cell>
          <cell r="BX48">
            <v>6232</v>
          </cell>
          <cell r="CG48" t="str">
            <v>mstag:incomeLossFromDiscontinuedOperationsNetOfTax</v>
          </cell>
          <cell r="CH48">
            <v>3</v>
          </cell>
          <cell r="CI48" t="str">
            <v>ISO4217:USD</v>
          </cell>
          <cell r="CJ48" t="b">
            <v>0</v>
          </cell>
          <cell r="CK48" t="b">
            <v>0</v>
          </cell>
        </row>
        <row r="49">
          <cell r="A49" t="str">
            <v>Gain on Sale of Discontinued Operations</v>
          </cell>
          <cell r="AF49">
            <v>0</v>
          </cell>
          <cell r="AG49">
            <v>2447</v>
          </cell>
          <cell r="AH49">
            <v>0</v>
          </cell>
          <cell r="AI49">
            <v>0</v>
          </cell>
          <cell r="AJ49">
            <v>2447</v>
          </cell>
          <cell r="AK49">
            <v>0</v>
          </cell>
          <cell r="AL49">
            <v>0</v>
          </cell>
          <cell r="AM49">
            <v>3014</v>
          </cell>
          <cell r="AN49">
            <v>6507</v>
          </cell>
          <cell r="AO49">
            <v>9521</v>
          </cell>
          <cell r="AP49">
            <v>3640</v>
          </cell>
          <cell r="AQ49">
            <v>634</v>
          </cell>
          <cell r="AR49">
            <v>13546</v>
          </cell>
          <cell r="AS49">
            <v>6086</v>
          </cell>
          <cell r="AT49">
            <v>23906</v>
          </cell>
          <cell r="AU49">
            <v>3374</v>
          </cell>
          <cell r="AV49">
            <v>4692</v>
          </cell>
          <cell r="AW49">
            <v>192612</v>
          </cell>
          <cell r="AX49">
            <v>3885</v>
          </cell>
          <cell r="AY49">
            <v>204563</v>
          </cell>
          <cell r="AZ49">
            <v>459</v>
          </cell>
          <cell r="BA49">
            <v>1365</v>
          </cell>
          <cell r="BB49">
            <v>43735</v>
          </cell>
          <cell r="BC49">
            <v>515</v>
          </cell>
          <cell r="BD49">
            <v>46074</v>
          </cell>
          <cell r="BE49">
            <v>51720</v>
          </cell>
          <cell r="BF49">
            <v>20361</v>
          </cell>
          <cell r="BG49">
            <v>39670</v>
          </cell>
          <cell r="BH49">
            <v>9320</v>
          </cell>
          <cell r="BI49">
            <v>121071</v>
          </cell>
          <cell r="BJ49">
            <v>9320</v>
          </cell>
          <cell r="BK49">
            <v>9320</v>
          </cell>
          <cell r="BL49">
            <v>9320</v>
          </cell>
          <cell r="BM49">
            <v>9320</v>
          </cell>
          <cell r="BN49">
            <v>37280</v>
          </cell>
          <cell r="BO49">
            <v>9320</v>
          </cell>
          <cell r="BP49">
            <v>9320</v>
          </cell>
          <cell r="BQ49">
            <v>9320</v>
          </cell>
          <cell r="BR49">
            <v>9320</v>
          </cell>
          <cell r="BS49">
            <v>37280</v>
          </cell>
          <cell r="BT49">
            <v>9320</v>
          </cell>
          <cell r="BU49">
            <v>9320</v>
          </cell>
          <cell r="BV49">
            <v>9320</v>
          </cell>
          <cell r="BW49">
            <v>9320</v>
          </cell>
          <cell r="BX49">
            <v>37280</v>
          </cell>
          <cell r="CG49" t="str">
            <v>mstag:gainsLossesFromSaleOfOperatingAssetsOneTimeIncomeStatement</v>
          </cell>
          <cell r="CH49">
            <v>3</v>
          </cell>
          <cell r="CI49" t="str">
            <v>ISO4217:USD</v>
          </cell>
          <cell r="CJ49" t="b">
            <v>0</v>
          </cell>
          <cell r="CK49" t="b">
            <v>0</v>
          </cell>
        </row>
        <row r="50">
          <cell r="A50" t="str">
            <v>Net Income Avail. to Common</v>
          </cell>
          <cell r="C50">
            <v>14986</v>
          </cell>
          <cell r="D50">
            <v>14696</v>
          </cell>
          <cell r="E50">
            <v>16911</v>
          </cell>
          <cell r="F50">
            <v>19406</v>
          </cell>
          <cell r="G50">
            <v>65999</v>
          </cell>
          <cell r="I50">
            <v>22262</v>
          </cell>
          <cell r="J50">
            <v>21858.5</v>
          </cell>
          <cell r="K50">
            <v>23448.5</v>
          </cell>
          <cell r="L50">
            <v>23302</v>
          </cell>
          <cell r="M50">
            <v>90871</v>
          </cell>
          <cell r="O50">
            <v>27394</v>
          </cell>
          <cell r="P50">
            <v>29596.037499999999</v>
          </cell>
          <cell r="Q50">
            <v>41462</v>
          </cell>
          <cell r="R50">
            <v>41184</v>
          </cell>
          <cell r="S50">
            <v>139636.03750000001</v>
          </cell>
          <cell r="U50">
            <v>48859</v>
          </cell>
          <cell r="V50">
            <v>45525</v>
          </cell>
          <cell r="W50">
            <v>45149</v>
          </cell>
          <cell r="X50">
            <v>73425</v>
          </cell>
          <cell r="Y50">
            <v>212958</v>
          </cell>
          <cell r="AA50">
            <v>58770</v>
          </cell>
          <cell r="AB50">
            <v>49675</v>
          </cell>
          <cell r="AC50">
            <v>77105</v>
          </cell>
          <cell r="AD50">
            <v>44420</v>
          </cell>
          <cell r="AE50">
            <v>229970</v>
          </cell>
          <cell r="AF50">
            <v>45278</v>
          </cell>
          <cell r="AG50">
            <v>48528</v>
          </cell>
          <cell r="AH50">
            <v>39172</v>
          </cell>
          <cell r="AI50">
            <v>28294</v>
          </cell>
          <cell r="AJ50">
            <v>161272</v>
          </cell>
          <cell r="AK50">
            <v>37477</v>
          </cell>
          <cell r="AL50">
            <v>34538</v>
          </cell>
          <cell r="AM50">
            <v>40185</v>
          </cell>
          <cell r="AN50">
            <v>49711</v>
          </cell>
          <cell r="AO50">
            <v>161911</v>
          </cell>
          <cell r="AP50">
            <v>32886</v>
          </cell>
          <cell r="AQ50">
            <v>34716</v>
          </cell>
          <cell r="AR50">
            <v>42527</v>
          </cell>
          <cell r="AS50">
            <v>41150</v>
          </cell>
          <cell r="AT50">
            <v>151279</v>
          </cell>
          <cell r="AU50">
            <v>25481</v>
          </cell>
          <cell r="AV50">
            <v>40299</v>
          </cell>
          <cell r="AW50">
            <v>213348</v>
          </cell>
          <cell r="AX50">
            <v>30055</v>
          </cell>
          <cell r="AY50">
            <v>309183</v>
          </cell>
          <cell r="AZ50">
            <v>11448</v>
          </cell>
          <cell r="BA50">
            <v>21717</v>
          </cell>
          <cell r="BB50">
            <v>61734</v>
          </cell>
          <cell r="BC50">
            <v>50196</v>
          </cell>
          <cell r="BD50">
            <v>145095</v>
          </cell>
          <cell r="BE50">
            <v>68563</v>
          </cell>
          <cell r="BF50">
            <v>37076</v>
          </cell>
          <cell r="BG50">
            <v>53387</v>
          </cell>
          <cell r="BH50">
            <v>58666</v>
          </cell>
          <cell r="BI50">
            <v>217692</v>
          </cell>
          <cell r="BJ50">
            <v>37153.710751071369</v>
          </cell>
          <cell r="BK50">
            <v>38834.303752979853</v>
          </cell>
          <cell r="BL50">
            <v>34900.153300938415</v>
          </cell>
          <cell r="BM50">
            <v>34585.605604666103</v>
          </cell>
          <cell r="BN50">
            <v>145473.77340965573</v>
          </cell>
          <cell r="BO50">
            <v>41709.46505216795</v>
          </cell>
          <cell r="BP50">
            <v>39429.763953626156</v>
          </cell>
          <cell r="BQ50">
            <v>37389.205115794655</v>
          </cell>
          <cell r="BR50">
            <v>35114.666597238363</v>
          </cell>
          <cell r="BS50">
            <v>153643.1007188271</v>
          </cell>
          <cell r="BT50">
            <v>36686.640339865342</v>
          </cell>
          <cell r="BU50">
            <v>35220.820511042228</v>
          </cell>
          <cell r="BV50">
            <v>34177.557949563357</v>
          </cell>
          <cell r="BW50">
            <v>32929.987104457061</v>
          </cell>
          <cell r="BX50">
            <v>139015.005904928</v>
          </cell>
        </row>
        <row r="51">
          <cell r="A51" t="str">
            <v>Adjustment OP units</v>
          </cell>
        </row>
        <row r="52">
          <cell r="A52" t="str">
            <v>Adjustment: Gains and Extraordinary Items</v>
          </cell>
          <cell r="O52">
            <v>2314</v>
          </cell>
          <cell r="P52">
            <v>1971</v>
          </cell>
          <cell r="Q52">
            <v>3095</v>
          </cell>
          <cell r="R52">
            <v>2633</v>
          </cell>
          <cell r="S52">
            <v>10013</v>
          </cell>
          <cell r="U52">
            <v>14686</v>
          </cell>
          <cell r="V52">
            <v>3405</v>
          </cell>
          <cell r="W52">
            <v>4459</v>
          </cell>
          <cell r="X52">
            <v>36946</v>
          </cell>
          <cell r="Y52">
            <v>59496</v>
          </cell>
          <cell r="AA52">
            <v>12517</v>
          </cell>
          <cell r="AB52">
            <v>146</v>
          </cell>
          <cell r="AC52">
            <v>30513</v>
          </cell>
          <cell r="AD52">
            <v>-1094</v>
          </cell>
          <cell r="AE52">
            <v>42082</v>
          </cell>
          <cell r="AF52">
            <v>-97</v>
          </cell>
          <cell r="AG52">
            <v>1093</v>
          </cell>
          <cell r="AH52">
            <v>3474</v>
          </cell>
          <cell r="AI52">
            <v>-9358</v>
          </cell>
          <cell r="AJ52">
            <v>-4888</v>
          </cell>
          <cell r="AK52">
            <v>6259</v>
          </cell>
          <cell r="AL52">
            <v>-23</v>
          </cell>
          <cell r="AM52">
            <v>10</v>
          </cell>
          <cell r="AN52">
            <v>2373</v>
          </cell>
          <cell r="AO52">
            <v>8619</v>
          </cell>
          <cell r="AP52">
            <v>0</v>
          </cell>
          <cell r="AQ52">
            <v>50</v>
          </cell>
          <cell r="AR52">
            <v>0</v>
          </cell>
          <cell r="AS52">
            <v>33</v>
          </cell>
          <cell r="AT52">
            <v>83</v>
          </cell>
          <cell r="AU52">
            <v>2114</v>
          </cell>
          <cell r="AV52">
            <v>242</v>
          </cell>
          <cell r="AW52">
            <v>-56</v>
          </cell>
          <cell r="AX52">
            <v>14</v>
          </cell>
          <cell r="AY52">
            <v>2314</v>
          </cell>
          <cell r="AZ52">
            <v>-920</v>
          </cell>
          <cell r="BA52">
            <v>30</v>
          </cell>
          <cell r="BB52">
            <v>235</v>
          </cell>
          <cell r="BC52">
            <v>0</v>
          </cell>
          <cell r="BD52">
            <v>-655</v>
          </cell>
          <cell r="BE52">
            <v>0</v>
          </cell>
          <cell r="BF52">
            <v>0</v>
          </cell>
          <cell r="BG52">
            <v>0</v>
          </cell>
          <cell r="BH52">
            <v>0</v>
          </cell>
          <cell r="BI52">
            <v>0</v>
          </cell>
          <cell r="BJ52">
            <v>6250</v>
          </cell>
          <cell r="BK52">
            <v>6250</v>
          </cell>
          <cell r="BL52">
            <v>6250</v>
          </cell>
          <cell r="BM52">
            <v>6250</v>
          </cell>
          <cell r="BN52">
            <v>25000</v>
          </cell>
          <cell r="BO52">
            <v>8750</v>
          </cell>
          <cell r="BP52">
            <v>8750</v>
          </cell>
          <cell r="BQ52">
            <v>8750</v>
          </cell>
          <cell r="BR52">
            <v>8750</v>
          </cell>
          <cell r="BS52">
            <v>35000</v>
          </cell>
          <cell r="BT52">
            <v>8750</v>
          </cell>
          <cell r="BU52">
            <v>8750</v>
          </cell>
          <cell r="BV52">
            <v>8750</v>
          </cell>
          <cell r="BW52">
            <v>8750</v>
          </cell>
          <cell r="BX52">
            <v>35000</v>
          </cell>
        </row>
        <row r="53">
          <cell r="A53" t="str">
            <v>Normalized Earnings</v>
          </cell>
          <cell r="O53">
            <v>25080</v>
          </cell>
          <cell r="P53">
            <v>27625.037499999999</v>
          </cell>
          <cell r="Q53">
            <v>38367</v>
          </cell>
          <cell r="R53">
            <v>38551</v>
          </cell>
          <cell r="S53">
            <v>129623.03750000001</v>
          </cell>
          <cell r="U53">
            <v>34173</v>
          </cell>
          <cell r="V53">
            <v>42120</v>
          </cell>
          <cell r="W53">
            <v>40690</v>
          </cell>
          <cell r="X53">
            <v>36479</v>
          </cell>
          <cell r="Y53">
            <v>153462</v>
          </cell>
          <cell r="AA53">
            <v>46253</v>
          </cell>
          <cell r="AB53">
            <v>49529</v>
          </cell>
          <cell r="AC53">
            <v>46592</v>
          </cell>
          <cell r="AD53">
            <v>45514</v>
          </cell>
          <cell r="AE53">
            <v>187888</v>
          </cell>
          <cell r="AF53">
            <v>45375</v>
          </cell>
          <cell r="AG53">
            <v>47435</v>
          </cell>
          <cell r="AH53">
            <v>35698</v>
          </cell>
          <cell r="AI53">
            <v>37652</v>
          </cell>
          <cell r="AJ53">
            <v>166160</v>
          </cell>
          <cell r="AK53">
            <v>31218</v>
          </cell>
          <cell r="AL53">
            <v>34561</v>
          </cell>
          <cell r="AM53">
            <v>40175</v>
          </cell>
          <cell r="AN53">
            <v>47338</v>
          </cell>
          <cell r="AO53">
            <v>153292</v>
          </cell>
          <cell r="AP53">
            <v>32886</v>
          </cell>
          <cell r="AQ53">
            <v>34666</v>
          </cell>
          <cell r="AR53">
            <v>42527</v>
          </cell>
          <cell r="AS53">
            <v>41117</v>
          </cell>
          <cell r="AT53">
            <v>151196</v>
          </cell>
          <cell r="AU53">
            <v>23367</v>
          </cell>
          <cell r="AV53">
            <v>40057</v>
          </cell>
          <cell r="AW53">
            <v>213404</v>
          </cell>
          <cell r="AX53">
            <v>30041</v>
          </cell>
          <cell r="AY53">
            <v>306869</v>
          </cell>
          <cell r="AZ53">
            <v>12368</v>
          </cell>
          <cell r="BA53">
            <v>21687</v>
          </cell>
          <cell r="BB53">
            <v>61499</v>
          </cell>
          <cell r="BC53">
            <v>50196</v>
          </cell>
          <cell r="BD53">
            <v>145750</v>
          </cell>
          <cell r="BE53">
            <v>68563</v>
          </cell>
          <cell r="BF53">
            <v>37076</v>
          </cell>
          <cell r="BG53">
            <v>53387</v>
          </cell>
          <cell r="BH53">
            <v>58666</v>
          </cell>
          <cell r="BI53">
            <v>217692</v>
          </cell>
          <cell r="BJ53">
            <v>30903.710751071369</v>
          </cell>
          <cell r="BK53">
            <v>32584.303752979853</v>
          </cell>
          <cell r="BL53">
            <v>28650.153300938415</v>
          </cell>
          <cell r="BM53">
            <v>28335.605604666103</v>
          </cell>
          <cell r="BN53">
            <v>120473.77340965575</v>
          </cell>
          <cell r="BO53">
            <v>32959.46505216795</v>
          </cell>
          <cell r="BP53">
            <v>30679.763953626156</v>
          </cell>
          <cell r="BQ53">
            <v>28639.205115794655</v>
          </cell>
          <cell r="BR53">
            <v>26364.666597238363</v>
          </cell>
          <cell r="BS53">
            <v>118643.10071882713</v>
          </cell>
          <cell r="BT53">
            <v>27936.640339865342</v>
          </cell>
          <cell r="BU53">
            <v>26470.820511042228</v>
          </cell>
          <cell r="BV53">
            <v>25427.557949563357</v>
          </cell>
          <cell r="BW53">
            <v>24179.987104457061</v>
          </cell>
          <cell r="BX53">
            <v>104015.00590492798</v>
          </cell>
        </row>
        <row r="55">
          <cell r="A55" t="str">
            <v xml:space="preserve">  + Depreciation and Amortization</v>
          </cell>
          <cell r="C55">
            <v>9499</v>
          </cell>
          <cell r="D55">
            <v>10052</v>
          </cell>
          <cell r="E55">
            <v>10702</v>
          </cell>
          <cell r="F55">
            <v>14553</v>
          </cell>
          <cell r="G55">
            <v>44806</v>
          </cell>
          <cell r="I55">
            <v>14260</v>
          </cell>
          <cell r="J55">
            <v>16525</v>
          </cell>
          <cell r="K55">
            <v>17660</v>
          </cell>
          <cell r="L55">
            <v>20321</v>
          </cell>
          <cell r="M55">
            <v>68766</v>
          </cell>
          <cell r="O55">
            <v>20454</v>
          </cell>
          <cell r="P55">
            <v>20935</v>
          </cell>
          <cell r="Q55">
            <v>32738</v>
          </cell>
          <cell r="R55">
            <v>36637</v>
          </cell>
          <cell r="S55">
            <v>110764</v>
          </cell>
          <cell r="U55">
            <v>39779</v>
          </cell>
          <cell r="V55">
            <v>39766</v>
          </cell>
          <cell r="W55">
            <v>41884</v>
          </cell>
          <cell r="X55">
            <v>39898</v>
          </cell>
          <cell r="Y55">
            <v>161327</v>
          </cell>
          <cell r="AA55">
            <v>40314</v>
          </cell>
          <cell r="AB55">
            <v>37995</v>
          </cell>
          <cell r="AC55">
            <v>38282</v>
          </cell>
          <cell r="AD55">
            <v>39497</v>
          </cell>
          <cell r="AE55">
            <v>156088</v>
          </cell>
          <cell r="AF55">
            <v>42819</v>
          </cell>
          <cell r="AG55">
            <v>42993</v>
          </cell>
          <cell r="AH55">
            <v>45074</v>
          </cell>
          <cell r="AI55">
            <v>44735</v>
          </cell>
          <cell r="AJ55">
            <v>175621</v>
          </cell>
          <cell r="AK55">
            <v>47672</v>
          </cell>
          <cell r="AL55">
            <v>46617</v>
          </cell>
          <cell r="AM55">
            <v>48250</v>
          </cell>
          <cell r="AN55">
            <v>53695</v>
          </cell>
          <cell r="AO55">
            <v>196234</v>
          </cell>
          <cell r="AP55">
            <v>52397</v>
          </cell>
          <cell r="AQ55">
            <v>53251</v>
          </cell>
          <cell r="AR55">
            <v>61511</v>
          </cell>
          <cell r="AS55">
            <v>61423</v>
          </cell>
          <cell r="AT55">
            <v>228582</v>
          </cell>
          <cell r="AU55">
            <v>63226</v>
          </cell>
          <cell r="AV55">
            <v>64124</v>
          </cell>
          <cell r="AW55">
            <v>67623</v>
          </cell>
          <cell r="AX55">
            <v>59197</v>
          </cell>
          <cell r="AY55">
            <v>254170</v>
          </cell>
          <cell r="AZ55">
            <v>60582</v>
          </cell>
          <cell r="BA55">
            <v>65167</v>
          </cell>
          <cell r="BB55">
            <v>64363</v>
          </cell>
          <cell r="BC55">
            <v>64156</v>
          </cell>
          <cell r="BD55">
            <v>254268</v>
          </cell>
          <cell r="BE55">
            <v>67739</v>
          </cell>
          <cell r="BF55">
            <v>68407</v>
          </cell>
          <cell r="BG55">
            <v>72076</v>
          </cell>
          <cell r="BH55">
            <v>69469</v>
          </cell>
          <cell r="BI55">
            <v>277691</v>
          </cell>
          <cell r="BJ55">
            <v>72831.958835823505</v>
          </cell>
          <cell r="BK55">
            <v>76814.601460257589</v>
          </cell>
          <cell r="BL55">
            <v>80175.926249376294</v>
          </cell>
          <cell r="BM55">
            <v>82025.240166531046</v>
          </cell>
          <cell r="BN55">
            <v>311847.72671198845</v>
          </cell>
          <cell r="BO55">
            <v>82928.477996938484</v>
          </cell>
          <cell r="BP55">
            <v>84694.535992771576</v>
          </cell>
          <cell r="BQ55">
            <v>86462.264532166868</v>
          </cell>
          <cell r="BR55">
            <v>88231.672302070059</v>
          </cell>
          <cell r="BS55">
            <v>342316.95082394697</v>
          </cell>
          <cell r="BT55">
            <v>89636.748458229922</v>
          </cell>
          <cell r="BU55">
            <v>91634.884565782937</v>
          </cell>
          <cell r="BV55">
            <v>93638.95044469033</v>
          </cell>
          <cell r="BW55">
            <v>95648.959179107187</v>
          </cell>
          <cell r="BX55">
            <v>370559.54264781042</v>
          </cell>
          <cell r="CG55" t="str">
            <v>mstag:depreciationRealEstate</v>
          </cell>
          <cell r="CH55">
            <v>3</v>
          </cell>
          <cell r="CI55" t="str">
            <v>ISO4217:USD</v>
          </cell>
          <cell r="CJ55" t="b">
            <v>0</v>
          </cell>
          <cell r="CK55" t="b">
            <v>0</v>
          </cell>
        </row>
        <row r="56">
          <cell r="A56" t="str">
            <v xml:space="preserve">  + Depr. &amp; Amort. on J.V.'s</v>
          </cell>
          <cell r="C56">
            <v>523</v>
          </cell>
          <cell r="D56">
            <v>791</v>
          </cell>
          <cell r="E56">
            <v>757</v>
          </cell>
          <cell r="F56">
            <v>946</v>
          </cell>
          <cell r="G56">
            <v>3017</v>
          </cell>
          <cell r="I56">
            <v>582</v>
          </cell>
          <cell r="J56">
            <v>968</v>
          </cell>
          <cell r="K56">
            <v>1101</v>
          </cell>
          <cell r="L56">
            <v>1651</v>
          </cell>
          <cell r="M56">
            <v>4302</v>
          </cell>
          <cell r="O56">
            <v>1515</v>
          </cell>
          <cell r="P56">
            <v>1241</v>
          </cell>
          <cell r="Q56">
            <v>1270</v>
          </cell>
          <cell r="R56">
            <v>1242</v>
          </cell>
          <cell r="S56">
            <v>5268</v>
          </cell>
          <cell r="U56">
            <v>1417</v>
          </cell>
          <cell r="V56">
            <v>1633</v>
          </cell>
          <cell r="W56">
            <v>1982</v>
          </cell>
          <cell r="X56">
            <v>4072</v>
          </cell>
          <cell r="Y56">
            <v>9104</v>
          </cell>
          <cell r="AA56">
            <v>1137</v>
          </cell>
          <cell r="AB56">
            <v>4276</v>
          </cell>
          <cell r="AC56">
            <v>4506</v>
          </cell>
          <cell r="AD56">
            <v>4258</v>
          </cell>
          <cell r="AE56">
            <v>14177</v>
          </cell>
          <cell r="AF56">
            <v>4415</v>
          </cell>
          <cell r="AG56">
            <v>4383</v>
          </cell>
          <cell r="AH56">
            <v>4484</v>
          </cell>
          <cell r="AI56">
            <v>4375</v>
          </cell>
          <cell r="AJ56">
            <v>17657</v>
          </cell>
          <cell r="AK56">
            <v>5003</v>
          </cell>
          <cell r="AL56">
            <v>4774</v>
          </cell>
          <cell r="AM56">
            <v>4459</v>
          </cell>
          <cell r="AN56">
            <v>4603</v>
          </cell>
          <cell r="AO56">
            <v>18839</v>
          </cell>
          <cell r="AP56">
            <v>4588</v>
          </cell>
          <cell r="AQ56">
            <v>4609</v>
          </cell>
          <cell r="AR56">
            <v>4686</v>
          </cell>
          <cell r="AS56">
            <v>5018</v>
          </cell>
          <cell r="AT56">
            <v>18901</v>
          </cell>
          <cell r="AU56">
            <v>4865</v>
          </cell>
          <cell r="AV56">
            <v>4943</v>
          </cell>
          <cell r="AW56">
            <v>5003</v>
          </cell>
          <cell r="AX56">
            <v>4699</v>
          </cell>
          <cell r="AY56">
            <v>19510</v>
          </cell>
          <cell r="AZ56">
            <v>4702</v>
          </cell>
          <cell r="BA56">
            <v>4425</v>
          </cell>
          <cell r="BB56">
            <v>4568</v>
          </cell>
          <cell r="BC56">
            <v>4700</v>
          </cell>
          <cell r="BD56">
            <v>18395</v>
          </cell>
          <cell r="BE56">
            <v>4968</v>
          </cell>
          <cell r="BF56">
            <v>5610</v>
          </cell>
          <cell r="BG56">
            <v>10574</v>
          </cell>
          <cell r="BH56">
            <v>5796</v>
          </cell>
          <cell r="BI56">
            <v>26948</v>
          </cell>
          <cell r="BJ56">
            <v>5824.98</v>
          </cell>
          <cell r="BK56">
            <v>5854.1048999999994</v>
          </cell>
          <cell r="BL56">
            <v>5883.3754244999982</v>
          </cell>
          <cell r="BM56">
            <v>5912.7923016224968</v>
          </cell>
          <cell r="BN56">
            <v>23475.252626122492</v>
          </cell>
          <cell r="BO56">
            <v>5971.9202246387222</v>
          </cell>
          <cell r="BP56">
            <v>6031.6394268851091</v>
          </cell>
          <cell r="BQ56">
            <v>6091.9558211539606</v>
          </cell>
          <cell r="BR56">
            <v>6152.8753793654996</v>
          </cell>
          <cell r="BS56">
            <v>24248.390852043289</v>
          </cell>
          <cell r="BT56">
            <v>6214.4041331591552</v>
          </cell>
          <cell r="BU56">
            <v>6276.5481744907465</v>
          </cell>
          <cell r="BV56">
            <v>6339.313656235654</v>
          </cell>
          <cell r="BW56">
            <v>6402.7067927980106</v>
          </cell>
          <cell r="BX56">
            <v>25232.972756683568</v>
          </cell>
          <cell r="CG56" t="str">
            <v>mstag:jointVentureRealEstateDepreciation</v>
          </cell>
          <cell r="CH56">
            <v>3</v>
          </cell>
          <cell r="CI56" t="str">
            <v>ISO4217:USD</v>
          </cell>
          <cell r="CJ56" t="b">
            <v>0</v>
          </cell>
          <cell r="CK56" t="b">
            <v>0</v>
          </cell>
        </row>
        <row r="57">
          <cell r="A57" t="str">
            <v xml:space="preserve">  - Earnings from Property Sales</v>
          </cell>
          <cell r="C57">
            <v>-280</v>
          </cell>
          <cell r="D57">
            <v>-102</v>
          </cell>
          <cell r="E57">
            <v>-1425</v>
          </cell>
          <cell r="F57">
            <v>32</v>
          </cell>
          <cell r="G57">
            <v>-1775</v>
          </cell>
          <cell r="I57">
            <v>-586</v>
          </cell>
          <cell r="J57">
            <v>-368</v>
          </cell>
          <cell r="K57">
            <v>-661</v>
          </cell>
          <cell r="L57">
            <v>264</v>
          </cell>
          <cell r="M57">
            <v>-1351</v>
          </cell>
          <cell r="O57">
            <v>-2314</v>
          </cell>
          <cell r="P57">
            <v>-1084</v>
          </cell>
          <cell r="Q57">
            <v>-2406</v>
          </cell>
          <cell r="R57">
            <v>-2432</v>
          </cell>
          <cell r="S57">
            <v>-8236</v>
          </cell>
          <cell r="U57">
            <v>-11070</v>
          </cell>
          <cell r="V57">
            <v>-3108</v>
          </cell>
          <cell r="W57">
            <v>-1847</v>
          </cell>
          <cell r="X57">
            <v>-34306</v>
          </cell>
          <cell r="Y57">
            <v>-50331</v>
          </cell>
          <cell r="AA57">
            <v>-11840</v>
          </cell>
          <cell r="AB57">
            <v>2497</v>
          </cell>
          <cell r="AC57">
            <v>-29431</v>
          </cell>
          <cell r="AD57">
            <v>1772</v>
          </cell>
          <cell r="AE57">
            <v>-37002</v>
          </cell>
          <cell r="AF57">
            <v>96</v>
          </cell>
          <cell r="AG57">
            <v>-2550</v>
          </cell>
          <cell r="AH57">
            <v>-3474</v>
          </cell>
          <cell r="AI57">
            <v>9358</v>
          </cell>
          <cell r="AJ57">
            <v>3430</v>
          </cell>
          <cell r="AK57">
            <v>-8613</v>
          </cell>
          <cell r="AL57">
            <v>-105</v>
          </cell>
          <cell r="AM57">
            <v>-3349</v>
          </cell>
          <cell r="AN57">
            <v>-9574</v>
          </cell>
          <cell r="AO57">
            <v>-21641</v>
          </cell>
          <cell r="AP57">
            <v>-4009</v>
          </cell>
          <cell r="AQ57">
            <v>-745</v>
          </cell>
          <cell r="AR57">
            <v>-14873</v>
          </cell>
          <cell r="AS57">
            <v>-6883</v>
          </cell>
          <cell r="AT57">
            <v>-26510</v>
          </cell>
          <cell r="AU57">
            <v>-6510</v>
          </cell>
          <cell r="AV57">
            <v>-17062</v>
          </cell>
          <cell r="AW57">
            <v>-210837</v>
          </cell>
          <cell r="AX57">
            <v>-4200</v>
          </cell>
          <cell r="AY57">
            <v>-238609</v>
          </cell>
          <cell r="AZ57">
            <v>-3467</v>
          </cell>
          <cell r="BA57">
            <v>-6931</v>
          </cell>
          <cell r="BB57">
            <v>-39257</v>
          </cell>
          <cell r="BC57">
            <v>-11237</v>
          </cell>
          <cell r="BD57">
            <v>-60892</v>
          </cell>
          <cell r="BE57">
            <v>-53680</v>
          </cell>
          <cell r="BF57">
            <v>-20232</v>
          </cell>
          <cell r="BG57">
            <v>-39667</v>
          </cell>
          <cell r="BH57">
            <v>-13737</v>
          </cell>
          <cell r="BI57">
            <v>-127316</v>
          </cell>
          <cell r="BJ57">
            <v>-15570</v>
          </cell>
          <cell r="BK57">
            <v>-15570</v>
          </cell>
          <cell r="BL57">
            <v>-15570</v>
          </cell>
          <cell r="BM57">
            <v>-15570</v>
          </cell>
          <cell r="BN57">
            <v>-62280</v>
          </cell>
          <cell r="BO57">
            <v>-18070</v>
          </cell>
          <cell r="BP57">
            <v>-18070</v>
          </cell>
          <cell r="BQ57">
            <v>-18070</v>
          </cell>
          <cell r="BR57">
            <v>-18070</v>
          </cell>
          <cell r="BS57">
            <v>-72280</v>
          </cell>
          <cell r="BT57">
            <v>-18070</v>
          </cell>
          <cell r="BU57">
            <v>-18070</v>
          </cell>
          <cell r="BV57">
            <v>-18070</v>
          </cell>
          <cell r="BW57">
            <v>-18070</v>
          </cell>
          <cell r="BX57">
            <v>-72280</v>
          </cell>
        </row>
        <row r="58">
          <cell r="A58" t="str">
            <v xml:space="preserve">  - MI Share of Add-Backs</v>
          </cell>
          <cell r="C58">
            <v>-1011</v>
          </cell>
          <cell r="D58">
            <v>-1031</v>
          </cell>
          <cell r="E58">
            <v>-938</v>
          </cell>
          <cell r="F58">
            <v>-1811</v>
          </cell>
          <cell r="G58">
            <v>-4791</v>
          </cell>
          <cell r="I58">
            <v>-1788</v>
          </cell>
          <cell r="J58">
            <v>-2050</v>
          </cell>
          <cell r="K58">
            <v>-2128</v>
          </cell>
          <cell r="L58">
            <v>-2548</v>
          </cell>
          <cell r="M58">
            <v>-8514</v>
          </cell>
          <cell r="O58">
            <v>-2189</v>
          </cell>
          <cell r="P58">
            <v>-2064</v>
          </cell>
          <cell r="Q58">
            <v>-4292</v>
          </cell>
          <cell r="R58">
            <v>-4614</v>
          </cell>
          <cell r="S58">
            <v>-13159</v>
          </cell>
          <cell r="U58">
            <v>-3955</v>
          </cell>
          <cell r="V58">
            <v>-5026</v>
          </cell>
          <cell r="W58">
            <v>-5501</v>
          </cell>
          <cell r="X58">
            <v>-1216</v>
          </cell>
          <cell r="Y58">
            <v>-15698</v>
          </cell>
          <cell r="AA58">
            <v>-3789</v>
          </cell>
          <cell r="AB58">
            <v>-5689</v>
          </cell>
          <cell r="AC58">
            <v>-1578</v>
          </cell>
          <cell r="AD58">
            <v>-5427</v>
          </cell>
          <cell r="AE58">
            <v>-16483</v>
          </cell>
          <cell r="AF58">
            <v>-5329</v>
          </cell>
          <cell r="AG58">
            <v>-4519</v>
          </cell>
          <cell r="AH58">
            <v>-4607</v>
          </cell>
          <cell r="AI58">
            <v>-5874</v>
          </cell>
          <cell r="AJ58">
            <v>-20329</v>
          </cell>
          <cell r="AK58">
            <v>-4349</v>
          </cell>
          <cell r="AL58">
            <v>-5041</v>
          </cell>
          <cell r="AM58">
            <v>-4815</v>
          </cell>
          <cell r="AN58">
            <v>-4698</v>
          </cell>
          <cell r="AO58">
            <v>-18903</v>
          </cell>
          <cell r="AP58">
            <v>-4881</v>
          </cell>
          <cell r="AQ58">
            <v>-5107</v>
          </cell>
          <cell r="AR58">
            <v>-4574</v>
          </cell>
          <cell r="AS58">
            <v>-5221</v>
          </cell>
          <cell r="AT58">
            <v>-19783</v>
          </cell>
          <cell r="AU58">
            <v>-5437</v>
          </cell>
          <cell r="AV58">
            <v>-4463</v>
          </cell>
          <cell r="AW58">
            <v>12038</v>
          </cell>
          <cell r="AX58">
            <v>-5203</v>
          </cell>
          <cell r="AY58">
            <v>-3065</v>
          </cell>
          <cell r="AZ58">
            <v>-5588</v>
          </cell>
          <cell r="BA58">
            <v>-5622</v>
          </cell>
          <cell r="BB58">
            <v>-2621</v>
          </cell>
          <cell r="BC58">
            <v>-5027</v>
          </cell>
          <cell r="BD58">
            <v>-18858</v>
          </cell>
          <cell r="BE58">
            <v>-1263</v>
          </cell>
          <cell r="BF58">
            <v>-3579</v>
          </cell>
          <cell r="BG58">
            <v>-2697</v>
          </cell>
          <cell r="BH58">
            <v>-3444</v>
          </cell>
          <cell r="BI58">
            <v>-10983</v>
          </cell>
          <cell r="BJ58">
            <v>-3309.5590224111334</v>
          </cell>
          <cell r="BK58">
            <v>-3501.7609427998323</v>
          </cell>
          <cell r="BL58">
            <v>-3551.6907191356795</v>
          </cell>
          <cell r="BM58">
            <v>-4639.8183477276525</v>
          </cell>
          <cell r="BN58">
            <v>-15002.829032074296</v>
          </cell>
          <cell r="BO58">
            <v>-4613.2069680956702</v>
          </cell>
          <cell r="BP58">
            <v>-4633.1634601396509</v>
          </cell>
          <cell r="BQ58">
            <v>-4653.2238748670716</v>
          </cell>
          <cell r="BR58">
            <v>-4673.3886051818781</v>
          </cell>
          <cell r="BS58">
            <v>-18572.98290828427</v>
          </cell>
          <cell r="BT58">
            <v>-4740.0728674109296</v>
          </cell>
          <cell r="BU58">
            <v>-4811.5632684015727</v>
          </cell>
          <cell r="BV58">
            <v>-4883.2112296009109</v>
          </cell>
          <cell r="BW58">
            <v>-4955.0172834109871</v>
          </cell>
          <cell r="BX58">
            <v>-19389.864648824401</v>
          </cell>
        </row>
        <row r="59">
          <cell r="A59" t="str">
            <v xml:space="preserve"> Funds From Operations</v>
          </cell>
          <cell r="C59">
            <v>23717</v>
          </cell>
          <cell r="D59">
            <v>24406</v>
          </cell>
          <cell r="E59">
            <v>26007</v>
          </cell>
          <cell r="F59">
            <v>33126</v>
          </cell>
          <cell r="G59">
            <v>107256</v>
          </cell>
          <cell r="I59">
            <v>34730</v>
          </cell>
          <cell r="J59">
            <v>36933.5</v>
          </cell>
          <cell r="K59">
            <v>39420.5</v>
          </cell>
          <cell r="L59">
            <v>42990</v>
          </cell>
          <cell r="M59">
            <v>154074</v>
          </cell>
          <cell r="O59">
            <v>44860</v>
          </cell>
          <cell r="P59">
            <v>48624.037499999999</v>
          </cell>
          <cell r="Q59">
            <v>68772</v>
          </cell>
          <cell r="R59">
            <v>72017</v>
          </cell>
          <cell r="S59">
            <v>234273.03750000001</v>
          </cell>
          <cell r="U59">
            <v>75030</v>
          </cell>
          <cell r="V59">
            <v>78790</v>
          </cell>
          <cell r="W59">
            <v>81667</v>
          </cell>
          <cell r="X59">
            <v>81873</v>
          </cell>
          <cell r="Y59">
            <v>317360</v>
          </cell>
          <cell r="AA59">
            <v>84592</v>
          </cell>
          <cell r="AB59">
            <v>88754</v>
          </cell>
          <cell r="AC59">
            <v>88884</v>
          </cell>
          <cell r="AD59">
            <v>84520</v>
          </cell>
          <cell r="AE59">
            <v>346750</v>
          </cell>
          <cell r="AF59">
            <v>87279</v>
          </cell>
          <cell r="AG59">
            <v>88835</v>
          </cell>
          <cell r="AH59">
            <v>80649</v>
          </cell>
          <cell r="AI59">
            <v>80888</v>
          </cell>
          <cell r="AJ59">
            <v>337651</v>
          </cell>
          <cell r="AK59">
            <v>77190</v>
          </cell>
          <cell r="AL59">
            <v>80783</v>
          </cell>
          <cell r="AM59">
            <v>84730</v>
          </cell>
          <cell r="AN59">
            <v>93737</v>
          </cell>
          <cell r="AO59">
            <v>336440</v>
          </cell>
          <cell r="AP59">
            <v>80981</v>
          </cell>
          <cell r="AQ59">
            <v>86724</v>
          </cell>
          <cell r="AR59">
            <v>89277</v>
          </cell>
          <cell r="AS59">
            <v>95487</v>
          </cell>
          <cell r="AT59">
            <v>352469</v>
          </cell>
          <cell r="AU59">
            <v>81625</v>
          </cell>
          <cell r="AV59">
            <v>87841</v>
          </cell>
          <cell r="AW59">
            <v>87175</v>
          </cell>
          <cell r="AX59">
            <v>84548</v>
          </cell>
          <cell r="AY59">
            <v>341189</v>
          </cell>
          <cell r="AZ59">
            <v>67677</v>
          </cell>
          <cell r="BA59">
            <v>78756</v>
          </cell>
          <cell r="BB59">
            <v>88787</v>
          </cell>
          <cell r="BC59">
            <v>102788</v>
          </cell>
          <cell r="BD59">
            <v>338008</v>
          </cell>
          <cell r="BE59">
            <v>86327</v>
          </cell>
          <cell r="BF59">
            <v>87282</v>
          </cell>
          <cell r="BG59">
            <v>93673</v>
          </cell>
          <cell r="BH59">
            <v>116750</v>
          </cell>
          <cell r="BI59">
            <v>384032</v>
          </cell>
          <cell r="BJ59">
            <v>96931.090564483733</v>
          </cell>
          <cell r="BK59">
            <v>102431.24917043762</v>
          </cell>
          <cell r="BL59">
            <v>101837.76425567904</v>
          </cell>
          <cell r="BM59">
            <v>102313.81972509201</v>
          </cell>
          <cell r="BN59">
            <v>403513.92371569236</v>
          </cell>
          <cell r="BO59">
            <v>107926.65630564949</v>
          </cell>
          <cell r="BP59">
            <v>107452.7759131432</v>
          </cell>
          <cell r="BQ59">
            <v>107220.2015942484</v>
          </cell>
          <cell r="BR59">
            <v>106755.82567349204</v>
          </cell>
          <cell r="BS59">
            <v>429355.45948653313</v>
          </cell>
          <cell r="BT59">
            <v>109727.7200638435</v>
          </cell>
          <cell r="BU59">
            <v>110250.68998291434</v>
          </cell>
          <cell r="BV59">
            <v>111202.61082088843</v>
          </cell>
          <cell r="BW59">
            <v>111956.63579295127</v>
          </cell>
          <cell r="BX59">
            <v>443137.65666059754</v>
          </cell>
        </row>
        <row r="61">
          <cell r="A61" t="str">
            <v xml:space="preserve"> - TIs &amp; Leasing Commisions</v>
          </cell>
          <cell r="C61">
            <v>3463</v>
          </cell>
          <cell r="D61">
            <v>3227</v>
          </cell>
          <cell r="E61">
            <v>2825</v>
          </cell>
          <cell r="F61">
            <v>3322</v>
          </cell>
          <cell r="G61">
            <v>12837</v>
          </cell>
          <cell r="I61">
            <v>3342</v>
          </cell>
          <cell r="J61">
            <v>4402</v>
          </cell>
          <cell r="K61">
            <v>4535</v>
          </cell>
          <cell r="L61">
            <v>5161</v>
          </cell>
          <cell r="M61">
            <v>17440</v>
          </cell>
          <cell r="O61">
            <v>5854</v>
          </cell>
          <cell r="P61">
            <v>6984</v>
          </cell>
          <cell r="Q61">
            <v>9118</v>
          </cell>
          <cell r="R61">
            <v>11514</v>
          </cell>
          <cell r="S61">
            <v>33470</v>
          </cell>
          <cell r="U61">
            <v>12798</v>
          </cell>
          <cell r="V61">
            <v>14236</v>
          </cell>
          <cell r="W61">
            <v>11226</v>
          </cell>
          <cell r="X61">
            <v>10221.280000000001</v>
          </cell>
          <cell r="Y61">
            <v>48481.279999999999</v>
          </cell>
          <cell r="AA61">
            <v>6863</v>
          </cell>
          <cell r="AB61">
            <v>9140</v>
          </cell>
          <cell r="AC61">
            <v>9568</v>
          </cell>
          <cell r="AD61">
            <v>10512</v>
          </cell>
          <cell r="AE61">
            <v>36083</v>
          </cell>
          <cell r="AF61">
            <v>11304</v>
          </cell>
          <cell r="AG61">
            <v>12390</v>
          </cell>
          <cell r="AH61">
            <v>10882</v>
          </cell>
          <cell r="AI61">
            <v>12755</v>
          </cell>
          <cell r="AJ61">
            <v>47331</v>
          </cell>
          <cell r="AK61">
            <v>12918</v>
          </cell>
          <cell r="AL61">
            <v>13460</v>
          </cell>
          <cell r="AM61">
            <v>17590</v>
          </cell>
          <cell r="AN61">
            <v>13462</v>
          </cell>
          <cell r="AO61">
            <v>57430</v>
          </cell>
          <cell r="AP61">
            <v>21640</v>
          </cell>
          <cell r="AQ61">
            <v>22544</v>
          </cell>
          <cell r="AR61">
            <v>22116</v>
          </cell>
          <cell r="AS61">
            <v>26033</v>
          </cell>
          <cell r="AT61">
            <v>92333</v>
          </cell>
          <cell r="AU61">
            <v>24533</v>
          </cell>
          <cell r="AV61">
            <v>25932</v>
          </cell>
          <cell r="AW61">
            <v>22141</v>
          </cell>
          <cell r="AX61">
            <v>25229</v>
          </cell>
          <cell r="AY61">
            <v>97835</v>
          </cell>
          <cell r="AZ61">
            <v>15542</v>
          </cell>
          <cell r="BA61">
            <v>14888</v>
          </cell>
          <cell r="BB61">
            <v>17955</v>
          </cell>
          <cell r="BC61">
            <v>11349</v>
          </cell>
          <cell r="BD61">
            <v>59734</v>
          </cell>
          <cell r="BE61">
            <v>15869</v>
          </cell>
          <cell r="BF61">
            <v>18108</v>
          </cell>
          <cell r="BG61">
            <v>17041</v>
          </cell>
          <cell r="BH61">
            <v>19264</v>
          </cell>
          <cell r="BI61">
            <v>70282</v>
          </cell>
          <cell r="BJ61">
            <v>18512.004938364717</v>
          </cell>
          <cell r="BK61">
            <v>19587.085598750287</v>
          </cell>
          <cell r="BL61">
            <v>19866.367599718276</v>
          </cell>
          <cell r="BM61">
            <v>20454.106998363506</v>
          </cell>
          <cell r="BN61">
            <v>78419.565135196783</v>
          </cell>
          <cell r="BO61">
            <v>20336.793783583616</v>
          </cell>
          <cell r="BP61">
            <v>20424.76968974802</v>
          </cell>
          <cell r="BQ61">
            <v>20513.203727142431</v>
          </cell>
          <cell r="BR61">
            <v>20602.097627838823</v>
          </cell>
          <cell r="BS61">
            <v>81876.864828312886</v>
          </cell>
          <cell r="BT61">
            <v>20896.067549184547</v>
          </cell>
          <cell r="BU61">
            <v>21211.224781996189</v>
          </cell>
          <cell r="BV61">
            <v>21527.076600915691</v>
          </cell>
          <cell r="BW61">
            <v>21843.625352976396</v>
          </cell>
          <cell r="BX61">
            <v>85477.994285072826</v>
          </cell>
          <cell r="CG61" t="str">
            <v>mstag:tenantImprovementsAndLeasingCommissions</v>
          </cell>
          <cell r="CH61">
            <v>3</v>
          </cell>
          <cell r="CI61" t="str">
            <v>ISO4217:USD</v>
          </cell>
          <cell r="CJ61" t="b">
            <v>0</v>
          </cell>
          <cell r="CK61" t="b">
            <v>0</v>
          </cell>
        </row>
        <row r="62">
          <cell r="A62" t="str">
            <v xml:space="preserve"> - Capital Expenditures</v>
          </cell>
          <cell r="C62">
            <v>116</v>
          </cell>
          <cell r="D62">
            <v>221</v>
          </cell>
          <cell r="E62">
            <v>240</v>
          </cell>
          <cell r="F62">
            <v>731</v>
          </cell>
          <cell r="G62">
            <v>1308</v>
          </cell>
          <cell r="I62">
            <v>414</v>
          </cell>
          <cell r="J62">
            <v>480</v>
          </cell>
          <cell r="K62">
            <v>678</v>
          </cell>
          <cell r="L62">
            <v>634</v>
          </cell>
          <cell r="M62">
            <v>2206</v>
          </cell>
          <cell r="O62">
            <v>259</v>
          </cell>
          <cell r="P62">
            <v>407</v>
          </cell>
          <cell r="Q62">
            <v>898</v>
          </cell>
          <cell r="R62">
            <v>2187</v>
          </cell>
          <cell r="S62">
            <v>3751</v>
          </cell>
          <cell r="U62">
            <v>1351</v>
          </cell>
          <cell r="V62">
            <v>1924</v>
          </cell>
          <cell r="W62">
            <v>1649</v>
          </cell>
          <cell r="X62">
            <v>1533.192</v>
          </cell>
          <cell r="Y62">
            <v>6457.192</v>
          </cell>
          <cell r="AA62">
            <v>1975</v>
          </cell>
          <cell r="AB62">
            <v>1936</v>
          </cell>
          <cell r="AC62">
            <v>3192</v>
          </cell>
          <cell r="AD62">
            <v>4337</v>
          </cell>
          <cell r="AE62">
            <v>11440</v>
          </cell>
          <cell r="AF62">
            <v>2518</v>
          </cell>
          <cell r="AG62">
            <v>3639</v>
          </cell>
          <cell r="AH62">
            <v>3523</v>
          </cell>
          <cell r="AI62">
            <v>5008</v>
          </cell>
          <cell r="AJ62">
            <v>14688</v>
          </cell>
          <cell r="AK62">
            <v>2677</v>
          </cell>
          <cell r="AL62">
            <v>4354</v>
          </cell>
          <cell r="AM62">
            <v>6364</v>
          </cell>
          <cell r="AN62">
            <v>7479</v>
          </cell>
          <cell r="AO62">
            <v>20874</v>
          </cell>
          <cell r="AP62">
            <v>4644</v>
          </cell>
          <cell r="AQ62">
            <v>3893</v>
          </cell>
          <cell r="AR62">
            <v>6922</v>
          </cell>
          <cell r="AS62">
            <v>7010</v>
          </cell>
          <cell r="AT62">
            <v>22469</v>
          </cell>
          <cell r="AU62">
            <v>2575</v>
          </cell>
          <cell r="AV62">
            <v>3850</v>
          </cell>
          <cell r="AW62">
            <v>4188</v>
          </cell>
          <cell r="AX62">
            <v>5982</v>
          </cell>
          <cell r="AY62">
            <v>16595</v>
          </cell>
          <cell r="AZ62">
            <v>1324</v>
          </cell>
          <cell r="BA62">
            <v>1844</v>
          </cell>
          <cell r="BB62">
            <v>2495</v>
          </cell>
          <cell r="BC62">
            <v>3178</v>
          </cell>
          <cell r="BD62">
            <v>8841</v>
          </cell>
          <cell r="BE62">
            <v>961</v>
          </cell>
          <cell r="BF62">
            <v>1607</v>
          </cell>
          <cell r="BG62">
            <v>2899</v>
          </cell>
          <cell r="BH62">
            <v>4541</v>
          </cell>
          <cell r="BI62">
            <v>10008</v>
          </cell>
          <cell r="BJ62">
            <v>4363.7362139282686</v>
          </cell>
          <cell r="BK62">
            <v>4617.1592454280026</v>
          </cell>
          <cell r="BL62">
            <v>4682.9929023214636</v>
          </cell>
          <cell r="BM62">
            <v>4821.5375768048516</v>
          </cell>
          <cell r="BN62">
            <v>18485.425938482585</v>
          </cell>
          <cell r="BO62">
            <v>4793.8839582253522</v>
          </cell>
          <cell r="BP62">
            <v>4814.622049478081</v>
          </cell>
          <cell r="BQ62">
            <v>4835.4681335627993</v>
          </cell>
          <cell r="BR62">
            <v>4856.4226187715994</v>
          </cell>
          <cell r="BS62">
            <v>19300.396760037831</v>
          </cell>
          <cell r="BT62">
            <v>4925.718580816394</v>
          </cell>
          <cell r="BU62">
            <v>5000.0089148175184</v>
          </cell>
          <cell r="BV62">
            <v>5074.4629798981596</v>
          </cell>
          <cell r="BW62">
            <v>5149.0813293119709</v>
          </cell>
          <cell r="BX62">
            <v>20149.271804844044</v>
          </cell>
          <cell r="CG62" t="str">
            <v>mstag:recurringButNonRevenueEnhancingCapex</v>
          </cell>
          <cell r="CH62">
            <v>3</v>
          </cell>
          <cell r="CI62" t="str">
            <v>ISO4217:USD</v>
          </cell>
          <cell r="CJ62" t="b">
            <v>0</v>
          </cell>
          <cell r="CK62" t="b">
            <v>0</v>
          </cell>
        </row>
        <row r="63">
          <cell r="A63" t="str">
            <v xml:space="preserve"> - Adjustment For Straight-lining</v>
          </cell>
          <cell r="C63">
            <v>765</v>
          </cell>
          <cell r="D63">
            <v>877</v>
          </cell>
          <cell r="E63">
            <v>865</v>
          </cell>
          <cell r="F63">
            <v>1962</v>
          </cell>
          <cell r="G63">
            <v>4469</v>
          </cell>
          <cell r="I63">
            <v>1291</v>
          </cell>
          <cell r="J63">
            <v>1691</v>
          </cell>
          <cell r="K63">
            <v>1781</v>
          </cell>
          <cell r="L63">
            <v>906</v>
          </cell>
          <cell r="M63">
            <v>5669</v>
          </cell>
          <cell r="O63">
            <v>1770</v>
          </cell>
          <cell r="P63">
            <v>1978</v>
          </cell>
          <cell r="Q63">
            <v>3714</v>
          </cell>
          <cell r="R63">
            <v>3214</v>
          </cell>
          <cell r="S63">
            <v>10676</v>
          </cell>
          <cell r="U63">
            <v>3676</v>
          </cell>
          <cell r="V63">
            <v>4469</v>
          </cell>
          <cell r="W63">
            <v>4674</v>
          </cell>
          <cell r="X63">
            <v>4372</v>
          </cell>
          <cell r="Y63">
            <v>17191</v>
          </cell>
          <cell r="AA63">
            <v>3634</v>
          </cell>
          <cell r="AB63">
            <v>2686</v>
          </cell>
          <cell r="AC63">
            <v>2996</v>
          </cell>
          <cell r="AD63">
            <v>3227</v>
          </cell>
          <cell r="AE63">
            <v>12543</v>
          </cell>
          <cell r="AF63">
            <v>1386</v>
          </cell>
          <cell r="AG63">
            <v>2713</v>
          </cell>
          <cell r="AH63">
            <v>3986</v>
          </cell>
          <cell r="AI63">
            <v>4415</v>
          </cell>
          <cell r="AJ63">
            <v>12500</v>
          </cell>
          <cell r="AK63">
            <v>4756</v>
          </cell>
          <cell r="AL63">
            <v>7142</v>
          </cell>
          <cell r="AM63">
            <v>5809</v>
          </cell>
          <cell r="AN63">
            <v>5886</v>
          </cell>
          <cell r="AO63">
            <v>23593</v>
          </cell>
          <cell r="AP63">
            <v>6535</v>
          </cell>
          <cell r="AQ63">
            <v>5453</v>
          </cell>
          <cell r="AR63">
            <v>4737</v>
          </cell>
          <cell r="AS63">
            <v>7311</v>
          </cell>
          <cell r="AT63">
            <v>24036</v>
          </cell>
          <cell r="AU63">
            <v>6464</v>
          </cell>
          <cell r="AV63">
            <v>5361</v>
          </cell>
          <cell r="AW63">
            <v>6287</v>
          </cell>
          <cell r="AX63">
            <v>6129</v>
          </cell>
          <cell r="AY63">
            <v>24241</v>
          </cell>
          <cell r="AZ63">
            <v>5755</v>
          </cell>
          <cell r="BA63">
            <v>5045</v>
          </cell>
          <cell r="BB63">
            <v>5345</v>
          </cell>
          <cell r="BC63">
            <v>5607</v>
          </cell>
          <cell r="BD63">
            <v>21752</v>
          </cell>
          <cell r="BE63">
            <v>6101</v>
          </cell>
          <cell r="BF63">
            <v>4257</v>
          </cell>
          <cell r="BG63">
            <v>4550</v>
          </cell>
          <cell r="BH63">
            <v>3866</v>
          </cell>
          <cell r="BI63">
            <v>18774</v>
          </cell>
          <cell r="BJ63">
            <v>3715.0857086647625</v>
          </cell>
          <cell r="BK63">
            <v>3930.8385031545158</v>
          </cell>
          <cell r="BL63">
            <v>3986.8862718288437</v>
          </cell>
          <cell r="BM63">
            <v>4104.8368799664295</v>
          </cell>
          <cell r="BN63">
            <v>15737.647363614553</v>
          </cell>
          <cell r="BO63">
            <v>4081.2938521249093</v>
          </cell>
          <cell r="BP63">
            <v>4098.9493158516325</v>
          </cell>
          <cell r="BQ63">
            <v>4116.6967197431804</v>
          </cell>
          <cell r="BR63">
            <v>4134.5364114007934</v>
          </cell>
          <cell r="BS63">
            <v>16431.476299120517</v>
          </cell>
          <cell r="BT63">
            <v>4193.531828547937</v>
          </cell>
          <cell r="BU63">
            <v>4256.779225871951</v>
          </cell>
          <cell r="BV63">
            <v>4320.1660163590141</v>
          </cell>
          <cell r="BW63">
            <v>4383.6926710240205</v>
          </cell>
          <cell r="BX63">
            <v>17154.169741802922</v>
          </cell>
          <cell r="CG63" t="str">
            <v>mstag:straightLiningOfRents</v>
          </cell>
          <cell r="CH63">
            <v>3</v>
          </cell>
          <cell r="CI63" t="str">
            <v>ISO4217:USD</v>
          </cell>
          <cell r="CJ63" t="b">
            <v>0</v>
          </cell>
          <cell r="CK63" t="b">
            <v>0</v>
          </cell>
        </row>
        <row r="64">
          <cell r="A64" t="str">
            <v xml:space="preserve"> + Other Adjustments1</v>
          </cell>
          <cell r="C64">
            <v>445.29587870969999</v>
          </cell>
          <cell r="D64">
            <v>409.69608948518089</v>
          </cell>
          <cell r="E64">
            <v>364.06524473868905</v>
          </cell>
          <cell r="F64">
            <v>712.14154744529583</v>
          </cell>
          <cell r="G64">
            <v>1931.1987603788657</v>
          </cell>
          <cell r="I64">
            <v>626.34616686983611</v>
          </cell>
          <cell r="J64">
            <v>776.69196341064981</v>
          </cell>
          <cell r="K64">
            <v>876.13385649503118</v>
          </cell>
          <cell r="L64">
            <v>753.63058683931126</v>
          </cell>
          <cell r="M64">
            <v>3032.8025736148284</v>
          </cell>
          <cell r="O64">
            <v>870.15642139172598</v>
          </cell>
          <cell r="P64">
            <v>1316.3519833708644</v>
          </cell>
          <cell r="Q64">
            <v>2398.5274398839279</v>
          </cell>
          <cell r="R64">
            <v>2830.7616098867466</v>
          </cell>
          <cell r="S64">
            <v>7415.7974545332645</v>
          </cell>
          <cell r="U64">
            <v>2929</v>
          </cell>
          <cell r="V64">
            <v>3469</v>
          </cell>
          <cell r="W64">
            <v>3292</v>
          </cell>
          <cell r="X64">
            <v>2674.789811375972</v>
          </cell>
          <cell r="Y64">
            <v>12364.789811375973</v>
          </cell>
          <cell r="AA64">
            <v>2961</v>
          </cell>
          <cell r="AB64">
            <v>2664</v>
          </cell>
          <cell r="AC64">
            <v>2861</v>
          </cell>
          <cell r="AD64">
            <v>3099</v>
          </cell>
          <cell r="AE64">
            <v>11585</v>
          </cell>
          <cell r="AF64">
            <v>1604</v>
          </cell>
          <cell r="AG64">
            <v>2004</v>
          </cell>
          <cell r="AH64">
            <v>1839</v>
          </cell>
          <cell r="AI64">
            <v>2291</v>
          </cell>
          <cell r="AJ64">
            <v>7738</v>
          </cell>
          <cell r="AK64">
            <v>2009</v>
          </cell>
          <cell r="AL64">
            <v>2458</v>
          </cell>
          <cell r="AM64">
            <v>2923</v>
          </cell>
          <cell r="AN64">
            <v>216</v>
          </cell>
          <cell r="AO64">
            <v>7606</v>
          </cell>
          <cell r="AP64">
            <v>6403</v>
          </cell>
          <cell r="AQ64">
            <v>3965</v>
          </cell>
          <cell r="AR64">
            <v>4595</v>
          </cell>
          <cell r="AS64">
            <v>5601</v>
          </cell>
          <cell r="AT64">
            <v>20564</v>
          </cell>
          <cell r="AU64">
            <v>7324</v>
          </cell>
          <cell r="AV64">
            <v>4694</v>
          </cell>
          <cell r="AW64">
            <v>3942</v>
          </cell>
          <cell r="AX64">
            <v>3786</v>
          </cell>
          <cell r="AY64">
            <v>19746</v>
          </cell>
          <cell r="AZ64">
            <v>6212</v>
          </cell>
          <cell r="BA64">
            <v>4996</v>
          </cell>
          <cell r="BB64">
            <v>7394</v>
          </cell>
          <cell r="BC64">
            <v>6024</v>
          </cell>
          <cell r="BD64">
            <v>24626</v>
          </cell>
          <cell r="BE64">
            <v>4825</v>
          </cell>
          <cell r="BF64">
            <v>4488</v>
          </cell>
          <cell r="BG64">
            <v>5051</v>
          </cell>
          <cell r="BH64">
            <v>5692</v>
          </cell>
          <cell r="BI64">
            <v>20056</v>
          </cell>
          <cell r="BJ64">
            <v>1389.2020811097996</v>
          </cell>
          <cell r="BK64">
            <v>1456.1441762415195</v>
          </cell>
          <cell r="BL64">
            <v>1463.0977140951697</v>
          </cell>
          <cell r="BM64">
            <v>1492.2907118637552</v>
          </cell>
          <cell r="BN64">
            <v>5800.7346833102438</v>
          </cell>
          <cell r="BO64">
            <v>1469.8438676198637</v>
          </cell>
          <cell r="BP64">
            <v>1462.3774274034811</v>
          </cell>
          <cell r="BQ64">
            <v>1454.9470416230934</v>
          </cell>
          <cell r="BR64">
            <v>1447.5525462595128</v>
          </cell>
          <cell r="BS64">
            <v>5834.7208829059509</v>
          </cell>
          <cell r="BT64">
            <v>1454.4356202065999</v>
          </cell>
          <cell r="BU64">
            <v>1462.5158580938512</v>
          </cell>
          <cell r="BV64">
            <v>1470.3565765444628</v>
          </cell>
          <cell r="BW64">
            <v>1477.9610907141994</v>
          </cell>
          <cell r="BX64">
            <v>5865.2691455591139</v>
          </cell>
          <cell r="CG64" t="str">
            <v>mstag:otherFfoAdjustmentAffo</v>
          </cell>
          <cell r="CH64">
            <v>3</v>
          </cell>
          <cell r="CI64" t="str">
            <v>ISO4217:USD</v>
          </cell>
          <cell r="CJ64" t="b">
            <v>0</v>
          </cell>
          <cell r="CK64" t="b">
            <v>0</v>
          </cell>
        </row>
        <row r="65">
          <cell r="A65" t="str">
            <v>Adjusted Funds From Operations</v>
          </cell>
          <cell r="C65">
            <v>19818.295878709701</v>
          </cell>
          <cell r="D65">
            <v>20490.69608948518</v>
          </cell>
          <cell r="E65">
            <v>22441.065244738689</v>
          </cell>
          <cell r="F65">
            <v>27823.141547445295</v>
          </cell>
          <cell r="G65">
            <v>90573.198760378873</v>
          </cell>
          <cell r="I65">
            <v>30309.346166869836</v>
          </cell>
          <cell r="J65">
            <v>31137.191963410649</v>
          </cell>
          <cell r="K65">
            <v>33302.633856495035</v>
          </cell>
          <cell r="L65">
            <v>37042.63058683931</v>
          </cell>
          <cell r="M65">
            <v>131791.80257361481</v>
          </cell>
          <cell r="O65">
            <v>37847.156421391723</v>
          </cell>
          <cell r="P65">
            <v>40571.389483370862</v>
          </cell>
          <cell r="Q65">
            <v>57440.527439883925</v>
          </cell>
          <cell r="R65">
            <v>57932.761609886744</v>
          </cell>
          <cell r="S65">
            <v>193791.83495453326</v>
          </cell>
          <cell r="U65">
            <v>60134</v>
          </cell>
          <cell r="V65">
            <v>61630</v>
          </cell>
          <cell r="W65">
            <v>67410</v>
          </cell>
          <cell r="X65">
            <v>68421.317811375979</v>
          </cell>
          <cell r="Y65">
            <v>257595.31781137598</v>
          </cell>
          <cell r="AA65">
            <v>75081</v>
          </cell>
          <cell r="AB65">
            <v>77656</v>
          </cell>
          <cell r="AC65">
            <v>75989</v>
          </cell>
          <cell r="AD65">
            <v>69543</v>
          </cell>
          <cell r="AE65">
            <v>298269</v>
          </cell>
          <cell r="AF65">
            <v>73675</v>
          </cell>
          <cell r="AG65">
            <v>72097</v>
          </cell>
          <cell r="AH65">
            <v>64097</v>
          </cell>
          <cell r="AI65">
            <v>61001</v>
          </cell>
          <cell r="AJ65">
            <v>270870</v>
          </cell>
          <cell r="AK65">
            <v>58848</v>
          </cell>
          <cell r="AL65">
            <v>58285</v>
          </cell>
          <cell r="AM65">
            <v>57890</v>
          </cell>
          <cell r="AN65">
            <v>67126</v>
          </cell>
          <cell r="AO65">
            <v>242149</v>
          </cell>
          <cell r="AP65">
            <v>54565</v>
          </cell>
          <cell r="AQ65">
            <v>58799</v>
          </cell>
          <cell r="AR65">
            <v>60097</v>
          </cell>
          <cell r="AS65">
            <v>60734</v>
          </cell>
          <cell r="AT65">
            <v>234195</v>
          </cell>
          <cell r="AU65">
            <v>55377</v>
          </cell>
          <cell r="AV65">
            <v>57392</v>
          </cell>
          <cell r="AW65">
            <v>58501</v>
          </cell>
          <cell r="AX65">
            <v>50994</v>
          </cell>
          <cell r="AY65">
            <v>222264</v>
          </cell>
          <cell r="AZ65">
            <v>51268</v>
          </cell>
          <cell r="BA65">
            <v>61975</v>
          </cell>
          <cell r="BB65">
            <v>70386</v>
          </cell>
          <cell r="BC65">
            <v>88678</v>
          </cell>
          <cell r="BD65">
            <v>272307</v>
          </cell>
          <cell r="BE65">
            <v>68221</v>
          </cell>
          <cell r="BF65">
            <v>67798</v>
          </cell>
          <cell r="BG65">
            <v>74234</v>
          </cell>
          <cell r="BH65">
            <v>94771</v>
          </cell>
          <cell r="BI65">
            <v>305024</v>
          </cell>
          <cell r="BJ65">
            <v>71729.465784635802</v>
          </cell>
          <cell r="BK65">
            <v>75752.309999346326</v>
          </cell>
          <cell r="BL65">
            <v>74764.61519590563</v>
          </cell>
          <cell r="BM65">
            <v>74425.628981820963</v>
          </cell>
          <cell r="BN65">
            <v>296672.01996170869</v>
          </cell>
          <cell r="BO65">
            <v>80184.528579335456</v>
          </cell>
          <cell r="BP65">
            <v>79576.812285468943</v>
          </cell>
          <cell r="BQ65">
            <v>79209.780055423078</v>
          </cell>
          <cell r="BR65">
            <v>78610.321561740333</v>
          </cell>
          <cell r="BS65">
            <v>317581.4424819678</v>
          </cell>
          <cell r="BT65">
            <v>81166.837725501231</v>
          </cell>
          <cell r="BU65">
            <v>81245.192918322515</v>
          </cell>
          <cell r="BV65">
            <v>81751.261800260021</v>
          </cell>
          <cell r="BW65">
            <v>82058.197530353093</v>
          </cell>
          <cell r="BX65">
            <v>326221.48997443687</v>
          </cell>
        </row>
        <row r="66">
          <cell r="AQ66">
            <v>0.40138878261534933</v>
          </cell>
        </row>
        <row r="67">
          <cell r="A67" t="str">
            <v>Diluted FFO</v>
          </cell>
        </row>
        <row r="68">
          <cell r="A68" t="str">
            <v xml:space="preserve">  Basic FFO</v>
          </cell>
          <cell r="AA68">
            <v>84592</v>
          </cell>
          <cell r="AB68">
            <v>88754</v>
          </cell>
          <cell r="AC68">
            <v>88884</v>
          </cell>
          <cell r="AD68">
            <v>84520</v>
          </cell>
          <cell r="AE68">
            <v>346750</v>
          </cell>
          <cell r="AF68">
            <v>87279</v>
          </cell>
          <cell r="AG68">
            <v>88835</v>
          </cell>
          <cell r="AH68">
            <v>80649</v>
          </cell>
          <cell r="AI68">
            <v>80888</v>
          </cell>
          <cell r="AJ68">
            <v>337651</v>
          </cell>
          <cell r="AK68">
            <v>77190</v>
          </cell>
          <cell r="AL68">
            <v>80783</v>
          </cell>
          <cell r="AM68">
            <v>84730</v>
          </cell>
          <cell r="AN68">
            <v>93737</v>
          </cell>
          <cell r="AO68">
            <v>336440</v>
          </cell>
          <cell r="AP68">
            <v>80981</v>
          </cell>
          <cell r="AQ68">
            <v>86724</v>
          </cell>
          <cell r="AR68">
            <v>89277</v>
          </cell>
          <cell r="AS68">
            <v>95487</v>
          </cell>
          <cell r="AT68">
            <v>352469</v>
          </cell>
          <cell r="AU68">
            <v>81625</v>
          </cell>
          <cell r="AV68">
            <v>87841</v>
          </cell>
          <cell r="AW68">
            <v>87175</v>
          </cell>
          <cell r="AX68">
            <v>84548</v>
          </cell>
          <cell r="AY68">
            <v>341189</v>
          </cell>
          <cell r="AZ68">
            <v>67677</v>
          </cell>
          <cell r="BA68">
            <v>78756</v>
          </cell>
          <cell r="BB68">
            <v>88787</v>
          </cell>
          <cell r="BC68">
            <v>102788</v>
          </cell>
          <cell r="BD68">
            <v>338008</v>
          </cell>
          <cell r="BE68">
            <v>86327</v>
          </cell>
          <cell r="BF68">
            <v>87282</v>
          </cell>
          <cell r="BG68">
            <v>93673</v>
          </cell>
          <cell r="BH68">
            <v>116750</v>
          </cell>
          <cell r="BI68">
            <v>384032</v>
          </cell>
          <cell r="BJ68">
            <v>96931.090564483733</v>
          </cell>
          <cell r="BK68">
            <v>102431.24917043762</v>
          </cell>
          <cell r="BL68">
            <v>101837.76425567904</v>
          </cell>
          <cell r="BM68">
            <v>102313.81972509201</v>
          </cell>
          <cell r="BN68">
            <v>403513.92371569236</v>
          </cell>
          <cell r="BO68">
            <v>107926.65630564949</v>
          </cell>
          <cell r="BP68">
            <v>107452.7759131432</v>
          </cell>
          <cell r="BQ68">
            <v>107220.2015942484</v>
          </cell>
          <cell r="BR68">
            <v>106755.82567349204</v>
          </cell>
          <cell r="BS68">
            <v>429355.45948653313</v>
          </cell>
          <cell r="BT68">
            <v>109727.7200638435</v>
          </cell>
          <cell r="BU68">
            <v>110250.68998291434</v>
          </cell>
          <cell r="BV68">
            <v>111202.61082088843</v>
          </cell>
          <cell r="BW68">
            <v>111956.63579295127</v>
          </cell>
          <cell r="BX68">
            <v>443137.65666059754</v>
          </cell>
        </row>
        <row r="69">
          <cell r="A69" t="str">
            <v xml:space="preserve">  Preferred Conv D and G</v>
          </cell>
          <cell r="AA69">
            <v>3169</v>
          </cell>
          <cell r="AB69">
            <v>3168</v>
          </cell>
          <cell r="AC69">
            <v>3166</v>
          </cell>
          <cell r="AD69">
            <v>3165</v>
          </cell>
          <cell r="AE69">
            <v>12668</v>
          </cell>
          <cell r="AF69">
            <v>3163</v>
          </cell>
          <cell r="AG69">
            <v>3165</v>
          </cell>
          <cell r="AH69">
            <v>3018</v>
          </cell>
          <cell r="AI69">
            <v>2463</v>
          </cell>
          <cell r="AJ69">
            <v>11809</v>
          </cell>
          <cell r="AK69">
            <v>2464</v>
          </cell>
          <cell r="AL69">
            <v>2464</v>
          </cell>
          <cell r="AM69">
            <v>2463</v>
          </cell>
          <cell r="AN69">
            <v>2457</v>
          </cell>
          <cell r="AO69">
            <v>9848</v>
          </cell>
          <cell r="AP69">
            <v>40</v>
          </cell>
          <cell r="AQ69">
            <v>0</v>
          </cell>
          <cell r="AR69">
            <v>0</v>
          </cell>
          <cell r="AS69">
            <v>0</v>
          </cell>
          <cell r="AT69">
            <v>40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CG69" t="str">
            <v>mstag:adjustmentToFundsFromOperationsFffoForDilutiveItems</v>
          </cell>
          <cell r="CH69">
            <v>3</v>
          </cell>
          <cell r="CI69" t="str">
            <v>ISO4217:USD</v>
          </cell>
          <cell r="CJ69" t="b">
            <v>0</v>
          </cell>
          <cell r="CK69" t="b">
            <v>0</v>
          </cell>
        </row>
        <row r="70">
          <cell r="A70" t="str">
            <v xml:space="preserve">  JV Partner Convertible Ownership FFO</v>
          </cell>
          <cell r="AA70">
            <v>1341</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row>
        <row r="71">
          <cell r="A71" t="str">
            <v xml:space="preserve">  Unitholder Minority Interest</v>
          </cell>
          <cell r="AA71">
            <v>8635</v>
          </cell>
          <cell r="AB71">
            <v>7202</v>
          </cell>
          <cell r="AC71">
            <v>10916</v>
          </cell>
          <cell r="AD71">
            <v>5710</v>
          </cell>
          <cell r="AE71">
            <v>32463</v>
          </cell>
          <cell r="AF71">
            <v>5748</v>
          </cell>
          <cell r="AG71">
            <v>5483</v>
          </cell>
          <cell r="AH71">
            <v>4303</v>
          </cell>
          <cell r="AI71">
            <v>3034</v>
          </cell>
          <cell r="AJ71">
            <v>18568</v>
          </cell>
          <cell r="AK71">
            <v>4125</v>
          </cell>
          <cell r="AL71">
            <v>3760</v>
          </cell>
          <cell r="AM71">
            <v>4362</v>
          </cell>
          <cell r="AN71">
            <v>5299</v>
          </cell>
          <cell r="AO71">
            <v>17546</v>
          </cell>
          <cell r="AP71">
            <v>3336</v>
          </cell>
          <cell r="AQ71">
            <v>3487</v>
          </cell>
          <cell r="AR71">
            <v>4190</v>
          </cell>
          <cell r="AS71">
            <v>3953</v>
          </cell>
          <cell r="AT71">
            <v>14966</v>
          </cell>
          <cell r="AU71">
            <v>2487</v>
          </cell>
          <cell r="AV71">
            <v>3829</v>
          </cell>
          <cell r="AW71">
            <v>20255</v>
          </cell>
          <cell r="AX71">
            <v>3078</v>
          </cell>
          <cell r="AY71">
            <v>29649</v>
          </cell>
          <cell r="AZ71">
            <v>1149</v>
          </cell>
          <cell r="BA71">
            <v>2164</v>
          </cell>
          <cell r="BB71">
            <v>6083</v>
          </cell>
          <cell r="BC71">
            <v>4842</v>
          </cell>
          <cell r="BD71">
            <v>14238</v>
          </cell>
          <cell r="BE71">
            <v>4910</v>
          </cell>
          <cell r="BF71">
            <v>2618</v>
          </cell>
          <cell r="BG71">
            <v>3573</v>
          </cell>
          <cell r="BH71">
            <v>3298</v>
          </cell>
          <cell r="BI71">
            <v>14399</v>
          </cell>
          <cell r="BJ71">
            <v>3169.2583205319156</v>
          </cell>
          <cell r="BK71">
            <v>3353.3123081747522</v>
          </cell>
          <cell r="BL71">
            <v>3401.1254331328314</v>
          </cell>
          <cell r="BM71">
            <v>4443.1245385614975</v>
          </cell>
          <cell r="BN71">
            <v>14366.820600400995</v>
          </cell>
          <cell r="BO71">
            <v>4417.641283617746</v>
          </cell>
          <cell r="BP71">
            <v>4436.7517687400014</v>
          </cell>
          <cell r="BQ71">
            <v>4455.9617709963995</v>
          </cell>
          <cell r="BR71">
            <v>4475.2716666346787</v>
          </cell>
          <cell r="BS71">
            <v>17785.626489988827</v>
          </cell>
          <cell r="BT71">
            <v>4539.1290118238221</v>
          </cell>
          <cell r="BU71">
            <v>4607.5887512161389</v>
          </cell>
          <cell r="BV71">
            <v>4676.1993714354821</v>
          </cell>
          <cell r="BW71">
            <v>4744.9613823140044</v>
          </cell>
          <cell r="BX71">
            <v>18567.878516789446</v>
          </cell>
          <cell r="CG71" t="str">
            <v>mstag:shareOfNetIncomeToCommonUnitholdersOfOperatingPartnership</v>
          </cell>
          <cell r="CH71">
            <v>3</v>
          </cell>
          <cell r="CI71" t="str">
            <v>ISO4217:USD</v>
          </cell>
          <cell r="CJ71" t="b">
            <v>0</v>
          </cell>
          <cell r="CK71" t="b">
            <v>0</v>
          </cell>
        </row>
        <row r="72">
          <cell r="A72" t="str">
            <v xml:space="preserve">  Minority Interest Share of Add-Backs</v>
          </cell>
          <cell r="AA72">
            <v>3789</v>
          </cell>
          <cell r="AB72">
            <v>5689</v>
          </cell>
          <cell r="AC72">
            <v>1578</v>
          </cell>
          <cell r="AD72">
            <v>5427</v>
          </cell>
          <cell r="AE72">
            <v>16483</v>
          </cell>
          <cell r="AF72">
            <v>5329</v>
          </cell>
          <cell r="AG72">
            <v>4519</v>
          </cell>
          <cell r="AH72">
            <v>4607</v>
          </cell>
          <cell r="AI72">
            <v>5874</v>
          </cell>
          <cell r="AJ72">
            <v>20329</v>
          </cell>
          <cell r="AK72">
            <v>4349</v>
          </cell>
          <cell r="AL72">
            <v>5041</v>
          </cell>
          <cell r="AM72">
            <v>4815</v>
          </cell>
          <cell r="AN72">
            <v>4698</v>
          </cell>
          <cell r="AO72">
            <v>18903</v>
          </cell>
          <cell r="AP72">
            <v>4881</v>
          </cell>
          <cell r="AQ72">
            <v>5107</v>
          </cell>
          <cell r="AR72">
            <v>4574</v>
          </cell>
          <cell r="AS72">
            <v>5221</v>
          </cell>
          <cell r="AT72">
            <v>19783</v>
          </cell>
          <cell r="AU72">
            <v>5437</v>
          </cell>
          <cell r="AV72">
            <v>4463</v>
          </cell>
          <cell r="AW72">
            <v>-12038</v>
          </cell>
          <cell r="AX72">
            <v>5203</v>
          </cell>
          <cell r="AY72">
            <v>3065</v>
          </cell>
          <cell r="AZ72">
            <v>5588</v>
          </cell>
          <cell r="BA72">
            <v>5622</v>
          </cell>
          <cell r="BB72">
            <v>2621</v>
          </cell>
          <cell r="BC72">
            <v>5027</v>
          </cell>
          <cell r="BD72">
            <v>18858</v>
          </cell>
          <cell r="BE72">
            <v>1263</v>
          </cell>
          <cell r="BF72">
            <v>3579</v>
          </cell>
          <cell r="BG72">
            <v>2697</v>
          </cell>
          <cell r="BH72">
            <v>3444</v>
          </cell>
          <cell r="BI72">
            <v>10983</v>
          </cell>
          <cell r="BJ72">
            <v>3309.5590224111334</v>
          </cell>
          <cell r="BK72">
            <v>3501.7609427998323</v>
          </cell>
          <cell r="BL72">
            <v>3551.6907191356795</v>
          </cell>
          <cell r="BM72">
            <v>4639.8183477276525</v>
          </cell>
          <cell r="BN72">
            <v>15002.829032074298</v>
          </cell>
          <cell r="BO72">
            <v>4613.2069680956702</v>
          </cell>
          <cell r="BP72">
            <v>4633.1634601396509</v>
          </cell>
          <cell r="BQ72">
            <v>4653.2238748670716</v>
          </cell>
          <cell r="BR72">
            <v>4673.3886051818781</v>
          </cell>
          <cell r="BS72">
            <v>18572.98290828427</v>
          </cell>
          <cell r="BT72">
            <v>4740.0728674109296</v>
          </cell>
          <cell r="BU72">
            <v>4811.5632684015727</v>
          </cell>
          <cell r="BV72">
            <v>4883.2112296009109</v>
          </cell>
          <cell r="BW72">
            <v>4955.0172834109871</v>
          </cell>
          <cell r="BX72">
            <v>19389.864648824401</v>
          </cell>
        </row>
        <row r="73">
          <cell r="A73" t="str">
            <v>Total Diluted FFO</v>
          </cell>
          <cell r="C73">
            <v>23717</v>
          </cell>
          <cell r="D73">
            <v>24406</v>
          </cell>
          <cell r="E73">
            <v>26007</v>
          </cell>
          <cell r="F73">
            <v>33126</v>
          </cell>
          <cell r="G73">
            <v>107256</v>
          </cell>
          <cell r="I73">
            <v>34730</v>
          </cell>
          <cell r="J73">
            <v>36933.5</v>
          </cell>
          <cell r="K73">
            <v>39420.5</v>
          </cell>
          <cell r="L73">
            <v>42990</v>
          </cell>
          <cell r="M73">
            <v>154074</v>
          </cell>
          <cell r="O73">
            <v>44860</v>
          </cell>
          <cell r="P73">
            <v>48624.037499999999</v>
          </cell>
          <cell r="Q73">
            <v>68772</v>
          </cell>
          <cell r="R73">
            <v>72017</v>
          </cell>
          <cell r="S73">
            <v>234273.03750000001</v>
          </cell>
          <cell r="U73">
            <v>75030</v>
          </cell>
          <cell r="V73">
            <v>78790</v>
          </cell>
          <cell r="W73">
            <v>81667</v>
          </cell>
          <cell r="X73">
            <v>81873</v>
          </cell>
          <cell r="Y73">
            <v>317360</v>
          </cell>
          <cell r="AA73">
            <v>101526</v>
          </cell>
          <cell r="AB73">
            <v>104813</v>
          </cell>
          <cell r="AC73">
            <v>104544</v>
          </cell>
          <cell r="AD73">
            <v>98822</v>
          </cell>
          <cell r="AE73">
            <v>408364</v>
          </cell>
          <cell r="AF73">
            <v>101519</v>
          </cell>
          <cell r="AG73">
            <v>102002</v>
          </cell>
          <cell r="AH73">
            <v>92577</v>
          </cell>
          <cell r="AI73">
            <v>92259</v>
          </cell>
          <cell r="AJ73">
            <v>388357</v>
          </cell>
          <cell r="AK73">
            <v>88128</v>
          </cell>
          <cell r="AL73">
            <v>92048</v>
          </cell>
          <cell r="AM73">
            <v>96370</v>
          </cell>
          <cell r="AN73">
            <v>106191</v>
          </cell>
          <cell r="AO73">
            <v>382737</v>
          </cell>
          <cell r="AP73">
            <v>89238</v>
          </cell>
          <cell r="AQ73">
            <v>95318</v>
          </cell>
          <cell r="AR73">
            <v>98041</v>
          </cell>
          <cell r="AS73">
            <v>104661</v>
          </cell>
          <cell r="AT73">
            <v>387258</v>
          </cell>
          <cell r="AU73">
            <v>89549</v>
          </cell>
          <cell r="AV73">
            <v>96133</v>
          </cell>
          <cell r="AW73">
            <v>95392</v>
          </cell>
          <cell r="AX73">
            <v>92829</v>
          </cell>
          <cell r="AY73">
            <v>373903</v>
          </cell>
          <cell r="AZ73">
            <v>74414</v>
          </cell>
          <cell r="BA73">
            <v>86542</v>
          </cell>
          <cell r="BB73">
            <v>97491</v>
          </cell>
          <cell r="BC73">
            <v>112657</v>
          </cell>
          <cell r="BD73">
            <v>371104</v>
          </cell>
          <cell r="BE73">
            <v>92500</v>
          </cell>
          <cell r="BF73">
            <v>93479</v>
          </cell>
          <cell r="BG73">
            <v>99943</v>
          </cell>
          <cell r="BH73">
            <v>123492</v>
          </cell>
          <cell r="BI73">
            <v>409414</v>
          </cell>
          <cell r="BJ73">
            <v>103409.90790742678</v>
          </cell>
          <cell r="BK73">
            <v>109286.32242141219</v>
          </cell>
          <cell r="BL73">
            <v>108790.58040794755</v>
          </cell>
          <cell r="BM73">
            <v>111396.76261138116</v>
          </cell>
          <cell r="BN73">
            <v>432883.57334816764</v>
          </cell>
          <cell r="BO73">
            <v>116957.5045573629</v>
          </cell>
          <cell r="BP73">
            <v>116522.69114202284</v>
          </cell>
          <cell r="BQ73">
            <v>116329.38724011186</v>
          </cell>
          <cell r="BR73">
            <v>115904.48594530861</v>
          </cell>
          <cell r="BS73">
            <v>465714.06888480624</v>
          </cell>
          <cell r="BT73">
            <v>119006.92194307825</v>
          </cell>
          <cell r="BU73">
            <v>119669.84200253205</v>
          </cell>
          <cell r="BV73">
            <v>120762.02142192482</v>
          </cell>
          <cell r="BW73">
            <v>121656.61445867627</v>
          </cell>
          <cell r="BX73">
            <v>481095.39982621139</v>
          </cell>
        </row>
        <row r="75">
          <cell r="A75" t="str">
            <v>Diluted EPS before Extraordinary</v>
          </cell>
          <cell r="C75">
            <v>0.23997958331979519</v>
          </cell>
          <cell r="D75">
            <v>0.23001739530029511</v>
          </cell>
          <cell r="E75">
            <v>0.25541024630815068</v>
          </cell>
          <cell r="F75">
            <v>0.25403856320050994</v>
          </cell>
          <cell r="G75">
            <v>0.98099569985910451</v>
          </cell>
          <cell r="I75">
            <v>0.28687774642079356</v>
          </cell>
          <cell r="J75">
            <v>0.26992800602625372</v>
          </cell>
          <cell r="K75">
            <v>0.28738019952447486</v>
          </cell>
          <cell r="L75">
            <v>0.27327633723862133</v>
          </cell>
          <cell r="M75">
            <v>1.1136697877346928</v>
          </cell>
          <cell r="O75">
            <v>0.31391378085394084</v>
          </cell>
          <cell r="P75">
            <v>0.33137064178068387</v>
          </cell>
          <cell r="Q75">
            <v>0.34545333355551483</v>
          </cell>
          <cell r="R75">
            <v>0.32548802655496722</v>
          </cell>
          <cell r="S75">
            <v>1.3200234205874291</v>
          </cell>
          <cell r="U75">
            <v>0.38389735289264643</v>
          </cell>
          <cell r="V75">
            <v>0.35153354336545589</v>
          </cell>
          <cell r="W75">
            <v>0.35056837593564616</v>
          </cell>
          <cell r="X75">
            <v>0.56315955498484793</v>
          </cell>
          <cell r="Y75">
            <v>1.6510181277844329</v>
          </cell>
          <cell r="AA75">
            <v>0.45771384512340441</v>
          </cell>
          <cell r="AB75">
            <v>0.37976667380202439</v>
          </cell>
          <cell r="AC75">
            <v>0.58492197753013553</v>
          </cell>
          <cell r="AD75">
            <v>0.33518709959780568</v>
          </cell>
          <cell r="AE75">
            <v>1.7512584052331381</v>
          </cell>
          <cell r="AF75">
            <v>0.33907977114099991</v>
          </cell>
          <cell r="AG75">
            <v>0.35688126020385652</v>
          </cell>
          <cell r="AH75">
            <v>0.28747137908765336</v>
          </cell>
          <cell r="AI75">
            <v>0.20845336064184833</v>
          </cell>
          <cell r="AJ75">
            <v>1.1911882559320468</v>
          </cell>
          <cell r="AK75">
            <v>0.27592122216086878</v>
          </cell>
          <cell r="AL75">
            <v>0.25346386426348855</v>
          </cell>
          <cell r="AM75">
            <v>0.29422962870761549</v>
          </cell>
          <cell r="AN75">
            <v>0.3624888798144934</v>
          </cell>
          <cell r="AO75">
            <v>1.1865871265142798</v>
          </cell>
          <cell r="AP75">
            <v>0.23598384006544343</v>
          </cell>
          <cell r="AQ75">
            <v>0.2429612211047891</v>
          </cell>
          <cell r="AR75">
            <v>0.29704471002395805</v>
          </cell>
          <cell r="AS75">
            <v>0.28642824328651179</v>
          </cell>
          <cell r="AT75">
            <v>1.0633288641080205</v>
          </cell>
          <cell r="AU75">
            <v>0.17712112997177851</v>
          </cell>
          <cell r="AV75">
            <v>0.27936334079707181</v>
          </cell>
          <cell r="AW75">
            <v>1.4874090186564042</v>
          </cell>
          <cell r="AX75">
            <v>0.21819145383532007</v>
          </cell>
          <cell r="AY75">
            <v>2.1723845374207138</v>
          </cell>
          <cell r="AZ75">
            <v>8.4256390252518937E-2</v>
          </cell>
          <cell r="BA75">
            <v>0.15961340585036013</v>
          </cell>
          <cell r="BB75">
            <v>0.45266499974336227</v>
          </cell>
          <cell r="BC75">
            <v>0.36859767515292147</v>
          </cell>
          <cell r="BD75">
            <v>1.0659129352000309</v>
          </cell>
          <cell r="BE75">
            <v>0.49468967806173247</v>
          </cell>
          <cell r="BF75">
            <v>0.26799280071125503</v>
          </cell>
          <cell r="BG75">
            <v>0.38553529517963531</v>
          </cell>
          <cell r="BH75">
            <v>0.40094039816567684</v>
          </cell>
          <cell r="BI75">
            <v>1.550123633489455</v>
          </cell>
          <cell r="BJ75">
            <v>0.25141701973349595</v>
          </cell>
          <cell r="BK75">
            <v>0.26019978794037157</v>
          </cell>
          <cell r="BL75">
            <v>0.23153544557822628</v>
          </cell>
          <cell r="BM75">
            <v>0.22718731281262536</v>
          </cell>
          <cell r="BN75">
            <v>0.96983703241189501</v>
          </cell>
          <cell r="BO75">
            <v>0.27128242061346852</v>
          </cell>
          <cell r="BP75">
            <v>0.25392727793056891</v>
          </cell>
          <cell r="BQ75">
            <v>0.2384126898367237</v>
          </cell>
          <cell r="BR75">
            <v>0.22170191755925581</v>
          </cell>
          <cell r="BS75">
            <v>0.98451081414923747</v>
          </cell>
          <cell r="BT75">
            <v>0.22934349076145977</v>
          </cell>
          <cell r="BU75">
            <v>0.21800945785848858</v>
          </cell>
          <cell r="BV75">
            <v>0.20946626965756798</v>
          </cell>
          <cell r="BW75">
            <v>0.19983044341929854</v>
          </cell>
          <cell r="BX75">
            <v>0.85616883439970048</v>
          </cell>
        </row>
        <row r="76">
          <cell r="A76" t="str">
            <v>Diluted EPS after Extraordinary</v>
          </cell>
          <cell r="O76">
            <v>0.31391378085394084</v>
          </cell>
          <cell r="P76">
            <v>0.33137064178068387</v>
          </cell>
          <cell r="Q76">
            <v>0.34545333355551483</v>
          </cell>
          <cell r="R76">
            <v>0.32548802655496722</v>
          </cell>
          <cell r="S76">
            <v>1.3200234205874291</v>
          </cell>
          <cell r="U76">
            <v>0.38389735289264643</v>
          </cell>
          <cell r="V76">
            <v>0.35153354336545589</v>
          </cell>
          <cell r="W76">
            <v>0.35056837593564616</v>
          </cell>
          <cell r="X76">
            <v>0.56315955498484793</v>
          </cell>
          <cell r="Y76">
            <v>1.6510181277844329</v>
          </cell>
          <cell r="AA76">
            <v>0.45771384512340441</v>
          </cell>
          <cell r="AB76">
            <v>0.37976667380202439</v>
          </cell>
          <cell r="AC76">
            <v>0.58492197753013553</v>
          </cell>
          <cell r="AD76">
            <v>0.33518709959780568</v>
          </cell>
          <cell r="AE76">
            <v>1.7512584052331381</v>
          </cell>
          <cell r="AF76">
            <v>0.33907977114099991</v>
          </cell>
          <cell r="AG76">
            <v>0.35688126020385652</v>
          </cell>
          <cell r="AH76">
            <v>0.28747137908765336</v>
          </cell>
          <cell r="AI76">
            <v>0.20845336064184833</v>
          </cell>
          <cell r="AJ76">
            <v>1.1911882559320468</v>
          </cell>
          <cell r="AK76">
            <v>0.27592122216086878</v>
          </cell>
          <cell r="AL76">
            <v>0.25346386426348855</v>
          </cell>
          <cell r="AM76">
            <v>0.29422962870761549</v>
          </cell>
          <cell r="AN76">
            <v>0.3624888798144934</v>
          </cell>
          <cell r="AO76">
            <v>1.1865871265142798</v>
          </cell>
          <cell r="AP76">
            <v>0.23598384006544343</v>
          </cell>
          <cell r="AQ76">
            <v>0.2429612211047891</v>
          </cell>
          <cell r="AR76">
            <v>0.29704471002395805</v>
          </cell>
          <cell r="AS76">
            <v>0.28642824328651179</v>
          </cell>
          <cell r="AT76">
            <v>1.0633288641080205</v>
          </cell>
          <cell r="AU76">
            <v>0.17712112997177851</v>
          </cell>
          <cell r="AV76">
            <v>0.27936334079707181</v>
          </cell>
          <cell r="AW76">
            <v>1.4874090186564042</v>
          </cell>
          <cell r="AX76">
            <v>0.21819145383532007</v>
          </cell>
          <cell r="AY76">
            <v>2.1723845374207138</v>
          </cell>
          <cell r="AZ76">
            <v>8.4256390252518937E-2</v>
          </cell>
          <cell r="BA76">
            <v>0.15961340585036013</v>
          </cell>
          <cell r="BB76">
            <v>0.45266499974336227</v>
          </cell>
          <cell r="BC76">
            <v>0.36859767515292147</v>
          </cell>
          <cell r="BD76">
            <v>1.0659129352000309</v>
          </cell>
          <cell r="BE76">
            <v>0.49468967806173247</v>
          </cell>
          <cell r="BF76">
            <v>0.26799280071125503</v>
          </cell>
          <cell r="BG76">
            <v>0.38553529517963531</v>
          </cell>
          <cell r="BH76">
            <v>0.40094039816567684</v>
          </cell>
          <cell r="BI76">
            <v>1.550123633489455</v>
          </cell>
          <cell r="BJ76">
            <v>0.25141701973349595</v>
          </cell>
          <cell r="BK76">
            <v>0.26019978794037157</v>
          </cell>
          <cell r="BL76">
            <v>0.23153544557822628</v>
          </cell>
          <cell r="BM76">
            <v>0.22718731281262536</v>
          </cell>
          <cell r="BN76">
            <v>0.96983703241189501</v>
          </cell>
          <cell r="BO76">
            <v>0.27128242061346852</v>
          </cell>
          <cell r="BP76">
            <v>0.25392727793056891</v>
          </cell>
          <cell r="BQ76">
            <v>0.2384126898367237</v>
          </cell>
          <cell r="BR76">
            <v>0.22170191755925581</v>
          </cell>
          <cell r="BS76">
            <v>0.98451081414923747</v>
          </cell>
          <cell r="BT76">
            <v>0.22934349076145977</v>
          </cell>
          <cell r="BU76">
            <v>0.21800945785848858</v>
          </cell>
          <cell r="BV76">
            <v>0.20946626965756798</v>
          </cell>
          <cell r="BW76">
            <v>0.19983044341929854</v>
          </cell>
          <cell r="BX76">
            <v>0.85616883439970048</v>
          </cell>
        </row>
        <row r="77">
          <cell r="A77" t="str">
            <v>Normalized Earnings Per Share</v>
          </cell>
          <cell r="O77">
            <v>0.28739715353058465</v>
          </cell>
          <cell r="P77">
            <v>0.30930243298922899</v>
          </cell>
          <cell r="Q77">
            <v>0.3196663944943427</v>
          </cell>
          <cell r="R77">
            <v>0.30467873231644671</v>
          </cell>
          <cell r="S77">
            <v>1.2253673794466029</v>
          </cell>
          <cell r="U77">
            <v>0.26850578686425031</v>
          </cell>
          <cell r="V77">
            <v>0.32524091919940695</v>
          </cell>
          <cell r="W77">
            <v>0.31594558499239062</v>
          </cell>
          <cell r="X77">
            <v>0.27978886491375232</v>
          </cell>
          <cell r="Y77">
            <v>1.1897582806283618</v>
          </cell>
          <cell r="AA77">
            <v>0.36022866221699545</v>
          </cell>
          <cell r="AB77">
            <v>0.37865049998470995</v>
          </cell>
          <cell r="AC77">
            <v>0.35344899522837786</v>
          </cell>
          <cell r="AD77">
            <v>0.34344227039834596</v>
          </cell>
          <cell r="AE77">
            <v>1.4307972311277291</v>
          </cell>
          <cell r="AF77">
            <v>0.33980618877871971</v>
          </cell>
          <cell r="AG77">
            <v>0.34884319522275664</v>
          </cell>
          <cell r="AH77">
            <v>0.26197675101273998</v>
          </cell>
          <cell r="AI77">
            <v>0.27739753781320681</v>
          </cell>
          <cell r="AJ77">
            <v>1.2272920321299972</v>
          </cell>
          <cell r="AK77">
            <v>0.22983986747653229</v>
          </cell>
          <cell r="AL77">
            <v>0.25363265425937886</v>
          </cell>
          <cell r="AM77">
            <v>0.29415640993725151</v>
          </cell>
          <cell r="AN77">
            <v>0.34518514197377825</v>
          </cell>
          <cell r="AO77">
            <v>1.1234215945650821</v>
          </cell>
          <cell r="AP77">
            <v>0.23598384006544343</v>
          </cell>
          <cell r="AQ77">
            <v>0.24261129423950395</v>
          </cell>
          <cell r="AR77">
            <v>0.29704471002395805</v>
          </cell>
          <cell r="AS77">
            <v>0.28619854384475102</v>
          </cell>
          <cell r="AT77">
            <v>1.0627454632677125</v>
          </cell>
          <cell r="AU77">
            <v>0.16242649205488593</v>
          </cell>
          <cell r="AV77">
            <v>0.27768573270573227</v>
          </cell>
          <cell r="AW77">
            <v>1.4877994366825622</v>
          </cell>
          <cell r="AX77">
            <v>0.21808981749016304</v>
          </cell>
          <cell r="AY77">
            <v>2.1561258885959349</v>
          </cell>
          <cell r="AZ77">
            <v>9.1027518749402E-2</v>
          </cell>
          <cell r="BA77">
            <v>0.15939291489048948</v>
          </cell>
          <cell r="BB77">
            <v>0.45094186055037799</v>
          </cell>
          <cell r="BC77">
            <v>0.36859767515292147</v>
          </cell>
          <cell r="BD77">
            <v>1.0707247686371308</v>
          </cell>
          <cell r="BE77">
            <v>0.49468967806173247</v>
          </cell>
          <cell r="BF77">
            <v>0.26799280071125503</v>
          </cell>
          <cell r="BG77">
            <v>0.38553529517963531</v>
          </cell>
          <cell r="BH77">
            <v>0.40094039816567684</v>
          </cell>
          <cell r="BI77">
            <v>1.550123633489455</v>
          </cell>
          <cell r="BJ77">
            <v>0.20912362987905084</v>
          </cell>
          <cell r="BK77">
            <v>0.21832318613564536</v>
          </cell>
          <cell r="BL77">
            <v>0.19007154361808778</v>
          </cell>
          <cell r="BM77">
            <v>0.18613206221763967</v>
          </cell>
          <cell r="BN77">
            <v>0.8031683247677992</v>
          </cell>
          <cell r="BO77">
            <v>0.21437156890633377</v>
          </cell>
          <cell r="BP77">
            <v>0.19757736712446722</v>
          </cell>
          <cell r="BQ77">
            <v>0.1826182157469261</v>
          </cell>
          <cell r="BR77">
            <v>0.16645742952541376</v>
          </cell>
          <cell r="BS77">
            <v>0.7602385992953955</v>
          </cell>
          <cell r="BT77">
            <v>0.1746435911366325</v>
          </cell>
          <cell r="BU77">
            <v>0.16384880150286163</v>
          </cell>
          <cell r="BV77">
            <v>0.15583956343682304</v>
          </cell>
          <cell r="BW77">
            <v>0.14673244570759578</v>
          </cell>
          <cell r="BX77">
            <v>0.64061002469477457</v>
          </cell>
        </row>
        <row r="79">
          <cell r="A79" t="str">
            <v xml:space="preserve">FFO Per Share - Diluted </v>
          </cell>
          <cell r="C79">
            <v>0.3797941930865863</v>
          </cell>
          <cell r="D79">
            <v>0.38199541029525058</v>
          </cell>
          <cell r="E79">
            <v>0.39278897024043963</v>
          </cell>
          <cell r="F79">
            <v>0.43364327757292032</v>
          </cell>
          <cell r="G79">
            <v>1.5882218511951969</v>
          </cell>
          <cell r="I79">
            <v>0.44754577904923903</v>
          </cell>
          <cell r="J79">
            <v>0.45608738067894145</v>
          </cell>
          <cell r="K79">
            <v>0.48312988700149523</v>
          </cell>
          <cell r="L79">
            <v>0.50416915877986135</v>
          </cell>
          <cell r="M79">
            <v>1.890932205509537</v>
          </cell>
          <cell r="O79">
            <v>0.51406045882703455</v>
          </cell>
          <cell r="P79">
            <v>0.54441674877398838</v>
          </cell>
          <cell r="Q79">
            <v>0.57299495092566366</v>
          </cell>
          <cell r="R79">
            <v>0.5691693669485498</v>
          </cell>
          <cell r="S79">
            <v>2.19</v>
          </cell>
          <cell r="U79">
            <v>0.58952942932796948</v>
          </cell>
          <cell r="V79">
            <v>0.60839819619471214</v>
          </cell>
          <cell r="W79">
            <v>0.63411963847563435</v>
          </cell>
          <cell r="X79">
            <v>0.62795454198535172</v>
          </cell>
          <cell r="Y79">
            <v>2.4600018059836675</v>
          </cell>
          <cell r="AA79">
            <v>0.6446422675437482</v>
          </cell>
          <cell r="AB79">
            <v>0.6717576332453149</v>
          </cell>
          <cell r="AC79">
            <v>0.66771838614285073</v>
          </cell>
          <cell r="AD79">
            <v>0.63227465834058449</v>
          </cell>
          <cell r="AE79">
            <v>2.6164600352394682</v>
          </cell>
          <cell r="AF79">
            <v>0.64775656568234607</v>
          </cell>
          <cell r="AG79">
            <v>0.64744265166998849</v>
          </cell>
          <cell r="AH79">
            <v>0.58814523045646583</v>
          </cell>
          <cell r="AI79">
            <v>0.59254335260115609</v>
          </cell>
          <cell r="AJ79">
            <v>2.4759139072003262</v>
          </cell>
          <cell r="AK79">
            <v>0.56625159026947836</v>
          </cell>
          <cell r="AL79">
            <v>0.58995673770229129</v>
          </cell>
          <cell r="AM79">
            <v>0.61677194734046303</v>
          </cell>
          <cell r="AN79">
            <v>0.67784373803140563</v>
          </cell>
          <cell r="AO79">
            <v>2.451211077096489</v>
          </cell>
          <cell r="AP79">
            <v>0.56841300678365558</v>
          </cell>
          <cell r="AQ79">
            <v>0.60778687479276661</v>
          </cell>
          <cell r="AR79">
            <v>0.62404761147003596</v>
          </cell>
          <cell r="AS79">
            <v>0.66514775977121066</v>
          </cell>
          <cell r="AT79">
            <v>2.4655200404916293</v>
          </cell>
          <cell r="AU79">
            <v>0.56777200101445602</v>
          </cell>
          <cell r="AV79">
            <v>0.6093661851304838</v>
          </cell>
          <cell r="AW79">
            <v>0.60804548612660392</v>
          </cell>
          <cell r="AX79">
            <v>0.61417182176056107</v>
          </cell>
          <cell r="AY79">
            <v>2.3987092366244487</v>
          </cell>
          <cell r="AZ79">
            <v>0.49853616051988076</v>
          </cell>
          <cell r="BA79">
            <v>0.57940333681476131</v>
          </cell>
          <cell r="BB79">
            <v>0.65172137174944844</v>
          </cell>
          <cell r="BC79">
            <v>0.7559857737216481</v>
          </cell>
          <cell r="BD79">
            <v>2.4854639432455015</v>
          </cell>
          <cell r="BE79">
            <v>0.62362213218092455</v>
          </cell>
          <cell r="BF79">
            <v>0.63106481512735524</v>
          </cell>
          <cell r="BG79">
            <v>0.67688671258575961</v>
          </cell>
          <cell r="BH79">
            <v>0.79947173182621534</v>
          </cell>
          <cell r="BI79">
            <v>2.7359290580613256</v>
          </cell>
          <cell r="BJ79">
            <v>0.66321040108922047</v>
          </cell>
          <cell r="BK79">
            <v>0.69434862153219257</v>
          </cell>
          <cell r="BL79">
            <v>0.68473632523787697</v>
          </cell>
          <cell r="BM79">
            <v>0.6945806679454869</v>
          </cell>
          <cell r="BN79">
            <v>2.7372718963852281</v>
          </cell>
          <cell r="BO79">
            <v>0.72242708968640734</v>
          </cell>
          <cell r="BP79">
            <v>0.71300080882457328</v>
          </cell>
          <cell r="BQ79">
            <v>0.70514810396017447</v>
          </cell>
          <cell r="BR79">
            <v>0.69598575586015266</v>
          </cell>
          <cell r="BS79">
            <v>2.8361514232081162</v>
          </cell>
          <cell r="BT79">
            <v>0.70791215722329559</v>
          </cell>
          <cell r="BU79">
            <v>0.70517476846347948</v>
          </cell>
          <cell r="BV79">
            <v>0.70492870515705774</v>
          </cell>
          <cell r="BW79">
            <v>0.70347912957617653</v>
          </cell>
          <cell r="BX79">
            <v>2.8214309283894101</v>
          </cell>
        </row>
        <row r="80">
          <cell r="AC80">
            <v>5.2984871668672273E-2</v>
          </cell>
        </row>
        <row r="81">
          <cell r="A81" t="str">
            <v>Adjusted FFO Per Share - Diluted</v>
          </cell>
          <cell r="C81">
            <v>0.31736196363814018</v>
          </cell>
          <cell r="D81">
            <v>0.32071424485528877</v>
          </cell>
          <cell r="E81">
            <v>0.33893193788516279</v>
          </cell>
          <cell r="F81">
            <v>0.36422502846735111</v>
          </cell>
          <cell r="G81">
            <v>1.341233174845943</v>
          </cell>
          <cell r="I81">
            <v>0.39057932458176875</v>
          </cell>
          <cell r="J81">
            <v>0.38450946496512245</v>
          </cell>
          <cell r="K81">
            <v>0.40815052401518537</v>
          </cell>
          <cell r="L81">
            <v>0.43442083977576035</v>
          </cell>
          <cell r="M81">
            <v>1.617660153337837</v>
          </cell>
          <cell r="O81">
            <v>0.43369876494157772</v>
          </cell>
          <cell r="P81">
            <v>0.4542556540225593</v>
          </cell>
          <cell r="Q81">
            <v>0.47858332172338341</v>
          </cell>
          <cell r="R81">
            <v>0.45785791203577603</v>
          </cell>
          <cell r="S81">
            <v>1.8243956527232965</v>
          </cell>
          <cell r="U81">
            <v>0.47248784090641233</v>
          </cell>
          <cell r="V81">
            <v>0.47589263652087965</v>
          </cell>
          <cell r="W81">
            <v>0.52341833090039447</v>
          </cell>
          <cell r="X81">
            <v>0.52478200735623215</v>
          </cell>
          <cell r="Y81">
            <v>1.9965808156839184</v>
          </cell>
          <cell r="AA81">
            <v>0.57715102737356738</v>
          </cell>
          <cell r="AB81">
            <v>0.59368215039295436</v>
          </cell>
          <cell r="AC81">
            <v>0.57645595163137886</v>
          </cell>
          <cell r="AD81">
            <v>0.52476173947163884</v>
          </cell>
          <cell r="AE81">
            <v>2.2720508688695396</v>
          </cell>
          <cell r="AF81">
            <v>0.55174040679387715</v>
          </cell>
          <cell r="AG81">
            <v>0.53021076938916589</v>
          </cell>
          <cell r="AH81">
            <v>0.47038836376445725</v>
          </cell>
          <cell r="AI81">
            <v>0.44941908010579595</v>
          </cell>
          <cell r="AJ81">
            <v>2.001758620053296</v>
          </cell>
          <cell r="AK81">
            <v>0.43326339039204859</v>
          </cell>
          <cell r="AL81">
            <v>0.42773586567251803</v>
          </cell>
          <cell r="AM81">
            <v>0.42386346163702526</v>
          </cell>
          <cell r="AN81">
            <v>0.48947775233706192</v>
          </cell>
          <cell r="AO81">
            <v>1.7746223919209094</v>
          </cell>
          <cell r="AP81">
            <v>0.39154832552365509</v>
          </cell>
          <cell r="AQ81">
            <v>0.41150699503803706</v>
          </cell>
          <cell r="AR81">
            <v>0.41976852207561799</v>
          </cell>
          <cell r="AS81">
            <v>0.42274442108780086</v>
          </cell>
          <cell r="AT81">
            <v>1.6461392746500034</v>
          </cell>
          <cell r="AU81">
            <v>0.38493139258456022</v>
          </cell>
          <cell r="AV81">
            <v>0.39785654371139595</v>
          </cell>
          <cell r="AW81">
            <v>0.40785437407624309</v>
          </cell>
          <cell r="AX81">
            <v>0.37020312749553524</v>
          </cell>
          <cell r="AY81">
            <v>1.5616734323209152</v>
          </cell>
          <cell r="AZ81">
            <v>0.37732849541108848</v>
          </cell>
          <cell r="BA81">
            <v>0.4554975745994414</v>
          </cell>
          <cell r="BB81">
            <v>0.51610585207399962</v>
          </cell>
          <cell r="BC81">
            <v>0.65117747703424123</v>
          </cell>
          <cell r="BD81">
            <v>2.0004517981013459</v>
          </cell>
          <cell r="BE81">
            <v>0.4922221099871571</v>
          </cell>
          <cell r="BF81">
            <v>0.49005760876636284</v>
          </cell>
          <cell r="BG81">
            <v>0.53608232532948186</v>
          </cell>
          <cell r="BH81">
            <v>0.64769240232092451</v>
          </cell>
          <cell r="BI81">
            <v>2.1719902944595462</v>
          </cell>
          <cell r="BJ81">
            <v>0.48538916167690921</v>
          </cell>
          <cell r="BK81">
            <v>0.50755989146092906</v>
          </cell>
          <cell r="BL81">
            <v>0.49600522793128182</v>
          </cell>
          <cell r="BM81">
            <v>0.48889005576609429</v>
          </cell>
          <cell r="BN81">
            <v>1.9778376864472573</v>
          </cell>
          <cell r="BO81">
            <v>0.5215279788782935</v>
          </cell>
          <cell r="BP81">
            <v>0.51247385994515127</v>
          </cell>
          <cell r="BQ81">
            <v>0.50508205953838503</v>
          </cell>
          <cell r="BR81">
            <v>0.49631851072617605</v>
          </cell>
          <cell r="BS81">
            <v>2.0349912429116861</v>
          </cell>
          <cell r="BT81">
            <v>0.50740775730852117</v>
          </cell>
          <cell r="BU81">
            <v>0.5028906256223864</v>
          </cell>
          <cell r="BV81">
            <v>0.50103438854145732</v>
          </cell>
          <cell r="BW81">
            <v>0.49795725539350183</v>
          </cell>
          <cell r="BX81">
            <v>2.0091404594016291</v>
          </cell>
        </row>
        <row r="82">
          <cell r="A82" t="str">
            <v>NOI Per Share</v>
          </cell>
          <cell r="C82">
            <v>0.59645799679116585</v>
          </cell>
          <cell r="D82">
            <v>0.59664283538699303</v>
          </cell>
          <cell r="E82">
            <v>0.61563671338258164</v>
          </cell>
          <cell r="F82">
            <v>0.69005126156799346</v>
          </cell>
          <cell r="G82">
            <v>2.5096331149806952</v>
          </cell>
          <cell r="I82">
            <v>0.74737438950528989</v>
          </cell>
          <cell r="J82">
            <v>0.75559095567986767</v>
          </cell>
          <cell r="K82">
            <v>0.79967889795818325</v>
          </cell>
          <cell r="L82">
            <v>0.82699457012513344</v>
          </cell>
          <cell r="M82">
            <v>3.1245404186479728</v>
          </cell>
          <cell r="O82">
            <v>0.8312974125088809</v>
          </cell>
          <cell r="P82">
            <v>0.87302102693866579</v>
          </cell>
          <cell r="Q82">
            <v>0.98956857909383278</v>
          </cell>
          <cell r="R82">
            <v>0.9770568244685055</v>
          </cell>
          <cell r="S82">
            <v>3.7143397332274564</v>
          </cell>
          <cell r="U82">
            <v>0.83345002453787009</v>
          </cell>
          <cell r="V82">
            <v>1.0121695082777367</v>
          </cell>
          <cell r="W82">
            <v>1.0606966487560954</v>
          </cell>
          <cell r="X82">
            <v>0.9799474797711144</v>
          </cell>
          <cell r="Y82">
            <v>4.0533356371802922</v>
          </cell>
          <cell r="AA82">
            <v>1.0403877345509613</v>
          </cell>
          <cell r="AB82">
            <v>1.0241735726736185</v>
          </cell>
          <cell r="AC82">
            <v>0.97734048444481536</v>
          </cell>
          <cell r="AD82">
            <v>1.0043916904990078</v>
          </cell>
          <cell r="AE82">
            <v>4.0455386583610649</v>
          </cell>
          <cell r="AF82">
            <v>0.93131234460653622</v>
          </cell>
          <cell r="AG82">
            <v>0.96315580461545247</v>
          </cell>
          <cell r="AH82">
            <v>0.95394968590383378</v>
          </cell>
          <cell r="AI82">
            <v>0.93645613078617584</v>
          </cell>
          <cell r="AJ82">
            <v>3.7848767426830396</v>
          </cell>
          <cell r="AK82">
            <v>0.91268912203202646</v>
          </cell>
          <cell r="AL82">
            <v>0.93521399636000702</v>
          </cell>
          <cell r="AM82">
            <v>0.94870292948300228</v>
          </cell>
          <cell r="AN82">
            <v>0.96251221397424491</v>
          </cell>
          <cell r="AO82">
            <v>3.7593714959948992</v>
          </cell>
          <cell r="AP82">
            <v>0.92945456632964252</v>
          </cell>
          <cell r="AQ82">
            <v>0.90641555914813798</v>
          </cell>
          <cell r="AR82">
            <v>0.91918528711225356</v>
          </cell>
          <cell r="AS82">
            <v>0.95695571673186419</v>
          </cell>
          <cell r="AT82">
            <v>3.7121162865482176</v>
          </cell>
          <cell r="AU82">
            <v>0.89733911665345956</v>
          </cell>
          <cell r="AV82">
            <v>0.96890879219149684</v>
          </cell>
          <cell r="AW82">
            <v>0.79374773418109823</v>
          </cell>
          <cell r="AX82">
            <v>0.89657775906378412</v>
          </cell>
          <cell r="AY82">
            <v>3.5567585987630359</v>
          </cell>
          <cell r="AZ82">
            <v>0.97539577982056513</v>
          </cell>
          <cell r="BA82">
            <v>1.0410848155225636</v>
          </cell>
          <cell r="BB82">
            <v>1.0455128722163969</v>
          </cell>
          <cell r="BC82">
            <v>1.0975686769813704</v>
          </cell>
          <cell r="BD82">
            <v>4.159716138558764</v>
          </cell>
          <cell r="BE82">
            <v>1.0048341245905423</v>
          </cell>
          <cell r="BF82">
            <v>0.95751985948376184</v>
          </cell>
          <cell r="BG82">
            <v>0.9650189564903412</v>
          </cell>
          <cell r="BH82">
            <v>0.9980043876135346</v>
          </cell>
          <cell r="BI82">
            <v>3.9263503999173999</v>
          </cell>
          <cell r="BJ82">
            <v>0.94959534582459793</v>
          </cell>
          <cell r="BK82">
            <v>0.99484146395761663</v>
          </cell>
          <cell r="BL82">
            <v>0.99908228962972334</v>
          </cell>
          <cell r="BM82">
            <v>1.0185019271534774</v>
          </cell>
          <cell r="BN82">
            <v>3.963064407191828</v>
          </cell>
          <cell r="BO82">
            <v>1.0026795527109211</v>
          </cell>
          <cell r="BP82">
            <v>0.99709144412326778</v>
          </cell>
          <cell r="BQ82">
            <v>0.99153778833358286</v>
          </cell>
          <cell r="BR82">
            <v>0.98601831665416306</v>
          </cell>
          <cell r="BS82">
            <v>3.9770520411687382</v>
          </cell>
          <cell r="BT82">
            <v>0.99022909234250145</v>
          </cell>
          <cell r="BU82">
            <v>0.99525473790687058</v>
          </cell>
          <cell r="BV82">
            <v>1.0001169044245908</v>
          </cell>
          <cell r="BW82">
            <v>1.004818106344421</v>
          </cell>
          <cell r="BX82">
            <v>3.9906597165674116</v>
          </cell>
        </row>
        <row r="83">
          <cell r="A83" t="str">
            <v>EBITDA Per Share</v>
          </cell>
          <cell r="C83">
            <v>0.58278239528608744</v>
          </cell>
          <cell r="D83">
            <v>0.59880277010061855</v>
          </cell>
          <cell r="E83">
            <v>0.62874629257928638</v>
          </cell>
          <cell r="F83">
            <v>0.69621699192290631</v>
          </cell>
          <cell r="G83">
            <v>2.5065484498888986</v>
          </cell>
          <cell r="I83">
            <v>0.72875349544464629</v>
          </cell>
          <cell r="J83">
            <v>0.73974734190345648</v>
          </cell>
          <cell r="K83">
            <v>0.79996078143000715</v>
          </cell>
          <cell r="L83">
            <v>0.80737430953805012</v>
          </cell>
          <cell r="M83">
            <v>3.07583592831616</v>
          </cell>
          <cell r="O83">
            <v>0.84758095936561773</v>
          </cell>
          <cell r="P83">
            <v>0.87398392189354412</v>
          </cell>
          <cell r="Q83">
            <v>0.98327806568795717</v>
          </cell>
          <cell r="R83">
            <v>0.98151426539160669</v>
          </cell>
          <cell r="S83">
            <v>3.6863572123387258</v>
          </cell>
          <cell r="U83">
            <v>0.83483723212825123</v>
          </cell>
          <cell r="V83">
            <v>1.0619208673091178</v>
          </cell>
          <cell r="W83">
            <v>1.081412864552598</v>
          </cell>
          <cell r="X83">
            <v>0.99753447138950402</v>
          </cell>
          <cell r="Y83">
            <v>3.9757054353794716</v>
          </cell>
          <cell r="AA83">
            <v>1.0808292784170836</v>
          </cell>
          <cell r="AB83">
            <v>1.0588743463502646</v>
          </cell>
          <cell r="AC83">
            <v>1.0562581075852862</v>
          </cell>
          <cell r="AD83">
            <v>0.99950951910234453</v>
          </cell>
          <cell r="AE83">
            <v>4.195471251454979</v>
          </cell>
          <cell r="AF83">
            <v>0.99330497558637632</v>
          </cell>
          <cell r="AG83">
            <v>0.96600185324096544</v>
          </cell>
          <cell r="AH83">
            <v>0.92957787823636473</v>
          </cell>
          <cell r="AI83">
            <v>0.93338392284853355</v>
          </cell>
          <cell r="AJ83">
            <v>3.8222686299122399</v>
          </cell>
          <cell r="AK83">
            <v>0.8816270936867292</v>
          </cell>
          <cell r="AL83">
            <v>0.93376093465625554</v>
          </cell>
          <cell r="AM83">
            <v>0.94562041925067908</v>
          </cell>
          <cell r="AN83">
            <v>0.99531858419985708</v>
          </cell>
          <cell r="AO83">
            <v>3.7563270317935209</v>
          </cell>
          <cell r="AP83">
            <v>0.88438327461125021</v>
          </cell>
          <cell r="AQ83">
            <v>0.8994520145289634</v>
          </cell>
          <cell r="AR83">
            <v>0.91533663483903416</v>
          </cell>
          <cell r="AS83">
            <v>0.9976751632258154</v>
          </cell>
          <cell r="AT83">
            <v>3.6968470872050627</v>
          </cell>
          <cell r="AU83">
            <v>0.92054885932351838</v>
          </cell>
          <cell r="AV83">
            <v>1.0103845327306884</v>
          </cell>
          <cell r="AW83">
            <v>0.84077916283220389</v>
          </cell>
          <cell r="AX83">
            <v>0.8752849447533867</v>
          </cell>
          <cell r="AY83">
            <v>3.6469974996397974</v>
          </cell>
          <cell r="AZ83">
            <v>0.9054985979348058</v>
          </cell>
          <cell r="BA83">
            <v>1.0154417168896075</v>
          </cell>
          <cell r="BB83">
            <v>1.0729877767104907</v>
          </cell>
          <cell r="BC83">
            <v>1.2925665107467268</v>
          </cell>
          <cell r="BD83">
            <v>4.286494602281631</v>
          </cell>
          <cell r="BE83">
            <v>0.95769780227708912</v>
          </cell>
          <cell r="BF83">
            <v>0.96772608007401684</v>
          </cell>
          <cell r="BG83">
            <v>0.98996208701931754</v>
          </cell>
          <cell r="BH83">
            <v>1.1074418572863771</v>
          </cell>
          <cell r="BI83">
            <v>4.0228278266568012</v>
          </cell>
          <cell r="BJ83">
            <v>0.98180286632760605</v>
          </cell>
          <cell r="BK83">
            <v>1.0229093037761048</v>
          </cell>
          <cell r="BL83">
            <v>1.0271837650793549</v>
          </cell>
          <cell r="BM83">
            <v>1.0442778128273553</v>
          </cell>
          <cell r="BN83">
            <v>4.0761737480104205</v>
          </cell>
          <cell r="BO83">
            <v>1.0703627156076052</v>
          </cell>
          <cell r="BP83">
            <v>1.06324591762382</v>
          </cell>
          <cell r="BQ83">
            <v>1.057996947805707</v>
          </cell>
          <cell r="BR83">
            <v>1.0515373149419185</v>
          </cell>
          <cell r="BS83">
            <v>4.2431428959790507</v>
          </cell>
          <cell r="BT83">
            <v>1.0676753123240765</v>
          </cell>
          <cell r="BU83">
            <v>1.0690671543504564</v>
          </cell>
          <cell r="BV83">
            <v>1.0732933252656951</v>
          </cell>
          <cell r="BW83">
            <v>1.076326585564261</v>
          </cell>
          <cell r="BX83">
            <v>4.2863623775044886</v>
          </cell>
        </row>
        <row r="85">
          <cell r="A85" t="str">
            <v>Dividends Per Share</v>
          </cell>
          <cell r="C85">
            <v>0.255</v>
          </cell>
          <cell r="D85">
            <v>0.255</v>
          </cell>
          <cell r="E85">
            <v>0.3</v>
          </cell>
          <cell r="F85">
            <v>0.3</v>
          </cell>
          <cell r="G85">
            <v>1.1100000000000001</v>
          </cell>
          <cell r="I85">
            <v>0.3</v>
          </cell>
          <cell r="J85">
            <v>0.3</v>
          </cell>
          <cell r="K85">
            <v>0.34</v>
          </cell>
          <cell r="L85">
            <v>0.34</v>
          </cell>
          <cell r="M85">
            <v>1.28</v>
          </cell>
          <cell r="O85">
            <v>0.34</v>
          </cell>
          <cell r="P85">
            <v>0.34</v>
          </cell>
          <cell r="Q85">
            <v>0.39</v>
          </cell>
          <cell r="R85">
            <v>0.39</v>
          </cell>
          <cell r="S85">
            <v>1.46</v>
          </cell>
          <cell r="U85">
            <v>0.39</v>
          </cell>
          <cell r="V85">
            <v>0.39</v>
          </cell>
          <cell r="W85">
            <v>0.42</v>
          </cell>
          <cell r="X85">
            <v>0.42</v>
          </cell>
          <cell r="Y85">
            <v>1.6199999999999999</v>
          </cell>
          <cell r="AA85">
            <v>0.43</v>
          </cell>
          <cell r="AB85">
            <v>0.43</v>
          </cell>
          <cell r="AC85">
            <v>0.45</v>
          </cell>
          <cell r="AD85">
            <v>0.45</v>
          </cell>
          <cell r="AE85">
            <v>1.76</v>
          </cell>
          <cell r="AF85">
            <v>0.45</v>
          </cell>
          <cell r="AG85">
            <v>0.45</v>
          </cell>
          <cell r="AH85">
            <v>0.45500000000000002</v>
          </cell>
          <cell r="AI85">
            <v>0.45500000000000002</v>
          </cell>
          <cell r="AJ85">
            <v>1.81</v>
          </cell>
          <cell r="AK85">
            <v>0.45500000000000002</v>
          </cell>
          <cell r="AL85">
            <v>0.45500000000000002</v>
          </cell>
          <cell r="AM85">
            <v>0.46</v>
          </cell>
          <cell r="AN85">
            <v>0.46</v>
          </cell>
          <cell r="AO85">
            <v>1.83</v>
          </cell>
          <cell r="AP85">
            <v>0.46</v>
          </cell>
          <cell r="AQ85">
            <v>0.46</v>
          </cell>
          <cell r="AR85">
            <v>0.46</v>
          </cell>
          <cell r="AS85">
            <v>0.46500000000000002</v>
          </cell>
          <cell r="AT85">
            <v>1.8450000000000002</v>
          </cell>
          <cell r="AU85">
            <v>0.46500000000000002</v>
          </cell>
          <cell r="AV85">
            <v>0.47</v>
          </cell>
          <cell r="AW85">
            <v>0.47</v>
          </cell>
          <cell r="AX85">
            <v>0.47</v>
          </cell>
          <cell r="AY85">
            <v>1.875</v>
          </cell>
          <cell r="AZ85">
            <v>0.46500000000000002</v>
          </cell>
          <cell r="BA85">
            <v>0.47</v>
          </cell>
          <cell r="BB85">
            <v>0.47499999999999998</v>
          </cell>
          <cell r="BC85">
            <v>0.47499999999999998</v>
          </cell>
          <cell r="BD85">
            <v>1.8850000000000002</v>
          </cell>
          <cell r="BE85">
            <v>0.47499999999999998</v>
          </cell>
          <cell r="BF85">
            <v>0.47499999999999998</v>
          </cell>
          <cell r="BG85">
            <v>0.47499999999999998</v>
          </cell>
          <cell r="BH85">
            <v>0.48</v>
          </cell>
          <cell r="BI85">
            <v>1.9049999999999998</v>
          </cell>
          <cell r="BJ85">
            <v>0.48</v>
          </cell>
          <cell r="BK85">
            <v>0.48</v>
          </cell>
          <cell r="BL85">
            <v>0.48</v>
          </cell>
          <cell r="BM85">
            <v>0.48</v>
          </cell>
          <cell r="BN85">
            <v>1.92</v>
          </cell>
          <cell r="BO85">
            <v>0.48</v>
          </cell>
          <cell r="BP85">
            <v>0.48</v>
          </cell>
          <cell r="BQ85">
            <v>0.48</v>
          </cell>
          <cell r="BR85">
            <v>0.48</v>
          </cell>
          <cell r="BS85">
            <v>1.92</v>
          </cell>
          <cell r="BT85">
            <v>0.48</v>
          </cell>
          <cell r="BU85">
            <v>0.48</v>
          </cell>
          <cell r="BV85">
            <v>0.48</v>
          </cell>
          <cell r="BW85">
            <v>0.48</v>
          </cell>
          <cell r="BX85">
            <v>1.92</v>
          </cell>
          <cell r="CG85" t="str">
            <v>mstag:dividendsPerShare</v>
          </cell>
          <cell r="CH85">
            <v>0</v>
          </cell>
          <cell r="CI85" t="str">
            <v>ISO4217:USD</v>
          </cell>
          <cell r="CJ85" t="b">
            <v>0</v>
          </cell>
          <cell r="CK85" t="b">
            <v>0</v>
          </cell>
        </row>
        <row r="87">
          <cell r="A87" t="str">
            <v xml:space="preserve">Payout Ratio (Net Income) </v>
          </cell>
          <cell r="C87">
            <v>1.0625903940344321</v>
          </cell>
          <cell r="D87">
            <v>1.1086118059335874</v>
          </cell>
          <cell r="E87">
            <v>1.174580911832535</v>
          </cell>
          <cell r="F87">
            <v>1.1809230701844791</v>
          </cell>
          <cell r="G87">
            <v>1.131503430809558</v>
          </cell>
          <cell r="I87">
            <v>1.0457416224957325</v>
          </cell>
          <cell r="J87">
            <v>1.1114074616281995</v>
          </cell>
          <cell r="K87">
            <v>1.183101690939719</v>
          </cell>
          <cell r="L87">
            <v>1.2441618745172087</v>
          </cell>
          <cell r="M87">
            <v>1.1493532590155275</v>
          </cell>
          <cell r="O87">
            <v>1.0830999488939184</v>
          </cell>
          <cell r="P87">
            <v>1.0260414084148934</v>
          </cell>
          <cell r="Q87">
            <v>1.1289513289276929</v>
          </cell>
          <cell r="R87">
            <v>1.1982007575757576</v>
          </cell>
          <cell r="S87">
            <v>1.1060409817200663</v>
          </cell>
          <cell r="U87">
            <v>1.0158965594875049</v>
          </cell>
          <cell r="V87">
            <v>1.1094247116968698</v>
          </cell>
          <cell r="W87">
            <v>1.1980544419588475</v>
          </cell>
          <cell r="X87">
            <v>0.74579219385046269</v>
          </cell>
          <cell r="Y87">
            <v>0.98121272730902265</v>
          </cell>
          <cell r="AA87">
            <v>0.93945159094776243</v>
          </cell>
          <cell r="AB87">
            <v>1.1322741821841973</v>
          </cell>
          <cell r="AC87">
            <v>0.76933337656442524</v>
          </cell>
          <cell r="AD87">
            <v>1.342533768572715</v>
          </cell>
          <cell r="AE87">
            <v>1.0049916076009915</v>
          </cell>
          <cell r="AF87">
            <v>1.3271213392817705</v>
          </cell>
          <cell r="AG87">
            <v>1.2609235905044509</v>
          </cell>
          <cell r="AH87">
            <v>1.5827662616154399</v>
          </cell>
          <cell r="AI87">
            <v>2.1827424542305791</v>
          </cell>
          <cell r="AJ87">
            <v>1.5194911391934125</v>
          </cell>
          <cell r="AK87">
            <v>1.6490213997918723</v>
          </cell>
          <cell r="AL87">
            <v>1.7951276854479123</v>
          </cell>
          <cell r="AM87">
            <v>1.563404753017295</v>
          </cell>
          <cell r="AN87">
            <v>1.2690044456961238</v>
          </cell>
          <cell r="AO87">
            <v>1.5422382049397509</v>
          </cell>
          <cell r="AP87">
            <v>1.9492860183664782</v>
          </cell>
          <cell r="AQ87">
            <v>1.8933062564811616</v>
          </cell>
          <cell r="AR87">
            <v>1.5485884261763114</v>
          </cell>
          <cell r="AS87">
            <v>1.6234432563791008</v>
          </cell>
          <cell r="AT87">
            <v>1.7351170106227569</v>
          </cell>
          <cell r="AU87">
            <v>2.6253220046309016</v>
          </cell>
          <cell r="AV87">
            <v>1.682396833668329</v>
          </cell>
          <cell r="AW87">
            <v>0.31598571348219812</v>
          </cell>
          <cell r="AX87">
            <v>2.1540715355182165</v>
          </cell>
          <cell r="AY87">
            <v>0.86310686147039128</v>
          </cell>
          <cell r="AZ87">
            <v>5.5188692348008388</v>
          </cell>
          <cell r="BA87">
            <v>2.9446148178846063</v>
          </cell>
          <cell r="BB87">
            <v>1.0493411248258657</v>
          </cell>
          <cell r="BC87">
            <v>1.2886679217467527</v>
          </cell>
          <cell r="BD87">
            <v>1.7684371187842449</v>
          </cell>
          <cell r="BE87">
            <v>0.96019792016101979</v>
          </cell>
          <cell r="BF87">
            <v>1.7724356726723487</v>
          </cell>
          <cell r="BG87">
            <v>1.2320532152022028</v>
          </cell>
          <cell r="BH87">
            <v>1.1971854225616199</v>
          </cell>
          <cell r="BI87">
            <v>1.228934233917645</v>
          </cell>
          <cell r="BJ87">
            <v>1.9091786248552458</v>
          </cell>
          <cell r="BK87">
            <v>1.8447363228059153</v>
          </cell>
          <cell r="BL87">
            <v>2.0731167048797623</v>
          </cell>
          <cell r="BM87">
            <v>2.1127940379130412</v>
          </cell>
          <cell r="BN87">
            <v>1.9797140507463791</v>
          </cell>
          <cell r="BO87">
            <v>1.7693737725966352</v>
          </cell>
          <cell r="BP87">
            <v>1.8903049877581326</v>
          </cell>
          <cell r="BQ87">
            <v>2.0133156516489401</v>
          </cell>
          <cell r="BR87">
            <v>2.1650692302727017</v>
          </cell>
          <cell r="BS87">
            <v>1.9502071205374856</v>
          </cell>
          <cell r="BT87">
            <v>2.0929305575942774</v>
          </cell>
          <cell r="BU87">
            <v>2.2017393406462724</v>
          </cell>
          <cell r="BV87">
            <v>2.2915383979706903</v>
          </cell>
          <cell r="BW87">
            <v>2.4020364053980985</v>
          </cell>
          <cell r="BX87">
            <v>2.2425483419356191</v>
          </cell>
        </row>
        <row r="88">
          <cell r="A88" t="str">
            <v xml:space="preserve">Payout Ratio (FFO) </v>
          </cell>
          <cell r="C88">
            <v>0.67141626871020788</v>
          </cell>
          <cell r="D88">
            <v>0.66754728755224124</v>
          </cell>
          <cell r="E88">
            <v>0.763768900680586</v>
          </cell>
          <cell r="F88">
            <v>0.6918128690454628</v>
          </cell>
          <cell r="G88">
            <v>0.69889480437804274</v>
          </cell>
          <cell r="I88">
            <v>0.67032248776274117</v>
          </cell>
          <cell r="J88">
            <v>0.65776869237954705</v>
          </cell>
          <cell r="K88">
            <v>0.70374449842087239</v>
          </cell>
          <cell r="L88">
            <v>0.67437683182135388</v>
          </cell>
          <cell r="M88">
            <v>0.67691480227081269</v>
          </cell>
          <cell r="O88">
            <v>0.66140080249665634</v>
          </cell>
          <cell r="P88">
            <v>0.62452156507982304</v>
          </cell>
          <cell r="Q88">
            <v>0.68063426976094921</v>
          </cell>
          <cell r="R88">
            <v>0.68520904786369885</v>
          </cell>
          <cell r="S88">
            <v>0.66666666666666663</v>
          </cell>
          <cell r="U88">
            <v>0.66154458216713319</v>
          </cell>
          <cell r="V88">
            <v>0.64102754156618857</v>
          </cell>
          <cell r="W88">
            <v>0.66233558230374567</v>
          </cell>
          <cell r="X88">
            <v>0.66883822302187812</v>
          </cell>
          <cell r="Y88">
            <v>0.65853610190835588</v>
          </cell>
          <cell r="AA88">
            <v>0.66703662116108198</v>
          </cell>
          <cell r="AB88">
            <v>0.64011181819049168</v>
          </cell>
          <cell r="AC88">
            <v>0.6739368112947659</v>
          </cell>
          <cell r="AD88">
            <v>0.71171601465260781</v>
          </cell>
          <cell r="AE88">
            <v>0.67266458355780623</v>
          </cell>
          <cell r="AF88">
            <v>0.69470542460032114</v>
          </cell>
          <cell r="AG88">
            <v>0.69504225407344955</v>
          </cell>
          <cell r="AH88">
            <v>0.77361844734653318</v>
          </cell>
          <cell r="AI88">
            <v>0.76787630475075597</v>
          </cell>
          <cell r="AJ88">
            <v>0.73104318964251969</v>
          </cell>
          <cell r="AK88">
            <v>0.8035297521786493</v>
          </cell>
          <cell r="AL88">
            <v>0.77124299278637232</v>
          </cell>
          <cell r="AM88">
            <v>0.74581861575178998</v>
          </cell>
          <cell r="AN88">
            <v>0.67862248213125409</v>
          </cell>
          <cell r="AO88">
            <v>0.74656973326331144</v>
          </cell>
          <cell r="AP88">
            <v>0.80927071426970565</v>
          </cell>
          <cell r="AQ88">
            <v>0.75684424767619973</v>
          </cell>
          <cell r="AR88">
            <v>0.73712324435695276</v>
          </cell>
          <cell r="AS88">
            <v>0.69909278527818386</v>
          </cell>
          <cell r="AT88">
            <v>0.74832082874982586</v>
          </cell>
          <cell r="AU88">
            <v>0.81899072016437924</v>
          </cell>
          <cell r="AV88">
            <v>0.77129320836757409</v>
          </cell>
          <cell r="AW88">
            <v>0.77296848792351558</v>
          </cell>
          <cell r="AX88">
            <v>0.76525816285858939</v>
          </cell>
          <cell r="AY88">
            <v>0.78167039646646319</v>
          </cell>
          <cell r="AZ88">
            <v>0.93273073615179947</v>
          </cell>
          <cell r="BA88">
            <v>0.81117931177925162</v>
          </cell>
          <cell r="BB88">
            <v>0.72883907232462486</v>
          </cell>
          <cell r="BC88">
            <v>0.62831870190045891</v>
          </cell>
          <cell r="BD88">
            <v>0.7584097146621972</v>
          </cell>
          <cell r="BE88">
            <v>0.7616791891891892</v>
          </cell>
          <cell r="BF88">
            <v>0.75269606007766443</v>
          </cell>
          <cell r="BG88">
            <v>0.70174224307855482</v>
          </cell>
          <cell r="BH88">
            <v>0.60039646292877269</v>
          </cell>
          <cell r="BI88">
            <v>0.69628998397709896</v>
          </cell>
          <cell r="BJ88">
            <v>0.72375221982597715</v>
          </cell>
          <cell r="BK88">
            <v>0.69129538838977211</v>
          </cell>
          <cell r="BL88">
            <v>0.70099976050379431</v>
          </cell>
          <cell r="BM88">
            <v>0.69106443952694641</v>
          </cell>
          <cell r="BN88">
            <v>0.70142830989332972</v>
          </cell>
          <cell r="BO88">
            <v>0.66442691152176947</v>
          </cell>
          <cell r="BP88">
            <v>0.673211017518073</v>
          </cell>
          <cell r="BQ88">
            <v>0.680708063035662</v>
          </cell>
          <cell r="BR88">
            <v>0.68966928699105212</v>
          </cell>
          <cell r="BS88">
            <v>0.67697372724485549</v>
          </cell>
          <cell r="BT88">
            <v>0.67805022855200714</v>
          </cell>
          <cell r="BU88">
            <v>0.68068232368251391</v>
          </cell>
          <cell r="BV88">
            <v>0.68091992351631681</v>
          </cell>
          <cell r="BW88">
            <v>0.68232301403054341</v>
          </cell>
          <cell r="BX88">
            <v>0.68050576063402535</v>
          </cell>
        </row>
        <row r="89">
          <cell r="A89" t="str">
            <v xml:space="preserve">Payout Ratio (AFFO) </v>
          </cell>
          <cell r="C89">
            <v>0.8034989356530261</v>
          </cell>
          <cell r="D89">
            <v>0.79510032401292297</v>
          </cell>
          <cell r="E89">
            <v>0.88513346329033837</v>
          </cell>
          <cell r="F89">
            <v>0.82366662516958744</v>
          </cell>
          <cell r="G89">
            <v>0.82759658858534957</v>
          </cell>
          <cell r="I89">
            <v>0.76808981202791304</v>
          </cell>
          <cell r="J89">
            <v>0.78021486422242425</v>
          </cell>
          <cell r="K89">
            <v>0.8330260038753502</v>
          </cell>
          <cell r="L89">
            <v>0.78265121943850913</v>
          </cell>
          <cell r="M89">
            <v>0.79126632213749104</v>
          </cell>
          <cell r="O89">
            <v>0.78395427306739141</v>
          </cell>
          <cell r="P89">
            <v>0.74847719998464768</v>
          </cell>
          <cell r="Q89">
            <v>0.81490512163191575</v>
          </cell>
          <cell r="R89">
            <v>0.8517926407909846</v>
          </cell>
          <cell r="S89">
            <v>0.8002650071110623</v>
          </cell>
          <cell r="U89">
            <v>0.82541806631855519</v>
          </cell>
          <cell r="V89">
            <v>0.81951257504462116</v>
          </cell>
          <cell r="W89">
            <v>0.80241744548286598</v>
          </cell>
          <cell r="X89">
            <v>0.8003323172528205</v>
          </cell>
          <cell r="Y89">
            <v>0.81138714109354859</v>
          </cell>
          <cell r="AA89">
            <v>0.74503895792544039</v>
          </cell>
          <cell r="AB89">
            <v>0.72429329349953642</v>
          </cell>
          <cell r="AC89">
            <v>0.78063206516732697</v>
          </cell>
          <cell r="AD89">
            <v>0.85753203054225458</v>
          </cell>
          <cell r="AE89">
            <v>0.77463054375877116</v>
          </cell>
          <cell r="AF89">
            <v>0.81560095011876488</v>
          </cell>
          <cell r="AG89">
            <v>0.84871908678585795</v>
          </cell>
          <cell r="AH89">
            <v>0.96728583241025323</v>
          </cell>
          <cell r="AI89">
            <v>1.0124180751135228</v>
          </cell>
          <cell r="AJ89">
            <v>0.90420492354458282</v>
          </cell>
          <cell r="AK89">
            <v>1.0501695044861339</v>
          </cell>
          <cell r="AL89">
            <v>1.0637405850561894</v>
          </cell>
          <cell r="AM89">
            <v>1.0852551390568319</v>
          </cell>
          <cell r="AN89">
            <v>0.93977713553615594</v>
          </cell>
          <cell r="AO89">
            <v>1.0312052909572205</v>
          </cell>
          <cell r="AP89">
            <v>1.1748230550719325</v>
          </cell>
          <cell r="AQ89">
            <v>1.117842480314291</v>
          </cell>
          <cell r="AR89">
            <v>1.0958420553438608</v>
          </cell>
          <cell r="AS89">
            <v>1.0999553791945205</v>
          </cell>
          <cell r="AT89">
            <v>1.1208043137129315</v>
          </cell>
          <cell r="AU89">
            <v>1.2080074760279538</v>
          </cell>
          <cell r="AV89">
            <v>1.181330324783942</v>
          </cell>
          <cell r="AW89">
            <v>1.1523720962034836</v>
          </cell>
          <cell r="AX89">
            <v>1.2695732831313489</v>
          </cell>
          <cell r="AY89">
            <v>1.2006351399686859</v>
          </cell>
          <cell r="AZ89">
            <v>1.2323479558399002</v>
          </cell>
          <cell r="BA89">
            <v>1.031838644614764</v>
          </cell>
          <cell r="BB89">
            <v>0.92035383456937458</v>
          </cell>
          <cell r="BC89">
            <v>0.72944783373553745</v>
          </cell>
          <cell r="BD89">
            <v>0.94228713823001264</v>
          </cell>
          <cell r="BE89">
            <v>0.96501150672080438</v>
          </cell>
          <cell r="BF89">
            <v>0.96927379863712793</v>
          </cell>
          <cell r="BG89">
            <v>0.88605793841097069</v>
          </cell>
          <cell r="BH89">
            <v>0.74109252830507222</v>
          </cell>
          <cell r="BI89">
            <v>0.87707574240059794</v>
          </cell>
          <cell r="BJ89">
            <v>0.98889723524462125</v>
          </cell>
          <cell r="BK89">
            <v>0.94570120310018513</v>
          </cell>
          <cell r="BL89">
            <v>0.96773173541328228</v>
          </cell>
          <cell r="BM89">
            <v>0.98181583842575093</v>
          </cell>
          <cell r="BN89">
            <v>0.97075711174704638</v>
          </cell>
          <cell r="BO89">
            <v>0.92037248132379734</v>
          </cell>
          <cell r="BP89">
            <v>0.93663313881292043</v>
          </cell>
          <cell r="BQ89">
            <v>0.95034062472678482</v>
          </cell>
          <cell r="BR89">
            <v>0.96712089036876736</v>
          </cell>
          <cell r="BS89">
            <v>0.94349300356341803</v>
          </cell>
          <cell r="BT89">
            <v>0.94598474912188557</v>
          </cell>
          <cell r="BU89">
            <v>0.9544819003256293</v>
          </cell>
          <cell r="BV89">
            <v>0.95801807416315321</v>
          </cell>
          <cell r="BW89">
            <v>0.96393815895038737</v>
          </cell>
          <cell r="BX89">
            <v>0.95563253978361606</v>
          </cell>
        </row>
        <row r="90">
          <cell r="BD90">
            <v>6.6115702479338845E-2</v>
          </cell>
          <cell r="BE90">
            <v>0.11020408163265305</v>
          </cell>
        </row>
        <row r="91">
          <cell r="A91" t="str">
            <v>Shares Outstanding</v>
          </cell>
          <cell r="AA91">
            <v>128399</v>
          </cell>
          <cell r="AB91">
            <v>129131</v>
          </cell>
          <cell r="AC91">
            <v>130104</v>
          </cell>
          <cell r="AD91">
            <v>130970</v>
          </cell>
          <cell r="AE91">
            <v>129660</v>
          </cell>
          <cell r="AF91">
            <v>131932</v>
          </cell>
          <cell r="AG91">
            <v>134196</v>
          </cell>
          <cell r="AH91">
            <v>134818</v>
          </cell>
          <cell r="AI91">
            <v>134935</v>
          </cell>
          <cell r="AJ91">
            <v>133981</v>
          </cell>
          <cell r="AK91">
            <v>135170</v>
          </cell>
          <cell r="AL91">
            <v>135386</v>
          </cell>
          <cell r="AM91">
            <v>135706</v>
          </cell>
          <cell r="AN91">
            <v>136105</v>
          </cell>
          <cell r="AO91">
            <v>135591.75</v>
          </cell>
          <cell r="AP91">
            <v>138398</v>
          </cell>
          <cell r="AQ91">
            <v>142104</v>
          </cell>
          <cell r="AR91">
            <v>142273</v>
          </cell>
          <cell r="AS91">
            <v>142716</v>
          </cell>
          <cell r="AT91">
            <v>141372.75</v>
          </cell>
          <cell r="AU91">
            <v>143089</v>
          </cell>
          <cell r="AV91">
            <v>143480</v>
          </cell>
          <cell r="AW91">
            <v>142663</v>
          </cell>
          <cell r="AX91">
            <v>136855</v>
          </cell>
          <cell r="AY91">
            <v>141521.75</v>
          </cell>
          <cell r="AZ91">
            <v>134781</v>
          </cell>
          <cell r="BA91">
            <v>134969</v>
          </cell>
          <cell r="BB91">
            <v>135117</v>
          </cell>
          <cell r="BC91">
            <v>134665</v>
          </cell>
          <cell r="BD91">
            <v>134883</v>
          </cell>
          <cell r="BE91">
            <v>136823</v>
          </cell>
          <cell r="BF91">
            <v>136921</v>
          </cell>
          <cell r="BG91">
            <v>137576</v>
          </cell>
          <cell r="BH91">
            <v>145623</v>
          </cell>
          <cell r="BI91">
            <v>139235.75</v>
          </cell>
          <cell r="BJ91">
            <v>147079.23000000001</v>
          </cell>
          <cell r="BK91">
            <v>148550.02230000001</v>
          </cell>
          <cell r="BL91">
            <v>150035.52252300002</v>
          </cell>
          <cell r="BM91">
            <v>151535.87774823004</v>
          </cell>
          <cell r="BN91">
            <v>149300.16314280752</v>
          </cell>
          <cell r="BO91">
            <v>153051.23652571233</v>
          </cell>
          <cell r="BP91">
            <v>154581.74889096947</v>
          </cell>
          <cell r="BQ91">
            <v>156127.56637987916</v>
          </cell>
          <cell r="BR91">
            <v>157688.84204367796</v>
          </cell>
          <cell r="BS91">
            <v>155362.34846005973</v>
          </cell>
          <cell r="BT91">
            <v>159265.73046411475</v>
          </cell>
          <cell r="BU91">
            <v>160858.3877687559</v>
          </cell>
          <cell r="BV91">
            <v>162466.97164644345</v>
          </cell>
          <cell r="BW91">
            <v>164091.64136290789</v>
          </cell>
          <cell r="BX91">
            <v>161670.6828105555</v>
          </cell>
          <cell r="CG91" t="str">
            <v>mstag:averageBasicSharesOutstanding</v>
          </cell>
          <cell r="CH91">
            <v>3</v>
          </cell>
          <cell r="CI91" t="str">
            <v>ms_eqr_gcim_Decimal:ms_eqr_gcim_decimal</v>
          </cell>
          <cell r="CJ91" t="b">
            <v>0</v>
          </cell>
          <cell r="CK91" t="b">
            <v>0</v>
          </cell>
        </row>
        <row r="92">
          <cell r="A92" t="str">
            <v>Other dilutive securities</v>
          </cell>
          <cell r="AA92">
            <v>1690</v>
          </cell>
          <cell r="AB92">
            <v>1673</v>
          </cell>
          <cell r="AC92">
            <v>1717</v>
          </cell>
          <cell r="AD92">
            <v>1553</v>
          </cell>
          <cell r="AE92">
            <v>1657</v>
          </cell>
          <cell r="AF92">
            <v>1600</v>
          </cell>
          <cell r="AG92">
            <v>1782</v>
          </cell>
          <cell r="AH92">
            <v>1446</v>
          </cell>
          <cell r="AI92">
            <v>798</v>
          </cell>
          <cell r="AJ92">
            <v>1406.5</v>
          </cell>
          <cell r="AK92">
            <v>655</v>
          </cell>
          <cell r="AL92">
            <v>878</v>
          </cell>
          <cell r="AM92">
            <v>871</v>
          </cell>
          <cell r="AN92">
            <v>1033</v>
          </cell>
          <cell r="AO92">
            <v>859.25</v>
          </cell>
          <cell r="AP92">
            <v>959</v>
          </cell>
          <cell r="AQ92">
            <v>783</v>
          </cell>
          <cell r="AR92">
            <v>894</v>
          </cell>
          <cell r="AS92">
            <v>950</v>
          </cell>
          <cell r="AT92">
            <v>896.5</v>
          </cell>
          <cell r="AU92">
            <v>773</v>
          </cell>
          <cell r="AV92">
            <v>773</v>
          </cell>
          <cell r="AW92">
            <v>773</v>
          </cell>
          <cell r="AX92">
            <v>891</v>
          </cell>
          <cell r="AY92">
            <v>802.5</v>
          </cell>
          <cell r="AZ92">
            <v>1090</v>
          </cell>
          <cell r="BA92">
            <v>1091</v>
          </cell>
          <cell r="BB92">
            <v>1262</v>
          </cell>
          <cell r="BC92">
            <v>1516</v>
          </cell>
          <cell r="BD92">
            <v>1239.75</v>
          </cell>
          <cell r="BE92">
            <v>1775</v>
          </cell>
          <cell r="BF92">
            <v>1426</v>
          </cell>
          <cell r="BG92">
            <v>899</v>
          </cell>
          <cell r="BH92">
            <v>698</v>
          </cell>
          <cell r="BI92">
            <v>1199.5</v>
          </cell>
          <cell r="BJ92">
            <v>698</v>
          </cell>
          <cell r="BK92">
            <v>698</v>
          </cell>
          <cell r="BL92">
            <v>698</v>
          </cell>
          <cell r="BM92">
            <v>698</v>
          </cell>
          <cell r="BN92">
            <v>698</v>
          </cell>
          <cell r="BO92">
            <v>698</v>
          </cell>
          <cell r="BP92">
            <v>698</v>
          </cell>
          <cell r="BQ92">
            <v>698</v>
          </cell>
          <cell r="BR92">
            <v>698</v>
          </cell>
          <cell r="BS92">
            <v>698</v>
          </cell>
          <cell r="BT92">
            <v>698</v>
          </cell>
          <cell r="BU92">
            <v>698</v>
          </cell>
          <cell r="BV92">
            <v>698</v>
          </cell>
          <cell r="BW92">
            <v>698</v>
          </cell>
          <cell r="BX92">
            <v>698</v>
          </cell>
        </row>
        <row r="93">
          <cell r="A93" t="str">
            <v>Diluted Shares O/S (Thous.)</v>
          </cell>
          <cell r="C93">
            <v>62446.978999999999</v>
          </cell>
          <cell r="D93">
            <v>63890.82</v>
          </cell>
          <cell r="E93">
            <v>66211.126000000004</v>
          </cell>
          <cell r="F93">
            <v>76389.976999999999</v>
          </cell>
          <cell r="G93">
            <v>67277.563000000009</v>
          </cell>
          <cell r="I93">
            <v>77601</v>
          </cell>
          <cell r="J93">
            <v>80979</v>
          </cell>
          <cell r="K93">
            <v>81594</v>
          </cell>
          <cell r="L93">
            <v>85269</v>
          </cell>
          <cell r="M93">
            <v>81596</v>
          </cell>
          <cell r="O93">
            <v>87266</v>
          </cell>
          <cell r="P93">
            <v>89314</v>
          </cell>
          <cell r="Q93">
            <v>120022</v>
          </cell>
          <cell r="R93">
            <v>126530</v>
          </cell>
          <cell r="S93">
            <v>105783</v>
          </cell>
          <cell r="U93">
            <v>127271</v>
          </cell>
          <cell r="V93">
            <v>129504</v>
          </cell>
          <cell r="W93">
            <v>128788</v>
          </cell>
          <cell r="X93">
            <v>130380.45674635768</v>
          </cell>
          <cell r="Y93">
            <v>128985.86418658942</v>
          </cell>
          <cell r="AA93">
            <v>130089</v>
          </cell>
          <cell r="AB93">
            <v>130804</v>
          </cell>
          <cell r="AC93">
            <v>131821</v>
          </cell>
          <cell r="AD93">
            <v>132523</v>
          </cell>
          <cell r="AE93">
            <v>131317</v>
          </cell>
          <cell r="AF93">
            <v>133532</v>
          </cell>
          <cell r="AG93">
            <v>135978</v>
          </cell>
          <cell r="AH93">
            <v>136264</v>
          </cell>
          <cell r="AI93">
            <v>135733</v>
          </cell>
          <cell r="AJ93">
            <v>135387.5</v>
          </cell>
          <cell r="AK93">
            <v>135825</v>
          </cell>
          <cell r="AL93">
            <v>136264</v>
          </cell>
          <cell r="AM93">
            <v>136577</v>
          </cell>
          <cell r="AN93">
            <v>137138</v>
          </cell>
          <cell r="AO93">
            <v>136451</v>
          </cell>
          <cell r="AP93">
            <v>139357</v>
          </cell>
          <cell r="AQ93">
            <v>142887</v>
          </cell>
          <cell r="AR93">
            <v>143167</v>
          </cell>
          <cell r="AS93">
            <v>143666</v>
          </cell>
          <cell r="AT93">
            <v>142269.25</v>
          </cell>
          <cell r="AU93">
            <v>143862</v>
          </cell>
          <cell r="AV93">
            <v>144253</v>
          </cell>
          <cell r="AW93">
            <v>143436</v>
          </cell>
          <cell r="AX93">
            <v>137746</v>
          </cell>
          <cell r="AY93">
            <v>142324.25</v>
          </cell>
          <cell r="AZ93">
            <v>135871</v>
          </cell>
          <cell r="BA93">
            <v>136060</v>
          </cell>
          <cell r="BB93">
            <v>136379</v>
          </cell>
          <cell r="BC93">
            <v>136181</v>
          </cell>
          <cell r="BD93">
            <v>136122.75</v>
          </cell>
          <cell r="BE93">
            <v>138598</v>
          </cell>
          <cell r="BF93">
            <v>138347</v>
          </cell>
          <cell r="BG93">
            <v>138475</v>
          </cell>
          <cell r="BH93">
            <v>146321</v>
          </cell>
          <cell r="BI93">
            <v>140435.25</v>
          </cell>
          <cell r="BJ93">
            <v>147777.23000000001</v>
          </cell>
          <cell r="BK93">
            <v>149248.02230000001</v>
          </cell>
          <cell r="BL93">
            <v>150733.52252300002</v>
          </cell>
          <cell r="BM93">
            <v>152233.87774823004</v>
          </cell>
          <cell r="BN93">
            <v>149998.16314280752</v>
          </cell>
          <cell r="BO93">
            <v>153749.23652571233</v>
          </cell>
          <cell r="BP93">
            <v>155279.74889096947</v>
          </cell>
          <cell r="BQ93">
            <v>156825.56637987916</v>
          </cell>
          <cell r="BR93">
            <v>158386.84204367796</v>
          </cell>
          <cell r="BS93">
            <v>156060.34846005973</v>
          </cell>
          <cell r="BT93">
            <v>159963.73046411475</v>
          </cell>
          <cell r="BU93">
            <v>161556.3877687559</v>
          </cell>
          <cell r="BV93">
            <v>163164.97164644345</v>
          </cell>
          <cell r="BW93">
            <v>164789.64136290789</v>
          </cell>
          <cell r="BX93">
            <v>162368.6828105555</v>
          </cell>
          <cell r="CG93" t="str">
            <v>mstag:averageDilutedSharesOutstanding</v>
          </cell>
          <cell r="CH93">
            <v>3</v>
          </cell>
          <cell r="CI93" t="str">
            <v>ms_eqr_gcim_Decimal:ms_eqr_gcim_decimal</v>
          </cell>
          <cell r="CJ93" t="b">
            <v>0</v>
          </cell>
          <cell r="CK93" t="b">
            <v>0</v>
          </cell>
        </row>
        <row r="94">
          <cell r="A94" t="str">
            <v>Units Outstanding</v>
          </cell>
          <cell r="AA94">
            <v>18841</v>
          </cell>
          <cell r="AB94">
            <v>18767</v>
          </cell>
          <cell r="AC94">
            <v>18292</v>
          </cell>
          <cell r="AD94">
            <v>17319</v>
          </cell>
          <cell r="AE94">
            <v>18301</v>
          </cell>
          <cell r="AF94">
            <v>16738</v>
          </cell>
          <cell r="AG94">
            <v>15114</v>
          </cell>
          <cell r="AH94">
            <v>14992</v>
          </cell>
          <cell r="AI94">
            <v>14959</v>
          </cell>
          <cell r="AJ94">
            <v>15451.5</v>
          </cell>
          <cell r="AK94">
            <v>14802</v>
          </cell>
          <cell r="AL94">
            <v>14755</v>
          </cell>
          <cell r="AM94">
            <v>14667</v>
          </cell>
          <cell r="AN94">
            <v>14523</v>
          </cell>
          <cell r="AO94">
            <v>14686.75</v>
          </cell>
          <cell r="AP94">
            <v>14046</v>
          </cell>
          <cell r="AQ94">
            <v>13941</v>
          </cell>
          <cell r="AR94">
            <v>13938</v>
          </cell>
          <cell r="AS94">
            <v>13684</v>
          </cell>
          <cell r="AT94">
            <v>13902.25</v>
          </cell>
          <cell r="AU94">
            <v>13858</v>
          </cell>
          <cell r="AV94">
            <v>13506</v>
          </cell>
          <cell r="AW94">
            <v>13447</v>
          </cell>
          <cell r="AX94">
            <v>13399</v>
          </cell>
          <cell r="AY94">
            <v>13552.5</v>
          </cell>
          <cell r="AZ94">
            <v>13394</v>
          </cell>
          <cell r="BA94">
            <v>13304</v>
          </cell>
          <cell r="BB94">
            <v>13211</v>
          </cell>
          <cell r="BC94">
            <v>12839</v>
          </cell>
          <cell r="BD94">
            <v>13187</v>
          </cell>
          <cell r="BE94">
            <v>9729</v>
          </cell>
          <cell r="BF94">
            <v>9782</v>
          </cell>
          <cell r="BG94">
            <v>9176</v>
          </cell>
          <cell r="BH94">
            <v>8146</v>
          </cell>
          <cell r="BI94">
            <v>9208.25</v>
          </cell>
          <cell r="BJ94">
            <v>8146</v>
          </cell>
          <cell r="BK94">
            <v>8146</v>
          </cell>
          <cell r="BL94">
            <v>8146</v>
          </cell>
          <cell r="BM94">
            <v>8146</v>
          </cell>
          <cell r="BN94">
            <v>8146</v>
          </cell>
          <cell r="BO94">
            <v>8146</v>
          </cell>
          <cell r="BP94">
            <v>8146</v>
          </cell>
          <cell r="BQ94">
            <v>8146</v>
          </cell>
          <cell r="BR94">
            <v>8146</v>
          </cell>
          <cell r="BS94">
            <v>8146</v>
          </cell>
          <cell r="BT94">
            <v>8146</v>
          </cell>
          <cell r="BU94">
            <v>8146</v>
          </cell>
          <cell r="BV94">
            <v>8146</v>
          </cell>
          <cell r="BW94">
            <v>8146</v>
          </cell>
          <cell r="BX94">
            <v>8146</v>
          </cell>
          <cell r="CG94" t="str">
            <v>mstag:opUnitsOutstanding</v>
          </cell>
          <cell r="CH94">
            <v>3</v>
          </cell>
          <cell r="CI94" t="str">
            <v>ms_eqr_gcim_Decimal:ms_eqr_gcim_decimal</v>
          </cell>
          <cell r="CJ94" t="b">
            <v>0</v>
          </cell>
          <cell r="CK94" t="b">
            <v>0</v>
          </cell>
        </row>
        <row r="95">
          <cell r="A95" t="str">
            <v>Convertible D &amp; G Equivalents</v>
          </cell>
          <cell r="AA95">
            <v>6461</v>
          </cell>
          <cell r="AB95">
            <v>6457</v>
          </cell>
          <cell r="AC95">
            <v>6456</v>
          </cell>
          <cell r="AD95">
            <v>6454</v>
          </cell>
          <cell r="AE95">
            <v>6457</v>
          </cell>
          <cell r="AF95">
            <v>6454</v>
          </cell>
          <cell r="AG95">
            <v>6454</v>
          </cell>
          <cell r="AH95">
            <v>6149</v>
          </cell>
          <cell r="AI95">
            <v>5008</v>
          </cell>
          <cell r="AJ95">
            <v>6015</v>
          </cell>
          <cell r="AK95">
            <v>5007</v>
          </cell>
          <cell r="AL95">
            <v>5006</v>
          </cell>
          <cell r="AM95">
            <v>5005</v>
          </cell>
          <cell r="AN95">
            <v>4999</v>
          </cell>
          <cell r="AO95">
            <v>5004.25</v>
          </cell>
          <cell r="AP95">
            <v>3592</v>
          </cell>
          <cell r="AQ95">
            <v>0</v>
          </cell>
          <cell r="AR95">
            <v>0</v>
          </cell>
          <cell r="AS95">
            <v>0</v>
          </cell>
          <cell r="AT95">
            <v>898</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row>
        <row r="96">
          <cell r="A96" t="str">
            <v>JV Covertible Equivalents</v>
          </cell>
          <cell r="AA96">
            <v>2101</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row>
        <row r="97">
          <cell r="A97" t="str">
            <v>Diluted Shares and Units (Thous.)</v>
          </cell>
          <cell r="C97">
            <v>69579.447</v>
          </cell>
          <cell r="D97">
            <v>70576.334000000003</v>
          </cell>
          <cell r="E97">
            <v>72970.972000000009</v>
          </cell>
          <cell r="F97">
            <v>86648.684999999998</v>
          </cell>
          <cell r="G97">
            <v>74992.661000000007</v>
          </cell>
          <cell r="I97">
            <v>88596</v>
          </cell>
          <cell r="J97">
            <v>91830</v>
          </cell>
          <cell r="K97">
            <v>93279</v>
          </cell>
          <cell r="L97">
            <v>96074</v>
          </cell>
          <cell r="M97">
            <v>92468</v>
          </cell>
          <cell r="O97">
            <v>98094</v>
          </cell>
          <cell r="P97">
            <v>103914</v>
          </cell>
          <cell r="Q97">
            <v>145427</v>
          </cell>
          <cell r="R97">
            <v>151961</v>
          </cell>
          <cell r="S97">
            <v>124849</v>
          </cell>
          <cell r="U97">
            <v>152825</v>
          </cell>
          <cell r="V97">
            <v>152340.9025</v>
          </cell>
          <cell r="W97">
            <v>154396.75475624998</v>
          </cell>
          <cell r="X97">
            <v>156305.86238838435</v>
          </cell>
          <cell r="Y97">
            <v>153967.12991115858</v>
          </cell>
          <cell r="AA97">
            <v>157492</v>
          </cell>
          <cell r="AB97">
            <v>156028</v>
          </cell>
          <cell r="AC97">
            <v>156569</v>
          </cell>
          <cell r="AD97">
            <v>156296</v>
          </cell>
          <cell r="AE97">
            <v>156075</v>
          </cell>
          <cell r="AF97">
            <v>156724</v>
          </cell>
          <cell r="AG97">
            <v>157546</v>
          </cell>
          <cell r="AH97">
            <v>157405</v>
          </cell>
          <cell r="AI97">
            <v>155700</v>
          </cell>
          <cell r="AJ97">
            <v>156854</v>
          </cell>
          <cell r="AK97">
            <v>155634</v>
          </cell>
          <cell r="AL97">
            <v>156025</v>
          </cell>
          <cell r="AM97">
            <v>156249</v>
          </cell>
          <cell r="AN97">
            <v>156660</v>
          </cell>
          <cell r="AO97">
            <v>156142</v>
          </cell>
          <cell r="AP97">
            <v>156995</v>
          </cell>
          <cell r="AQ97">
            <v>156828</v>
          </cell>
          <cell r="AR97">
            <v>157105</v>
          </cell>
          <cell r="AS97">
            <v>157350</v>
          </cell>
          <cell r="AT97">
            <v>157069.5</v>
          </cell>
          <cell r="AU97">
            <v>157720</v>
          </cell>
          <cell r="AV97">
            <v>157759</v>
          </cell>
          <cell r="AW97">
            <v>156883</v>
          </cell>
          <cell r="AX97">
            <v>151145</v>
          </cell>
          <cell r="AY97">
            <v>155876.75</v>
          </cell>
          <cell r="AZ97">
            <v>149265</v>
          </cell>
          <cell r="BA97">
            <v>149364</v>
          </cell>
          <cell r="BB97">
            <v>149590</v>
          </cell>
          <cell r="BC97">
            <v>149020</v>
          </cell>
          <cell r="BD97">
            <v>149309.75</v>
          </cell>
          <cell r="BE97">
            <v>148327</v>
          </cell>
          <cell r="BF97">
            <v>148129</v>
          </cell>
          <cell r="BG97">
            <v>147651</v>
          </cell>
          <cell r="BH97">
            <v>154467</v>
          </cell>
          <cell r="BI97">
            <v>149643.5</v>
          </cell>
          <cell r="BJ97">
            <v>155923.23000000001</v>
          </cell>
          <cell r="BK97">
            <v>157394.02230000001</v>
          </cell>
          <cell r="BL97">
            <v>158879.52252300002</v>
          </cell>
          <cell r="BM97">
            <v>160379.87774823004</v>
          </cell>
          <cell r="BN97">
            <v>158144.16314280752</v>
          </cell>
          <cell r="BO97">
            <v>161895.23652571233</v>
          </cell>
          <cell r="BP97">
            <v>163425.74889096947</v>
          </cell>
          <cell r="BQ97">
            <v>164971.56637987916</v>
          </cell>
          <cell r="BR97">
            <v>166532.84204367796</v>
          </cell>
          <cell r="BS97">
            <v>164206.34846005973</v>
          </cell>
          <cell r="BT97">
            <v>168109.73046411475</v>
          </cell>
          <cell r="BU97">
            <v>169702.3877687559</v>
          </cell>
          <cell r="BV97">
            <v>171310.97164644345</v>
          </cell>
          <cell r="BW97">
            <v>172935.64136290789</v>
          </cell>
          <cell r="BX97">
            <v>170514.6828105555</v>
          </cell>
          <cell r="CG97" t="str">
            <v>mstag:averageDilutedSharesOutstandingForFfo</v>
          </cell>
          <cell r="CH97">
            <v>3</v>
          </cell>
          <cell r="CI97" t="str">
            <v>ms_eqr_gcim_Decimal:ms_eqr_gcim_decimal</v>
          </cell>
          <cell r="CJ97" t="b">
            <v>0</v>
          </cell>
          <cell r="CK97" t="b">
            <v>0</v>
          </cell>
        </row>
        <row r="98">
          <cell r="AK98">
            <v>-0.12582655233607776</v>
          </cell>
          <cell r="AL98">
            <v>-8.8789198270179281E-2</v>
          </cell>
          <cell r="AM98">
            <v>4.8672870919619138E-2</v>
          </cell>
          <cell r="AN98">
            <v>0.14395636210548401</v>
          </cell>
          <cell r="AO98">
            <v>-9.9772572996168485E-3</v>
          </cell>
          <cell r="AP98">
            <v>3.8170603867948572E-3</v>
          </cell>
          <cell r="AQ98">
            <v>3.0222787453735078E-2</v>
          </cell>
          <cell r="AR98">
            <v>1.1796360325637023E-2</v>
          </cell>
          <cell r="AS98">
            <v>-1.8729948434821675E-2</v>
          </cell>
          <cell r="AT98">
            <v>5.8375076421772754E-3</v>
          </cell>
        </row>
        <row r="99">
          <cell r="BD99">
            <v>3.6167245823898631E-2</v>
          </cell>
        </row>
        <row r="100">
          <cell r="A100" t="str">
            <v>E = Morgan Stanley Research Estimate</v>
          </cell>
          <cell r="AX100">
            <v>138703.33333333334</v>
          </cell>
          <cell r="BA100">
            <v>448.09199999999998</v>
          </cell>
          <cell r="BD100">
            <v>8.0369835191606703E-2</v>
          </cell>
          <cell r="BI100">
            <v>0.10077197679591698</v>
          </cell>
          <cell r="BN100">
            <v>4.9081620736690645E-4</v>
          </cell>
        </row>
        <row r="101">
          <cell r="A101" t="str">
            <v>1  Other Adjustments include reversals to the Other Adjustments in Fund From Operations (FFO) calculations based on total shares and OP units outstanding.</v>
          </cell>
          <cell r="BD101">
            <v>19410.267500000002</v>
          </cell>
        </row>
        <row r="103">
          <cell r="B103" t="str">
            <v>Retained Capital</v>
          </cell>
        </row>
        <row r="104">
          <cell r="B104" t="str">
            <v>AFFO</v>
          </cell>
          <cell r="AK104">
            <v>62721</v>
          </cell>
          <cell r="AL104">
            <v>62010</v>
          </cell>
          <cell r="AM104">
            <v>61909</v>
          </cell>
          <cell r="AN104">
            <v>68054</v>
          </cell>
          <cell r="AO104">
            <v>254694</v>
          </cell>
          <cell r="AP104">
            <v>57542</v>
          </cell>
          <cell r="AQ104">
            <v>62949</v>
          </cell>
          <cell r="AR104">
            <v>63025</v>
          </cell>
          <cell r="AS104">
            <v>64192</v>
          </cell>
          <cell r="AT104">
            <v>247708</v>
          </cell>
          <cell r="AU104">
            <v>57693</v>
          </cell>
          <cell r="AV104">
            <v>60872</v>
          </cell>
          <cell r="AW104">
            <v>60322</v>
          </cell>
          <cell r="AX104">
            <v>53650</v>
          </cell>
          <cell r="AY104">
            <v>232537</v>
          </cell>
          <cell r="AZ104">
            <v>52521</v>
          </cell>
          <cell r="BA104">
            <v>63742</v>
          </cell>
          <cell r="BB104">
            <v>72692</v>
          </cell>
          <cell r="BC104">
            <v>93421</v>
          </cell>
          <cell r="BD104">
            <v>282376</v>
          </cell>
          <cell r="BE104">
            <v>69612</v>
          </cell>
          <cell r="BF104">
            <v>69028</v>
          </cell>
          <cell r="BG104">
            <v>75312</v>
          </cell>
          <cell r="BH104">
            <v>97487</v>
          </cell>
          <cell r="BI104">
            <v>311439</v>
          </cell>
          <cell r="BJ104">
            <v>74339.443225073846</v>
          </cell>
          <cell r="BK104">
            <v>78513.861311960834</v>
          </cell>
          <cell r="BL104">
            <v>77565.54202319149</v>
          </cell>
          <cell r="BM104">
            <v>78084.67271945985</v>
          </cell>
          <cell r="BN104">
            <v>308503.51927968604</v>
          </cell>
          <cell r="BO104">
            <v>83822.586107020659</v>
          </cell>
          <cell r="BP104">
            <v>83230.607859725409</v>
          </cell>
          <cell r="BQ104">
            <v>82879.395631537758</v>
          </cell>
          <cell r="BR104">
            <v>82295.839404851242</v>
          </cell>
          <cell r="BS104">
            <v>332228.42900313507</v>
          </cell>
          <cell r="BT104">
            <v>84904.943970532622</v>
          </cell>
          <cell r="BU104">
            <v>85039.677772265219</v>
          </cell>
          <cell r="BV104">
            <v>85602.249517912773</v>
          </cell>
          <cell r="BW104">
            <v>85965.812786376395</v>
          </cell>
          <cell r="BX104">
            <v>341512.68404708698</v>
          </cell>
        </row>
        <row r="105">
          <cell r="B105" t="str">
            <v>Development Gains</v>
          </cell>
          <cell r="AK105">
            <v>-193</v>
          </cell>
          <cell r="AL105">
            <v>910</v>
          </cell>
          <cell r="AM105">
            <v>122</v>
          </cell>
          <cell r="AN105">
            <v>14647</v>
          </cell>
          <cell r="AP105">
            <v>579</v>
          </cell>
          <cell r="AQ105">
            <v>4051</v>
          </cell>
          <cell r="AR105">
            <v>4794</v>
          </cell>
          <cell r="AS105">
            <v>15578</v>
          </cell>
          <cell r="AU105">
            <v>8113.8700000000099</v>
          </cell>
          <cell r="AV105">
            <v>12038</v>
          </cell>
          <cell r="AW105">
            <v>8092</v>
          </cell>
          <cell r="AX105">
            <v>2235.1300000000047</v>
          </cell>
          <cell r="AZ105">
            <v>722</v>
          </cell>
          <cell r="BA105">
            <v>561</v>
          </cell>
          <cell r="BB105">
            <v>11665</v>
          </cell>
          <cell r="BC105">
            <v>36442</v>
          </cell>
          <cell r="BE105">
            <v>2864</v>
          </cell>
          <cell r="BF105">
            <v>6813</v>
          </cell>
          <cell r="BG105">
            <v>1116</v>
          </cell>
          <cell r="BH105">
            <v>23889</v>
          </cell>
          <cell r="BJ105">
            <v>7392.0000000000009</v>
          </cell>
          <cell r="BK105">
            <v>7392.0000000000009</v>
          </cell>
          <cell r="BL105">
            <v>7392.0000000000009</v>
          </cell>
          <cell r="BM105">
            <v>7392.0000000000009</v>
          </cell>
          <cell r="BO105">
            <v>16526.25</v>
          </cell>
          <cell r="BP105">
            <v>16380.000000000002</v>
          </cell>
          <cell r="BQ105">
            <v>16380.000000000002</v>
          </cell>
          <cell r="BR105">
            <v>16380.000000000002</v>
          </cell>
          <cell r="BT105">
            <v>19406.249999999996</v>
          </cell>
          <cell r="BU105">
            <v>18900</v>
          </cell>
          <cell r="BV105">
            <v>18900</v>
          </cell>
          <cell r="BW105">
            <v>18900</v>
          </cell>
        </row>
        <row r="106">
          <cell r="B106" t="str">
            <v>Dividends - Common</v>
          </cell>
          <cell r="AK106">
            <v>61502.35</v>
          </cell>
          <cell r="AL106">
            <v>61600.630000000005</v>
          </cell>
          <cell r="AM106">
            <v>62424.76</v>
          </cell>
          <cell r="AN106">
            <v>62608.3</v>
          </cell>
          <cell r="AP106">
            <v>63663.08</v>
          </cell>
          <cell r="AQ106">
            <v>65367.840000000004</v>
          </cell>
          <cell r="AR106">
            <v>65445.58</v>
          </cell>
          <cell r="AS106">
            <v>66362.94</v>
          </cell>
          <cell r="AU106">
            <v>66536.385000000009</v>
          </cell>
          <cell r="AV106">
            <v>67435.599999999991</v>
          </cell>
          <cell r="AW106">
            <v>67051.61</v>
          </cell>
          <cell r="AX106">
            <v>64321.85</v>
          </cell>
          <cell r="AZ106">
            <v>62673.165000000001</v>
          </cell>
          <cell r="BA106">
            <v>63435.429999999993</v>
          </cell>
          <cell r="BB106">
            <v>64180.574999999997</v>
          </cell>
          <cell r="BC106">
            <v>63965.875</v>
          </cell>
          <cell r="BE106">
            <v>64990.924999999996</v>
          </cell>
          <cell r="BF106">
            <v>65037.474999999999</v>
          </cell>
          <cell r="BG106">
            <v>65348.6</v>
          </cell>
          <cell r="BH106">
            <v>69899.039999999994</v>
          </cell>
          <cell r="BJ106">
            <v>70598.030400000003</v>
          </cell>
          <cell r="BK106">
            <v>71304.010704</v>
          </cell>
          <cell r="BL106">
            <v>72017.050811040011</v>
          </cell>
          <cell r="BM106">
            <v>72737.221319150412</v>
          </cell>
          <cell r="BO106">
            <v>73464.593532341911</v>
          </cell>
          <cell r="BP106">
            <v>74199.239467665335</v>
          </cell>
          <cell r="BQ106">
            <v>74941.231862342</v>
          </cell>
          <cell r="BR106">
            <v>75690.644180965421</v>
          </cell>
          <cell r="BT106">
            <v>76447.550622775074</v>
          </cell>
          <cell r="BU106">
            <v>77212.026129002828</v>
          </cell>
          <cell r="BV106">
            <v>77984.146390292852</v>
          </cell>
          <cell r="BW106">
            <v>78763.987854195788</v>
          </cell>
        </row>
        <row r="107">
          <cell r="B107" t="str">
            <v>Dividends - OP</v>
          </cell>
          <cell r="AK107">
            <v>6734.91</v>
          </cell>
          <cell r="AL107">
            <v>6713.5250000000005</v>
          </cell>
          <cell r="AM107">
            <v>6746.8200000000006</v>
          </cell>
          <cell r="AN107">
            <v>6680.58</v>
          </cell>
          <cell r="AP107">
            <v>6461.16</v>
          </cell>
          <cell r="AQ107">
            <v>6412.8600000000006</v>
          </cell>
          <cell r="AR107">
            <v>6411.4800000000005</v>
          </cell>
          <cell r="AS107">
            <v>6363.06</v>
          </cell>
          <cell r="AU107">
            <v>6443.97</v>
          </cell>
          <cell r="AV107">
            <v>6347.82</v>
          </cell>
          <cell r="AW107">
            <v>6320.0899999999992</v>
          </cell>
          <cell r="AX107">
            <v>6297.53</v>
          </cell>
          <cell r="AZ107">
            <v>6228.21</v>
          </cell>
          <cell r="BA107">
            <v>6252.8799999999992</v>
          </cell>
          <cell r="BB107">
            <v>6275.2249999999995</v>
          </cell>
          <cell r="BC107">
            <v>6098.5249999999996</v>
          </cell>
          <cell r="BE107">
            <v>4621.2749999999996</v>
          </cell>
          <cell r="BF107">
            <v>4646.45</v>
          </cell>
          <cell r="BG107">
            <v>4358.5999999999995</v>
          </cell>
          <cell r="BH107">
            <v>3910.08</v>
          </cell>
          <cell r="BJ107">
            <v>3910.08</v>
          </cell>
          <cell r="BK107">
            <v>3910.08</v>
          </cell>
          <cell r="BL107">
            <v>3910.08</v>
          </cell>
          <cell r="BM107">
            <v>3910.08</v>
          </cell>
          <cell r="BO107">
            <v>3910.08</v>
          </cell>
          <cell r="BP107">
            <v>3910.08</v>
          </cell>
          <cell r="BQ107">
            <v>3910.08</v>
          </cell>
          <cell r="BR107">
            <v>3910.08</v>
          </cell>
          <cell r="BT107">
            <v>3910.08</v>
          </cell>
          <cell r="BU107">
            <v>3910.08</v>
          </cell>
          <cell r="BV107">
            <v>3910.08</v>
          </cell>
          <cell r="BW107">
            <v>3910.08</v>
          </cell>
        </row>
        <row r="108">
          <cell r="B108" t="str">
            <v>Retained Cash</v>
          </cell>
          <cell r="AK108">
            <v>-5323.2599999999984</v>
          </cell>
          <cell r="AL108">
            <v>-7214.1550000000052</v>
          </cell>
          <cell r="AM108">
            <v>-7384.5800000000027</v>
          </cell>
          <cell r="AN108">
            <v>-15881.880000000003</v>
          </cell>
          <cell r="AP108">
            <v>-13161.240000000002</v>
          </cell>
          <cell r="AQ108">
            <v>-12882.700000000004</v>
          </cell>
          <cell r="AR108">
            <v>-13626.060000000001</v>
          </cell>
          <cell r="AS108">
            <v>-24112.000000000004</v>
          </cell>
          <cell r="AU108">
            <v>-23401.22500000002</v>
          </cell>
          <cell r="AV108">
            <v>-24949.419999999991</v>
          </cell>
          <cell r="AW108">
            <v>-21141.7</v>
          </cell>
          <cell r="AX108">
            <v>-19204.510000000002</v>
          </cell>
          <cell r="AZ108">
            <v>-17102.375</v>
          </cell>
          <cell r="BA108">
            <v>-6507.3099999999922</v>
          </cell>
          <cell r="BB108">
            <v>-9428.7999999999956</v>
          </cell>
          <cell r="BC108">
            <v>-13085.4</v>
          </cell>
          <cell r="BE108">
            <v>-2864.1999999999953</v>
          </cell>
          <cell r="BF108">
            <v>-7468.9249999999984</v>
          </cell>
          <cell r="BG108">
            <v>4488.800000000002</v>
          </cell>
          <cell r="BH108">
            <v>-211.11999999999352</v>
          </cell>
          <cell r="BJ108">
            <v>-7560.6671749261568</v>
          </cell>
          <cell r="BK108">
            <v>-4092.2293920391658</v>
          </cell>
          <cell r="BL108">
            <v>-5753.588787848521</v>
          </cell>
          <cell r="BM108">
            <v>-5954.6285996905626</v>
          </cell>
          <cell r="BO108">
            <v>-10078.337425321251</v>
          </cell>
          <cell r="BP108">
            <v>-11258.711607939926</v>
          </cell>
          <cell r="BQ108">
            <v>-12351.916230804241</v>
          </cell>
          <cell r="BR108">
            <v>-13684.884776114179</v>
          </cell>
          <cell r="BT108">
            <v>-14858.936652242452</v>
          </cell>
          <cell r="BU108">
            <v>-14982.42835673761</v>
          </cell>
          <cell r="BV108">
            <v>-15191.976872380079</v>
          </cell>
          <cell r="BW108">
            <v>-15608.255067819393</v>
          </cell>
        </row>
        <row r="111">
          <cell r="B111" t="str">
            <v>Forward Four Quarters</v>
          </cell>
          <cell r="AI111">
            <v>2.4508240133436381</v>
          </cell>
          <cell r="AK111">
            <v>2.453372493610666</v>
          </cell>
          <cell r="AL111">
            <v>2.470815566948291</v>
          </cell>
          <cell r="AM111">
            <v>2.4780912310778636</v>
          </cell>
          <cell r="AN111">
            <v>2.4653952528176686</v>
          </cell>
        </row>
        <row r="114">
          <cell r="C114">
            <v>1997</v>
          </cell>
          <cell r="I114">
            <v>1998</v>
          </cell>
          <cell r="O114">
            <v>1999</v>
          </cell>
          <cell r="U114">
            <v>2000</v>
          </cell>
          <cell r="AA114">
            <v>2001</v>
          </cell>
          <cell r="AF114">
            <v>2002</v>
          </cell>
          <cell r="AK114">
            <v>2003</v>
          </cell>
          <cell r="AP114">
            <v>2004</v>
          </cell>
          <cell r="AU114">
            <v>2005</v>
          </cell>
          <cell r="AZ114">
            <v>2006</v>
          </cell>
          <cell r="BE114">
            <v>2007</v>
          </cell>
          <cell r="BJ114">
            <v>2008</v>
          </cell>
          <cell r="BO114">
            <v>2009</v>
          </cell>
          <cell r="BT114">
            <v>2010</v>
          </cell>
        </row>
        <row r="115">
          <cell r="B115" t="str">
            <v>Year Ends December 31</v>
          </cell>
          <cell r="C115" t="str">
            <v>1QA</v>
          </cell>
          <cell r="D115" t="str">
            <v>2QA</v>
          </cell>
          <cell r="E115" t="str">
            <v>3QA</v>
          </cell>
          <cell r="F115" t="str">
            <v>4QA</v>
          </cell>
          <cell r="G115" t="str">
            <v>1997A</v>
          </cell>
          <cell r="I115" t="str">
            <v>1Q</v>
          </cell>
          <cell r="J115" t="str">
            <v>2Q</v>
          </cell>
          <cell r="K115" t="str">
            <v>3Q</v>
          </cell>
          <cell r="L115" t="str">
            <v>4Q</v>
          </cell>
          <cell r="M115" t="str">
            <v>1998A</v>
          </cell>
          <cell r="O115" t="str">
            <v>1QE</v>
          </cell>
          <cell r="P115" t="str">
            <v>2QE</v>
          </cell>
          <cell r="Q115" t="str">
            <v>3QE</v>
          </cell>
          <cell r="R115" t="str">
            <v>4QE</v>
          </cell>
          <cell r="S115" t="str">
            <v>1999A</v>
          </cell>
          <cell r="U115" t="str">
            <v>1QE</v>
          </cell>
          <cell r="V115" t="str">
            <v>2QE</v>
          </cell>
          <cell r="W115" t="str">
            <v>3QE</v>
          </cell>
          <cell r="X115" t="str">
            <v>4QE</v>
          </cell>
          <cell r="Y115" t="str">
            <v>2000E</v>
          </cell>
          <cell r="AA115" t="str">
            <v>1QA</v>
          </cell>
          <cell r="AB115" t="str">
            <v>2QE</v>
          </cell>
          <cell r="AC115" t="str">
            <v>3QE</v>
          </cell>
          <cell r="AD115" t="str">
            <v>4QE</v>
          </cell>
          <cell r="AE115" t="str">
            <v>2001E</v>
          </cell>
          <cell r="AF115" t="str">
            <v>1QA</v>
          </cell>
          <cell r="AG115" t="str">
            <v>2QE</v>
          </cell>
          <cell r="AH115" t="str">
            <v>3QE</v>
          </cell>
          <cell r="AI115" t="str">
            <v>4QE</v>
          </cell>
          <cell r="AJ115" t="str">
            <v>2002A</v>
          </cell>
          <cell r="AK115" t="str">
            <v>1QE</v>
          </cell>
          <cell r="AL115" t="str">
            <v>2QE</v>
          </cell>
          <cell r="AM115" t="str">
            <v>3QE</v>
          </cell>
          <cell r="AN115" t="str">
            <v>4QE</v>
          </cell>
          <cell r="AO115" t="str">
            <v>2003A</v>
          </cell>
          <cell r="AP115" t="str">
            <v>1QA</v>
          </cell>
          <cell r="AQ115" t="str">
            <v>2QA</v>
          </cell>
          <cell r="AR115" t="str">
            <v>3QA</v>
          </cell>
          <cell r="AS115" t="str">
            <v>4QA</v>
          </cell>
          <cell r="AT115" t="str">
            <v>2004A</v>
          </cell>
          <cell r="AU115" t="str">
            <v>1QA</v>
          </cell>
          <cell r="AV115" t="str">
            <v>2QA</v>
          </cell>
          <cell r="AW115" t="str">
            <v>3QA</v>
          </cell>
          <cell r="AX115" t="str">
            <v>4QA</v>
          </cell>
          <cell r="AY115" t="str">
            <v>2005A</v>
          </cell>
          <cell r="AZ115" t="str">
            <v>1QA</v>
          </cell>
          <cell r="BA115" t="str">
            <v>2QE</v>
          </cell>
          <cell r="BB115" t="str">
            <v>3QE</v>
          </cell>
          <cell r="BC115" t="str">
            <v>4QE</v>
          </cell>
          <cell r="BD115" t="str">
            <v>2006A</v>
          </cell>
          <cell r="BE115" t="str">
            <v>1QE</v>
          </cell>
          <cell r="BF115" t="str">
            <v>2QE</v>
          </cell>
          <cell r="BG115" t="str">
            <v>3QE</v>
          </cell>
          <cell r="BH115" t="str">
            <v>4QE</v>
          </cell>
          <cell r="BI115" t="str">
            <v>2007A</v>
          </cell>
          <cell r="BJ115" t="str">
            <v>1QE</v>
          </cell>
          <cell r="BK115" t="str">
            <v>2QE</v>
          </cell>
          <cell r="BL115" t="str">
            <v>3QE</v>
          </cell>
          <cell r="BM115" t="str">
            <v>4QE</v>
          </cell>
          <cell r="BN115" t="str">
            <v>2008E</v>
          </cell>
          <cell r="BO115" t="str">
            <v>1QE</v>
          </cell>
          <cell r="BP115" t="str">
            <v>2QE</v>
          </cell>
          <cell r="BQ115" t="str">
            <v>3QE</v>
          </cell>
          <cell r="BR115" t="str">
            <v>4QE</v>
          </cell>
          <cell r="BS115" t="str">
            <v>2009E</v>
          </cell>
          <cell r="BT115" t="str">
            <v>1QE</v>
          </cell>
          <cell r="BU115" t="str">
            <v>2QE</v>
          </cell>
          <cell r="BV115" t="str">
            <v>3QE</v>
          </cell>
          <cell r="BW115" t="str">
            <v>4QE</v>
          </cell>
          <cell r="BX115" t="str">
            <v>2010E</v>
          </cell>
        </row>
        <row r="117">
          <cell r="B117" t="str">
            <v xml:space="preserve">  Mgmt., Maint., &amp; Leasing Fees</v>
          </cell>
          <cell r="C117">
            <v>2641</v>
          </cell>
          <cell r="D117">
            <v>3214</v>
          </cell>
          <cell r="E117">
            <v>3315</v>
          </cell>
          <cell r="F117">
            <v>3629</v>
          </cell>
          <cell r="G117">
            <v>12799</v>
          </cell>
          <cell r="I117">
            <v>3037</v>
          </cell>
          <cell r="J117">
            <v>3597</v>
          </cell>
          <cell r="K117">
            <v>3606</v>
          </cell>
          <cell r="L117">
            <v>2949</v>
          </cell>
          <cell r="M117">
            <v>13189</v>
          </cell>
          <cell r="O117">
            <v>3626</v>
          </cell>
          <cell r="P117">
            <v>3795</v>
          </cell>
          <cell r="Q117">
            <v>7255</v>
          </cell>
          <cell r="U117">
            <v>5683</v>
          </cell>
          <cell r="V117">
            <v>6582</v>
          </cell>
          <cell r="W117">
            <v>5937</v>
          </cell>
          <cell r="X117">
            <v>7275</v>
          </cell>
          <cell r="AA117">
            <v>6598</v>
          </cell>
          <cell r="AF117">
            <v>3199</v>
          </cell>
        </row>
        <row r="118">
          <cell r="B118" t="str">
            <v xml:space="preserve">  Construct. Mgmt. and Devel. Fees</v>
          </cell>
          <cell r="C118">
            <v>1066</v>
          </cell>
          <cell r="D118">
            <v>1645</v>
          </cell>
          <cell r="E118">
            <v>2385</v>
          </cell>
          <cell r="F118">
            <v>3550</v>
          </cell>
          <cell r="G118">
            <v>8646</v>
          </cell>
          <cell r="I118">
            <v>1559</v>
          </cell>
          <cell r="J118">
            <v>3131</v>
          </cell>
          <cell r="K118">
            <v>3425</v>
          </cell>
          <cell r="L118">
            <v>2302</v>
          </cell>
          <cell r="M118">
            <v>10417</v>
          </cell>
          <cell r="O118">
            <v>8347</v>
          </cell>
          <cell r="P118">
            <v>4812</v>
          </cell>
          <cell r="Q118">
            <v>7817</v>
          </cell>
          <cell r="U118">
            <v>7548</v>
          </cell>
          <cell r="V118">
            <v>18399</v>
          </cell>
          <cell r="W118">
            <v>15634</v>
          </cell>
          <cell r="X118">
            <v>14282</v>
          </cell>
          <cell r="AA118">
            <v>15452</v>
          </cell>
          <cell r="AF118">
            <v>26107</v>
          </cell>
        </row>
        <row r="119">
          <cell r="B119" t="str">
            <v xml:space="preserve">  Other Income</v>
          </cell>
          <cell r="C119">
            <v>232</v>
          </cell>
          <cell r="D119">
            <v>270</v>
          </cell>
          <cell r="E119">
            <v>217</v>
          </cell>
          <cell r="F119">
            <v>214</v>
          </cell>
          <cell r="G119">
            <v>933</v>
          </cell>
          <cell r="I119">
            <v>304</v>
          </cell>
          <cell r="J119">
            <v>294</v>
          </cell>
          <cell r="K119">
            <v>253</v>
          </cell>
          <cell r="L119">
            <v>259</v>
          </cell>
          <cell r="M119">
            <v>1110</v>
          </cell>
          <cell r="O119">
            <v>294</v>
          </cell>
          <cell r="P119">
            <v>286</v>
          </cell>
          <cell r="Q119">
            <v>330</v>
          </cell>
          <cell r="R119">
            <v>300</v>
          </cell>
          <cell r="U119">
            <v>834</v>
          </cell>
          <cell r="V119">
            <v>60</v>
          </cell>
          <cell r="W119">
            <v>332</v>
          </cell>
          <cell r="X119">
            <v>233</v>
          </cell>
          <cell r="AA119">
            <v>272</v>
          </cell>
          <cell r="AB119">
            <v>300</v>
          </cell>
          <cell r="AC119">
            <v>300</v>
          </cell>
          <cell r="AD119">
            <v>300</v>
          </cell>
          <cell r="AF119">
            <v>215</v>
          </cell>
          <cell r="AG119">
            <v>300</v>
          </cell>
          <cell r="AH119">
            <v>300</v>
          </cell>
          <cell r="AI119">
            <v>300</v>
          </cell>
          <cell r="AK119">
            <v>300</v>
          </cell>
          <cell r="AL119">
            <v>300</v>
          </cell>
          <cell r="AM119">
            <v>300</v>
          </cell>
          <cell r="AN119">
            <v>300</v>
          </cell>
          <cell r="AP119">
            <v>300</v>
          </cell>
          <cell r="AQ119">
            <v>300</v>
          </cell>
          <cell r="AR119">
            <v>300</v>
          </cell>
          <cell r="AS119">
            <v>300</v>
          </cell>
          <cell r="AU119">
            <v>300</v>
          </cell>
          <cell r="AV119">
            <v>300</v>
          </cell>
          <cell r="AW119">
            <v>300</v>
          </cell>
          <cell r="AX119">
            <v>300</v>
          </cell>
          <cell r="AZ119">
            <v>300</v>
          </cell>
          <cell r="BA119">
            <v>300</v>
          </cell>
          <cell r="BB119">
            <v>300</v>
          </cell>
          <cell r="BC119">
            <v>300</v>
          </cell>
          <cell r="BE119">
            <v>300</v>
          </cell>
          <cell r="BF119">
            <v>300</v>
          </cell>
          <cell r="BG119">
            <v>300</v>
          </cell>
          <cell r="BH119">
            <v>300</v>
          </cell>
          <cell r="BJ119">
            <v>300</v>
          </cell>
          <cell r="BK119">
            <v>300</v>
          </cell>
          <cell r="BL119">
            <v>300</v>
          </cell>
          <cell r="BM119">
            <v>300</v>
          </cell>
          <cell r="BO119">
            <v>300</v>
          </cell>
          <cell r="BP119">
            <v>300</v>
          </cell>
          <cell r="BQ119">
            <v>300</v>
          </cell>
          <cell r="BR119">
            <v>300</v>
          </cell>
          <cell r="BT119">
            <v>300</v>
          </cell>
          <cell r="BU119">
            <v>300</v>
          </cell>
          <cell r="BV119">
            <v>300</v>
          </cell>
          <cell r="BW119">
            <v>300</v>
          </cell>
        </row>
        <row r="120">
          <cell r="B120" t="str">
            <v xml:space="preserve">  Payroll Expense</v>
          </cell>
          <cell r="C120">
            <v>2340</v>
          </cell>
          <cell r="D120">
            <v>2545</v>
          </cell>
          <cell r="E120">
            <v>2542</v>
          </cell>
          <cell r="F120">
            <v>3334</v>
          </cell>
          <cell r="G120">
            <v>10761</v>
          </cell>
          <cell r="I120">
            <v>2883</v>
          </cell>
          <cell r="J120">
            <v>3804</v>
          </cell>
          <cell r="K120">
            <v>3178</v>
          </cell>
          <cell r="L120">
            <v>2588</v>
          </cell>
          <cell r="M120">
            <v>12453</v>
          </cell>
          <cell r="O120">
            <v>3717</v>
          </cell>
          <cell r="P120">
            <v>3339</v>
          </cell>
          <cell r="Q120">
            <v>5916</v>
          </cell>
        </row>
        <row r="121">
          <cell r="B121" t="str">
            <v xml:space="preserve">  Maintenance Expense</v>
          </cell>
          <cell r="C121">
            <v>388</v>
          </cell>
          <cell r="D121">
            <v>528</v>
          </cell>
          <cell r="E121">
            <v>498</v>
          </cell>
          <cell r="F121">
            <v>595</v>
          </cell>
          <cell r="G121">
            <v>2009</v>
          </cell>
          <cell r="I121">
            <v>604</v>
          </cell>
          <cell r="J121">
            <v>594</v>
          </cell>
          <cell r="K121">
            <v>613</v>
          </cell>
          <cell r="L121">
            <v>640</v>
          </cell>
          <cell r="M121">
            <v>2451</v>
          </cell>
          <cell r="O121">
            <v>795</v>
          </cell>
          <cell r="P121">
            <v>807</v>
          </cell>
          <cell r="Q121">
            <v>4215</v>
          </cell>
        </row>
        <row r="122">
          <cell r="B122" t="str">
            <v xml:space="preserve">  Office and Other Expenses</v>
          </cell>
          <cell r="C122">
            <v>749</v>
          </cell>
          <cell r="D122">
            <v>344</v>
          </cell>
          <cell r="E122">
            <v>552</v>
          </cell>
          <cell r="F122">
            <v>810</v>
          </cell>
          <cell r="G122">
            <v>2455</v>
          </cell>
          <cell r="I122">
            <v>518</v>
          </cell>
          <cell r="J122">
            <v>804</v>
          </cell>
          <cell r="K122">
            <v>678</v>
          </cell>
          <cell r="L122">
            <v>617</v>
          </cell>
          <cell r="M122">
            <v>2617</v>
          </cell>
          <cell r="O122">
            <v>2719</v>
          </cell>
          <cell r="P122">
            <v>1165</v>
          </cell>
          <cell r="Q122">
            <v>1400</v>
          </cell>
        </row>
        <row r="123">
          <cell r="B123" t="str">
            <v>Operating Expenses for Service Operations</v>
          </cell>
          <cell r="U123">
            <v>8689</v>
          </cell>
          <cell r="V123">
            <v>14088</v>
          </cell>
          <cell r="W123">
            <v>13410</v>
          </cell>
          <cell r="X123">
            <v>13852</v>
          </cell>
          <cell r="AA123">
            <v>13034</v>
          </cell>
          <cell r="AF123">
            <v>14006</v>
          </cell>
        </row>
        <row r="124">
          <cell r="B124" t="str">
            <v>Earnings from Service Operations</v>
          </cell>
          <cell r="C124">
            <v>462</v>
          </cell>
          <cell r="D124">
            <v>1712</v>
          </cell>
          <cell r="E124">
            <v>2325</v>
          </cell>
          <cell r="F124">
            <v>2654</v>
          </cell>
          <cell r="G124">
            <v>7153</v>
          </cell>
          <cell r="I124">
            <v>895</v>
          </cell>
          <cell r="J124">
            <v>1820</v>
          </cell>
          <cell r="K124">
            <v>2815</v>
          </cell>
          <cell r="L124">
            <v>1665</v>
          </cell>
          <cell r="M124">
            <v>7195</v>
          </cell>
          <cell r="O124">
            <v>5036</v>
          </cell>
          <cell r="P124">
            <v>3582</v>
          </cell>
          <cell r="Q124">
            <v>3871</v>
          </cell>
          <cell r="U124">
            <v>5376</v>
          </cell>
          <cell r="V124">
            <v>10953</v>
          </cell>
          <cell r="W124">
            <v>8493</v>
          </cell>
          <cell r="X124">
            <v>7938</v>
          </cell>
          <cell r="AA124">
            <v>9288</v>
          </cell>
          <cell r="AB124">
            <v>300</v>
          </cell>
          <cell r="AC124">
            <v>300</v>
          </cell>
          <cell r="AD124">
            <v>300</v>
          </cell>
          <cell r="AF124">
            <v>15515</v>
          </cell>
          <cell r="AG124">
            <v>300</v>
          </cell>
          <cell r="AH124">
            <v>300</v>
          </cell>
          <cell r="AI124">
            <v>300</v>
          </cell>
          <cell r="AK124">
            <v>300</v>
          </cell>
          <cell r="AL124">
            <v>300</v>
          </cell>
          <cell r="AM124">
            <v>300</v>
          </cell>
          <cell r="AN124">
            <v>300</v>
          </cell>
          <cell r="AP124">
            <v>300</v>
          </cell>
          <cell r="AQ124">
            <v>300</v>
          </cell>
          <cell r="AR124">
            <v>300</v>
          </cell>
          <cell r="AS124">
            <v>300</v>
          </cell>
          <cell r="AU124">
            <v>300</v>
          </cell>
          <cell r="AV124">
            <v>300</v>
          </cell>
          <cell r="AW124">
            <v>300</v>
          </cell>
          <cell r="AX124">
            <v>300</v>
          </cell>
          <cell r="AZ124">
            <v>300</v>
          </cell>
          <cell r="BA124">
            <v>300</v>
          </cell>
          <cell r="BB124">
            <v>300</v>
          </cell>
          <cell r="BC124">
            <v>300</v>
          </cell>
          <cell r="BE124">
            <v>300</v>
          </cell>
          <cell r="BF124">
            <v>300</v>
          </cell>
          <cell r="BG124">
            <v>300</v>
          </cell>
          <cell r="BH124">
            <v>300</v>
          </cell>
          <cell r="BJ124">
            <v>300</v>
          </cell>
          <cell r="BK124">
            <v>300</v>
          </cell>
          <cell r="BL124">
            <v>300</v>
          </cell>
          <cell r="BM124">
            <v>300</v>
          </cell>
          <cell r="BO124">
            <v>300</v>
          </cell>
          <cell r="BP124">
            <v>300</v>
          </cell>
          <cell r="BQ124">
            <v>300</v>
          </cell>
          <cell r="BR124">
            <v>300</v>
          </cell>
          <cell r="BT124">
            <v>300</v>
          </cell>
          <cell r="BU124">
            <v>300</v>
          </cell>
          <cell r="BV124">
            <v>300</v>
          </cell>
          <cell r="BW124">
            <v>300</v>
          </cell>
        </row>
        <row r="127">
          <cell r="B127" t="str">
            <v>MW</v>
          </cell>
          <cell r="C127">
            <v>0</v>
          </cell>
          <cell r="D127">
            <v>0</v>
          </cell>
          <cell r="E127">
            <v>0</v>
          </cell>
          <cell r="F127">
            <v>0</v>
          </cell>
          <cell r="G127">
            <v>0</v>
          </cell>
          <cell r="I127">
            <v>0</v>
          </cell>
          <cell r="J127">
            <v>0</v>
          </cell>
          <cell r="K127">
            <v>0</v>
          </cell>
          <cell r="L127">
            <v>0</v>
          </cell>
          <cell r="M127">
            <v>0</v>
          </cell>
          <cell r="O127">
            <v>0</v>
          </cell>
          <cell r="P127">
            <v>0</v>
          </cell>
          <cell r="Q127">
            <v>0</v>
          </cell>
        </row>
        <row r="128">
          <cell r="B128" t="str">
            <v>Statutory Tax Rate</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CG128" t="str">
            <v>mstag:statutoryTaxRate</v>
          </cell>
          <cell r="CH128">
            <v>0</v>
          </cell>
          <cell r="CI128" t="str">
            <v>ms_eqr_gcim_Decimal:ms_eqr_gcim_decimal</v>
          </cell>
          <cell r="CJ128" t="b">
            <v>0</v>
          </cell>
          <cell r="CK128" t="b">
            <v>0</v>
          </cell>
        </row>
        <row r="129">
          <cell r="B129" t="str">
            <v>Tax Expense</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CG129" t="str">
            <v>mstag:taxExpenseIncome</v>
          </cell>
          <cell r="CH129">
            <v>3</v>
          </cell>
          <cell r="CI129" t="str">
            <v>ISO4217:USD</v>
          </cell>
          <cell r="CJ129" t="b">
            <v>0</v>
          </cell>
          <cell r="CK129" t="b">
            <v>0</v>
          </cell>
        </row>
        <row r="130">
          <cell r="B130" t="str">
            <v>Unrecorded Goodwill from Poolings, Write Offs &amp; Cumul. Amort</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CG130" t="str">
            <v>mstag:unrecordedGoodwillFromPoolingAndAmortizedOrWrittenOffGoodwill</v>
          </cell>
          <cell r="CH130">
            <v>3</v>
          </cell>
          <cell r="CI130" t="str">
            <v>ISO4217:USD</v>
          </cell>
          <cell r="CJ130" t="b">
            <v>0</v>
          </cell>
          <cell r="CK130" t="b">
            <v>0</v>
          </cell>
        </row>
        <row r="131">
          <cell r="B131" t="str">
            <v>Period End Basic Shares Outstanding</v>
          </cell>
          <cell r="AF131">
            <v>134297.307</v>
          </cell>
          <cell r="AG131">
            <v>134829.53400000001</v>
          </cell>
          <cell r="AH131">
            <v>134894.07800000001</v>
          </cell>
          <cell r="AI131">
            <v>135168.66800000001</v>
          </cell>
          <cell r="AJ131">
            <v>134797.39675000001</v>
          </cell>
          <cell r="AK131">
            <v>135338.39000000001</v>
          </cell>
          <cell r="AL131">
            <v>135684.973</v>
          </cell>
          <cell r="AM131">
            <v>135984.31400000001</v>
          </cell>
          <cell r="AN131">
            <v>137933.85800000001</v>
          </cell>
          <cell r="AO131">
            <v>136235.38375000001</v>
          </cell>
          <cell r="AP131">
            <v>138398</v>
          </cell>
          <cell r="AQ131">
            <v>142104</v>
          </cell>
          <cell r="AR131">
            <v>142273</v>
          </cell>
          <cell r="AS131">
            <v>142716</v>
          </cell>
          <cell r="AT131">
            <v>141372.75</v>
          </cell>
          <cell r="AU131">
            <v>143089</v>
          </cell>
          <cell r="AV131">
            <v>143480</v>
          </cell>
          <cell r="AW131">
            <v>142663</v>
          </cell>
          <cell r="AX131">
            <v>136855</v>
          </cell>
          <cell r="AY131">
            <v>141521.75</v>
          </cell>
          <cell r="AZ131">
            <v>134781</v>
          </cell>
          <cell r="BA131">
            <v>134969</v>
          </cell>
          <cell r="BB131">
            <v>135117</v>
          </cell>
          <cell r="BC131">
            <v>134665</v>
          </cell>
          <cell r="BD131">
            <v>134883</v>
          </cell>
          <cell r="BE131">
            <v>136823</v>
          </cell>
          <cell r="BF131">
            <v>136921</v>
          </cell>
          <cell r="BG131">
            <v>137576</v>
          </cell>
          <cell r="BH131">
            <v>145623</v>
          </cell>
          <cell r="BI131">
            <v>139235.75</v>
          </cell>
          <cell r="BJ131">
            <v>147079.23000000001</v>
          </cell>
          <cell r="BK131">
            <v>148550.02230000001</v>
          </cell>
          <cell r="BL131">
            <v>150035.52252300002</v>
          </cell>
          <cell r="BM131">
            <v>151535.87774823004</v>
          </cell>
          <cell r="BN131">
            <v>149300.16314280752</v>
          </cell>
          <cell r="BO131">
            <v>153051.23652571233</v>
          </cell>
          <cell r="BP131">
            <v>154581.74889096947</v>
          </cell>
          <cell r="BQ131">
            <v>156127.56637987916</v>
          </cell>
          <cell r="BR131">
            <v>157688.84204367796</v>
          </cell>
          <cell r="BS131">
            <v>155362.34846005973</v>
          </cell>
          <cell r="BT131">
            <v>159265.73046411475</v>
          </cell>
          <cell r="BU131">
            <v>160858.3877687559</v>
          </cell>
          <cell r="BV131">
            <v>162466.97164644345</v>
          </cell>
          <cell r="BW131">
            <v>164091.64136290789</v>
          </cell>
          <cell r="BX131">
            <v>161670.6828105555</v>
          </cell>
          <cell r="CG131" t="str">
            <v>mstag:periodEndBasicSharesOutstanding</v>
          </cell>
          <cell r="CH131">
            <v>3</v>
          </cell>
          <cell r="CI131" t="str">
            <v>ms_eqr_gcim_Decimal:ms_eqr_gcim_decimal</v>
          </cell>
          <cell r="CJ131" t="b">
            <v>0</v>
          </cell>
          <cell r="CK131" t="b">
            <v>0</v>
          </cell>
        </row>
        <row r="132">
          <cell r="B132" t="str">
            <v>Other FFO Adjustment</v>
          </cell>
          <cell r="AF132">
            <v>-1</v>
          </cell>
          <cell r="AG132">
            <v>990</v>
          </cell>
          <cell r="AH132">
            <v>0</v>
          </cell>
          <cell r="AI132">
            <v>0</v>
          </cell>
          <cell r="AJ132">
            <v>989</v>
          </cell>
          <cell r="AK132">
            <v>-2354</v>
          </cell>
          <cell r="AL132">
            <v>-128</v>
          </cell>
          <cell r="AM132">
            <v>-325</v>
          </cell>
          <cell r="AN132">
            <v>-694</v>
          </cell>
          <cell r="AO132">
            <v>-3501</v>
          </cell>
          <cell r="AP132">
            <v>-369</v>
          </cell>
          <cell r="AQ132">
            <v>-61</v>
          </cell>
          <cell r="AR132">
            <v>-1327</v>
          </cell>
          <cell r="AS132">
            <v>-764</v>
          </cell>
          <cell r="AT132">
            <v>-2521</v>
          </cell>
          <cell r="AU132">
            <v>-1022</v>
          </cell>
          <cell r="AV132">
            <v>-12128</v>
          </cell>
          <cell r="AW132">
            <v>-18281</v>
          </cell>
          <cell r="AX132">
            <v>-301</v>
          </cell>
          <cell r="AY132">
            <v>-31732</v>
          </cell>
          <cell r="AZ132">
            <v>-3928</v>
          </cell>
          <cell r="BA132">
            <v>-5536</v>
          </cell>
          <cell r="BB132">
            <v>4713</v>
          </cell>
          <cell r="BC132">
            <v>-10722</v>
          </cell>
          <cell r="BD132">
            <v>-15473</v>
          </cell>
          <cell r="BE132">
            <v>-1960</v>
          </cell>
          <cell r="BF132">
            <v>129</v>
          </cell>
          <cell r="BG132">
            <v>3</v>
          </cell>
          <cell r="BH132">
            <v>-1</v>
          </cell>
          <cell r="BI132">
            <v>-1829</v>
          </cell>
          <cell r="BJ132">
            <v>0</v>
          </cell>
          <cell r="BK132">
            <v>0</v>
          </cell>
          <cell r="BL132">
            <v>0</v>
          </cell>
          <cell r="BM132">
            <v>0</v>
          </cell>
          <cell r="BN132">
            <v>0</v>
          </cell>
          <cell r="BO132">
            <v>0</v>
          </cell>
          <cell r="BP132">
            <v>0</v>
          </cell>
          <cell r="BQ132">
            <v>0</v>
          </cell>
          <cell r="BR132">
            <v>0</v>
          </cell>
          <cell r="BS132">
            <v>0</v>
          </cell>
          <cell r="BT132">
            <v>0</v>
          </cell>
          <cell r="BU132">
            <v>0</v>
          </cell>
          <cell r="BV132">
            <v>0</v>
          </cell>
          <cell r="BW132">
            <v>0</v>
          </cell>
          <cell r="BX132">
            <v>0</v>
          </cell>
          <cell r="CG132" t="str">
            <v>mstag:otherFfoAdjustmentNareit</v>
          </cell>
          <cell r="CH132">
            <v>3</v>
          </cell>
          <cell r="CI132" t="str">
            <v>ISO4217:USD</v>
          </cell>
          <cell r="CJ132" t="b">
            <v>0</v>
          </cell>
          <cell r="CK132" t="b">
            <v>0</v>
          </cell>
        </row>
        <row r="133">
          <cell r="B133" t="str">
            <v>Period End Diluted Shares</v>
          </cell>
          <cell r="AF133">
            <v>132283</v>
          </cell>
          <cell r="AG133">
            <v>134580</v>
          </cell>
          <cell r="AH133">
            <v>134877</v>
          </cell>
          <cell r="AI133">
            <v>134947</v>
          </cell>
          <cell r="AJ133">
            <v>134947</v>
          </cell>
          <cell r="AK133">
            <v>135252</v>
          </cell>
          <cell r="AL133">
            <v>135477</v>
          </cell>
          <cell r="AM133">
            <v>135814</v>
          </cell>
          <cell r="AN133">
            <v>136182</v>
          </cell>
          <cell r="AO133">
            <v>136182</v>
          </cell>
          <cell r="AP133">
            <v>141925</v>
          </cell>
          <cell r="AQ133">
            <v>142120</v>
          </cell>
          <cell r="AR133">
            <v>142376</v>
          </cell>
          <cell r="AS133">
            <v>142806</v>
          </cell>
          <cell r="AT133">
            <v>142806</v>
          </cell>
          <cell r="AU133">
            <v>143109</v>
          </cell>
          <cell r="AV133">
            <v>143497</v>
          </cell>
          <cell r="AW133">
            <v>140636</v>
          </cell>
          <cell r="AX133">
            <v>134696</v>
          </cell>
          <cell r="AY133">
            <v>134696</v>
          </cell>
          <cell r="AZ133">
            <v>134854</v>
          </cell>
          <cell r="BA133">
            <v>134993</v>
          </cell>
          <cell r="BB133">
            <v>135157</v>
          </cell>
          <cell r="BC133">
            <v>133489</v>
          </cell>
          <cell r="BD133">
            <v>133489</v>
          </cell>
          <cell r="BE133">
            <v>136959</v>
          </cell>
          <cell r="BF133">
            <v>136932</v>
          </cell>
          <cell r="BG133">
            <v>137512</v>
          </cell>
          <cell r="BH133">
            <v>145920</v>
          </cell>
          <cell r="BI133">
            <v>145920</v>
          </cell>
          <cell r="BJ133">
            <v>145920</v>
          </cell>
          <cell r="BK133">
            <v>145920</v>
          </cell>
          <cell r="BL133">
            <v>145920</v>
          </cell>
          <cell r="BM133">
            <v>145920</v>
          </cell>
          <cell r="BN133">
            <v>145920</v>
          </cell>
          <cell r="BO133">
            <v>145920</v>
          </cell>
          <cell r="BP133">
            <v>145920</v>
          </cell>
          <cell r="BQ133">
            <v>145920</v>
          </cell>
          <cell r="BR133">
            <v>145920</v>
          </cell>
          <cell r="BS133">
            <v>145920</v>
          </cell>
          <cell r="BT133">
            <v>145920</v>
          </cell>
          <cell r="BU133">
            <v>145920</v>
          </cell>
          <cell r="BV133">
            <v>145920</v>
          </cell>
          <cell r="BW133">
            <v>145920</v>
          </cell>
          <cell r="BX133">
            <v>145920</v>
          </cell>
          <cell r="CG133" t="str">
            <v>mstag:periodEndDilutedSharesOutstanding</v>
          </cell>
          <cell r="CH133">
            <v>3</v>
          </cell>
          <cell r="CI133" t="str">
            <v>ms_eqr_gcim_Decimal:ms_eqr_gcim_decimal</v>
          </cell>
          <cell r="CJ133" t="b">
            <v>0</v>
          </cell>
          <cell r="CK133" t="b">
            <v>0</v>
          </cell>
        </row>
        <row r="134">
          <cell r="B134" t="str">
            <v>Other Minority interest in net income</v>
          </cell>
          <cell r="AF134">
            <v>-152</v>
          </cell>
          <cell r="AG134">
            <v>-374</v>
          </cell>
          <cell r="AH134">
            <v>0</v>
          </cell>
          <cell r="AI134">
            <v>-52</v>
          </cell>
          <cell r="AJ134">
            <v>-578</v>
          </cell>
          <cell r="AK134">
            <v>-252</v>
          </cell>
          <cell r="AL134">
            <v>-35</v>
          </cell>
          <cell r="AM134">
            <v>-343</v>
          </cell>
          <cell r="AN134">
            <v>-771</v>
          </cell>
          <cell r="AO134">
            <v>-1401</v>
          </cell>
          <cell r="AP134">
            <v>-359</v>
          </cell>
          <cell r="AQ134">
            <v>663</v>
          </cell>
          <cell r="AR134">
            <v>-1262</v>
          </cell>
          <cell r="AS134">
            <v>-495</v>
          </cell>
          <cell r="AT134">
            <v>-1453</v>
          </cell>
          <cell r="AU134">
            <v>-171</v>
          </cell>
          <cell r="AV134">
            <v>-349</v>
          </cell>
          <cell r="AW134">
            <v>-18434</v>
          </cell>
          <cell r="AX134">
            <v>-422</v>
          </cell>
          <cell r="AY134">
            <v>-19376</v>
          </cell>
          <cell r="AZ134">
            <v>104</v>
          </cell>
          <cell r="BA134">
            <v>-397</v>
          </cell>
          <cell r="BB134">
            <v>-3777</v>
          </cell>
          <cell r="BC134">
            <v>-99</v>
          </cell>
          <cell r="BD134">
            <v>-4169</v>
          </cell>
          <cell r="BE134">
            <v>-3519</v>
          </cell>
          <cell r="BF134">
            <v>-1388</v>
          </cell>
          <cell r="BG134">
            <v>-2495</v>
          </cell>
          <cell r="BH134">
            <v>-582</v>
          </cell>
          <cell r="BI134">
            <v>-7984</v>
          </cell>
          <cell r="BJ134">
            <v>-559.28088009386738</v>
          </cell>
          <cell r="BK134">
            <v>-591.76099556025019</v>
          </cell>
          <cell r="BL134">
            <v>-600.19860584697017</v>
          </cell>
          <cell r="BM134">
            <v>-784.08080092261662</v>
          </cell>
          <cell r="BN134">
            <v>-2535.3212824237044</v>
          </cell>
          <cell r="BO134">
            <v>-779.58375593254277</v>
          </cell>
          <cell r="BP134">
            <v>-782.95619448352863</v>
          </cell>
          <cell r="BQ134">
            <v>-786.34619488171666</v>
          </cell>
          <cell r="BR134">
            <v>-789.75382352376619</v>
          </cell>
          <cell r="BS134">
            <v>-3138.6399688215542</v>
          </cell>
          <cell r="BT134">
            <v>-801.02276679243823</v>
          </cell>
          <cell r="BU134">
            <v>-813.103897273435</v>
          </cell>
          <cell r="BV134">
            <v>-825.21165378273099</v>
          </cell>
          <cell r="BW134">
            <v>-837.34612629070534</v>
          </cell>
          <cell r="BX134">
            <v>-3276.6844441393096</v>
          </cell>
          <cell r="CG134" t="str">
            <v>mstag:otherMinorityInterestsInNetIncome</v>
          </cell>
          <cell r="CH134">
            <v>3</v>
          </cell>
          <cell r="CI134" t="str">
            <v>ISO4217:USD</v>
          </cell>
          <cell r="CJ134" t="b">
            <v>0</v>
          </cell>
          <cell r="CK134" t="b">
            <v>0</v>
          </cell>
        </row>
        <row r="135">
          <cell r="B135" t="str">
            <v>Other AFFO adjustment</v>
          </cell>
          <cell r="CG135" t="str">
            <v>mstag:otherFfoAdjustmentAffo</v>
          </cell>
          <cell r="CH135">
            <v>3</v>
          </cell>
          <cell r="CI135" t="str">
            <v>ISO4217:USD</v>
          </cell>
          <cell r="CJ135" t="b">
            <v>0</v>
          </cell>
          <cell r="CK135" t="b">
            <v>0</v>
          </cell>
        </row>
      </sheetData>
      <sheetData sheetId="8" refreshError="1">
        <row r="1">
          <cell r="A1" t="str">
            <v>Duke Realty (DRE)</v>
          </cell>
          <cell r="I1" t="str">
            <v>Matt Ostrower</v>
          </cell>
        </row>
        <row r="2">
          <cell r="A2" t="str">
            <v>3Q07 Earnings Variance Analysis Worksheet</v>
          </cell>
          <cell r="I2" t="str">
            <v>Morgan Stanley REIT Research Team</v>
          </cell>
        </row>
        <row r="3">
          <cell r="A3" t="str">
            <v>($ in Thousands, Except per Share Amounts)</v>
          </cell>
          <cell r="I3" t="str">
            <v>(212) 761-6284   Matthew.Ostrower@morganstanley.com</v>
          </cell>
        </row>
        <row r="5">
          <cell r="C5">
            <v>60</v>
          </cell>
          <cell r="D5">
            <v>60</v>
          </cell>
          <cell r="H5">
            <v>55</v>
          </cell>
          <cell r="I5">
            <v>59</v>
          </cell>
        </row>
        <row r="6">
          <cell r="C6" t="str">
            <v>MS</v>
          </cell>
          <cell r="D6" t="str">
            <v>Reported</v>
          </cell>
          <cell r="F6" t="str">
            <v>Per Share</v>
          </cell>
        </row>
        <row r="7">
          <cell r="A7" t="str">
            <v>Year Ends December 31</v>
          </cell>
          <cell r="C7" t="str">
            <v>4Q07E</v>
          </cell>
          <cell r="D7" t="str">
            <v>4Q07A</v>
          </cell>
          <cell r="E7" t="str">
            <v>Variance</v>
          </cell>
          <cell r="F7" t="str">
            <v>Impact</v>
          </cell>
          <cell r="G7" t="str">
            <v>Comments</v>
          </cell>
          <cell r="H7" t="str">
            <v>4Q06A</v>
          </cell>
          <cell r="I7" t="str">
            <v>3Q07A</v>
          </cell>
        </row>
        <row r="9">
          <cell r="A9" t="str">
            <v>Rental Expenses as % of Rental Income</v>
          </cell>
          <cell r="C9">
            <v>0.23</v>
          </cell>
          <cell r="D9">
            <v>0.21060990032100016</v>
          </cell>
          <cell r="H9">
            <v>0.23596102394059279</v>
          </cell>
          <cell r="I9">
            <v>0.22263328301287144</v>
          </cell>
        </row>
        <row r="10">
          <cell r="A10" t="str">
            <v>Operating Expenses as % of Total Income</v>
          </cell>
          <cell r="C10">
            <v>0.35290441760686481</v>
          </cell>
          <cell r="D10">
            <v>0.33124803900272731</v>
          </cell>
          <cell r="H10">
            <v>0.34025126950168028</v>
          </cell>
          <cell r="I10">
            <v>0.34553770061973621</v>
          </cell>
        </row>
        <row r="11">
          <cell r="A11" t="str">
            <v>Op Expenses as % of Construction and Mgmt Fee Income</v>
          </cell>
          <cell r="C11">
            <v>0.6771415148509683</v>
          </cell>
          <cell r="D11">
            <v>0.89732457806479626</v>
          </cell>
          <cell r="H11">
            <v>1.1500217675228559</v>
          </cell>
          <cell r="I11">
            <v>0.6771415148509683</v>
          </cell>
        </row>
        <row r="12">
          <cell r="A12" t="str">
            <v>G&amp;A as % of NOI</v>
          </cell>
          <cell r="C12">
            <v>5.6066957967508851E-2</v>
          </cell>
          <cell r="D12">
            <v>6.6890823055694423E-2</v>
          </cell>
          <cell r="H12">
            <v>5.4620386972462333E-2</v>
          </cell>
          <cell r="I12">
            <v>2.8788230275909033E-2</v>
          </cell>
        </row>
        <row r="14">
          <cell r="A14" t="str">
            <v>RENTAL OPERATIONS</v>
          </cell>
        </row>
        <row r="15">
          <cell r="A15" t="str">
            <v>Rental Income</v>
          </cell>
          <cell r="C15">
            <v>194755.98499999999</v>
          </cell>
          <cell r="D15">
            <v>207165</v>
          </cell>
          <cell r="E15">
            <v>12409.015000000014</v>
          </cell>
          <cell r="F15">
            <v>8.0334407996530091E-2</v>
          </cell>
          <cell r="H15">
            <v>201457</v>
          </cell>
          <cell r="I15">
            <v>201376</v>
          </cell>
        </row>
        <row r="16">
          <cell r="A16" t="str">
            <v>Equity in Unconsolidated Cos.</v>
          </cell>
          <cell r="C16">
            <v>1947.5598499999999</v>
          </cell>
          <cell r="D16">
            <v>7487</v>
          </cell>
          <cell r="E16">
            <v>5539.4401500000004</v>
          </cell>
          <cell r="F16">
            <v>3.5861641321447299E-2</v>
          </cell>
          <cell r="H16">
            <v>16557</v>
          </cell>
          <cell r="I16">
            <v>1838</v>
          </cell>
        </row>
        <row r="17">
          <cell r="A17" t="str">
            <v>Total Income</v>
          </cell>
          <cell r="C17">
            <v>196703.54484999998</v>
          </cell>
          <cell r="D17">
            <v>214652</v>
          </cell>
          <cell r="E17">
            <v>17948.455150000023</v>
          </cell>
          <cell r="F17">
            <v>0.11619604931797746</v>
          </cell>
          <cell r="H17">
            <v>218014</v>
          </cell>
          <cell r="I17">
            <v>203214</v>
          </cell>
        </row>
        <row r="19">
          <cell r="A19" t="str">
            <v>Rental Expenses</v>
          </cell>
          <cell r="C19">
            <v>-44793.876550000001</v>
          </cell>
          <cell r="D19">
            <v>-43631</v>
          </cell>
          <cell r="E19">
            <v>1162.8765500000009</v>
          </cell>
          <cell r="F19">
            <v>7.5283170515385222E-3</v>
          </cell>
          <cell r="H19">
            <v>-47536</v>
          </cell>
          <cell r="I19">
            <v>-44833</v>
          </cell>
        </row>
        <row r="20">
          <cell r="A20" t="str">
            <v>Real Estate Taxes</v>
          </cell>
          <cell r="C20">
            <v>-23936.370911876289</v>
          </cell>
          <cell r="D20">
            <v>-24992</v>
          </cell>
          <cell r="E20">
            <v>-1055.629088123711</v>
          </cell>
          <cell r="F20">
            <v>-6.8340104237391225E-3</v>
          </cell>
          <cell r="H20">
            <v>-21010</v>
          </cell>
          <cell r="I20">
            <v>-24750</v>
          </cell>
        </row>
        <row r="21">
          <cell r="A21" t="str">
            <v>Acq. &amp; Develop. NOI</v>
          </cell>
          <cell r="C21">
            <v>-845.2382752375006</v>
          </cell>
          <cell r="D21">
            <v>0</v>
          </cell>
          <cell r="E21">
            <v>845.2382752375006</v>
          </cell>
          <cell r="F21">
            <v>5.4719666675568284E-3</v>
          </cell>
        </row>
        <row r="22">
          <cell r="A22" t="str">
            <v>Net Operating Income</v>
          </cell>
          <cell r="C22">
            <v>127128.05911288617</v>
          </cell>
          <cell r="D22">
            <v>146029</v>
          </cell>
          <cell r="E22">
            <v>18900.940887113829</v>
          </cell>
          <cell r="F22">
            <v>0.12236232261333378</v>
          </cell>
          <cell r="H22">
            <v>149468</v>
          </cell>
          <cell r="I22">
            <v>133631</v>
          </cell>
        </row>
        <row r="24">
          <cell r="A24" t="str">
            <v>SERVICE OPERATIONS</v>
          </cell>
        </row>
        <row r="25">
          <cell r="A25" t="str">
            <v>Gross Contractor Revenue</v>
          </cell>
          <cell r="C25">
            <v>0</v>
          </cell>
          <cell r="D25">
            <v>0</v>
          </cell>
          <cell r="E25">
            <v>0</v>
          </cell>
          <cell r="F25">
            <v>0</v>
          </cell>
          <cell r="H25">
            <v>84638</v>
          </cell>
          <cell r="I25">
            <v>0</v>
          </cell>
        </row>
        <row r="26">
          <cell r="A26" t="str">
            <v>Gross Contractor Costs</v>
          </cell>
          <cell r="C26">
            <v>0</v>
          </cell>
          <cell r="D26">
            <v>0</v>
          </cell>
          <cell r="E26">
            <v>0</v>
          </cell>
          <cell r="F26">
            <v>0</v>
          </cell>
          <cell r="H26">
            <v>-78072</v>
          </cell>
          <cell r="I26">
            <v>0</v>
          </cell>
        </row>
        <row r="27">
          <cell r="A27" t="str">
            <v xml:space="preserve">  Net Contractor Revenue</v>
          </cell>
          <cell r="C27">
            <v>10251</v>
          </cell>
          <cell r="D27">
            <v>9325</v>
          </cell>
          <cell r="E27">
            <v>-926</v>
          </cell>
          <cell r="F27">
            <v>-5.9948079525076556E-3</v>
          </cell>
          <cell r="H27">
            <v>6566</v>
          </cell>
          <cell r="I27">
            <v>10200</v>
          </cell>
        </row>
        <row r="28">
          <cell r="A28" t="str">
            <v>Service Fee Revenue</v>
          </cell>
          <cell r="C28">
            <v>8957</v>
          </cell>
          <cell r="D28">
            <v>9102</v>
          </cell>
          <cell r="E28">
            <v>145</v>
          </cell>
          <cell r="F28">
            <v>9.3871182841642547E-4</v>
          </cell>
          <cell r="H28">
            <v>4919</v>
          </cell>
          <cell r="I28">
            <v>8957</v>
          </cell>
        </row>
        <row r="29">
          <cell r="A29" t="str">
            <v>Gain on Sale of Service Operations Properties</v>
          </cell>
          <cell r="C29">
            <v>22500</v>
          </cell>
          <cell r="D29">
            <v>23889</v>
          </cell>
          <cell r="E29">
            <v>1389</v>
          </cell>
          <cell r="F29">
            <v>8.9922119287614826E-3</v>
          </cell>
          <cell r="H29">
            <v>36442</v>
          </cell>
          <cell r="I29">
            <v>1116</v>
          </cell>
        </row>
        <row r="30">
          <cell r="A30" t="str">
            <v>Other Income</v>
          </cell>
          <cell r="C30">
            <v>0</v>
          </cell>
          <cell r="D30">
            <v>0</v>
          </cell>
          <cell r="E30">
            <v>0</v>
          </cell>
          <cell r="F30">
            <v>0</v>
          </cell>
          <cell r="H30">
            <v>0</v>
          </cell>
          <cell r="I30">
            <v>0</v>
          </cell>
        </row>
        <row r="31">
          <cell r="A31" t="str">
            <v>Operating Expenses</v>
          </cell>
          <cell r="C31">
            <v>-13006.534217257398</v>
          </cell>
          <cell r="D31">
            <v>-16535</v>
          </cell>
          <cell r="E31">
            <v>-3528.4657827426017</v>
          </cell>
          <cell r="F31">
            <v>-2.2842845285676563E-2</v>
          </cell>
          <cell r="H31">
            <v>-13208</v>
          </cell>
          <cell r="I31">
            <v>-12972</v>
          </cell>
        </row>
        <row r="32">
          <cell r="A32" t="str">
            <v>General and Administrative</v>
          </cell>
          <cell r="C32">
            <v>-7127.6835467731698</v>
          </cell>
          <cell r="D32">
            <v>-9768</v>
          </cell>
          <cell r="E32">
            <v>-2640.3164532268302</v>
          </cell>
          <cell r="F32">
            <v>-1.7093077830389859E-2</v>
          </cell>
          <cell r="H32">
            <v>-8164</v>
          </cell>
          <cell r="I32">
            <v>-3847</v>
          </cell>
        </row>
        <row r="34">
          <cell r="A34" t="str">
            <v>EBITDA</v>
          </cell>
          <cell r="C34">
            <v>148701.84134885561</v>
          </cell>
          <cell r="D34">
            <v>162042</v>
          </cell>
          <cell r="E34">
            <v>13340.158651144389</v>
          </cell>
          <cell r="F34">
            <v>8.6362515301937559E-2</v>
          </cell>
          <cell r="H34">
            <v>176023</v>
          </cell>
          <cell r="I34">
            <v>137085</v>
          </cell>
        </row>
        <row r="36">
          <cell r="A36" t="str">
            <v>Interest Expense</v>
          </cell>
          <cell r="C36">
            <v>42477.40998180733</v>
          </cell>
          <cell r="D36">
            <v>43643</v>
          </cell>
          <cell r="E36">
            <v>-1165.59001819267</v>
          </cell>
          <cell r="F36">
            <v>-7.5458837045625921E-3</v>
          </cell>
          <cell r="H36">
            <v>49302</v>
          </cell>
          <cell r="I36">
            <v>42390</v>
          </cell>
        </row>
        <row r="37">
          <cell r="A37" t="str">
            <v>Depreciation and Amortization</v>
          </cell>
          <cell r="C37">
            <v>75455.918381475043</v>
          </cell>
          <cell r="D37">
            <v>69192</v>
          </cell>
          <cell r="E37">
            <v>6263.9183814750431</v>
          </cell>
          <cell r="F37">
            <v>4.0551822599487551E-2</v>
          </cell>
          <cell r="H37">
            <v>62275</v>
          </cell>
          <cell r="I37">
            <v>71981</v>
          </cell>
        </row>
        <row r="38">
          <cell r="A38" t="str">
            <v>Interest Income</v>
          </cell>
          <cell r="C38">
            <v>5985.8097891827483</v>
          </cell>
          <cell r="D38">
            <v>859</v>
          </cell>
          <cell r="E38">
            <v>-5126.8097891827483</v>
          </cell>
          <cell r="F38">
            <v>-3.3190324076875631E-2</v>
          </cell>
          <cell r="H38">
            <v>2137</v>
          </cell>
          <cell r="I38">
            <v>6292</v>
          </cell>
        </row>
        <row r="39">
          <cell r="A39" t="str">
            <v>Other Expense</v>
          </cell>
          <cell r="C39">
            <v>0</v>
          </cell>
          <cell r="D39">
            <v>0</v>
          </cell>
          <cell r="E39">
            <v>0</v>
          </cell>
          <cell r="F39">
            <v>0</v>
          </cell>
          <cell r="H39">
            <v>0</v>
          </cell>
          <cell r="I39">
            <v>0</v>
          </cell>
        </row>
        <row r="40">
          <cell r="A40" t="str">
            <v>Other Min. Int. in Earn. of Subs.</v>
          </cell>
          <cell r="C40">
            <v>-36.150790208033122</v>
          </cell>
          <cell r="D40">
            <v>-3097</v>
          </cell>
          <cell r="E40">
            <v>3060.849209791967</v>
          </cell>
          <cell r="F40">
            <v>1.9815554194695092E-2</v>
          </cell>
          <cell r="H40">
            <v>54</v>
          </cell>
          <cell r="I40">
            <v>-38</v>
          </cell>
        </row>
        <row r="41">
          <cell r="A41" t="str">
            <v>Preferred Issuance Costs</v>
          </cell>
          <cell r="C41">
            <v>2980.5352000000003</v>
          </cell>
          <cell r="D41">
            <v>3483</v>
          </cell>
          <cell r="E41">
            <v>-502.46479999999974</v>
          </cell>
          <cell r="F41">
            <v>-3.2528941456751261E-3</v>
          </cell>
          <cell r="H41">
            <v>0</v>
          </cell>
          <cell r="I41">
            <v>0</v>
          </cell>
        </row>
        <row r="42">
          <cell r="A42" t="str">
            <v>NI Before Gains &amp; Minority Int.</v>
          </cell>
          <cell r="C42">
            <v>33737.636784547954</v>
          </cell>
          <cell r="D42">
            <v>43486</v>
          </cell>
          <cell r="E42">
            <v>9748.3632154520456</v>
          </cell>
          <cell r="F42">
            <v>6.310968177961665E-2</v>
          </cell>
          <cell r="H42">
            <v>66637</v>
          </cell>
          <cell r="I42">
            <v>28968</v>
          </cell>
        </row>
        <row r="44">
          <cell r="A44" t="str">
            <v>Gains On Sale</v>
          </cell>
          <cell r="C44">
            <v>24400</v>
          </cell>
          <cell r="D44">
            <v>4416</v>
          </cell>
          <cell r="E44">
            <v>-19984</v>
          </cell>
          <cell r="F44">
            <v>-0.12937391157981964</v>
          </cell>
          <cell r="H44">
            <v>0</v>
          </cell>
          <cell r="I44">
            <v>0</v>
          </cell>
        </row>
        <row r="45">
          <cell r="A45" t="str">
            <v>Land Sales Gains - incl. in FFO</v>
          </cell>
          <cell r="C45">
            <v>7796</v>
          </cell>
          <cell r="D45">
            <v>15215</v>
          </cell>
          <cell r="E45">
            <v>7419</v>
          </cell>
          <cell r="F45">
            <v>4.8029676241527319E-2</v>
          </cell>
          <cell r="H45">
            <v>2364</v>
          </cell>
          <cell r="I45">
            <v>1799</v>
          </cell>
        </row>
        <row r="46">
          <cell r="A46" t="str">
            <v>Min Interest in Earnings of Pfd Unitholders</v>
          </cell>
          <cell r="C46">
            <v>0</v>
          </cell>
          <cell r="D46">
            <v>0</v>
          </cell>
          <cell r="E46">
            <v>0</v>
          </cell>
          <cell r="F46">
            <v>0</v>
          </cell>
          <cell r="H46">
            <v>0</v>
          </cell>
          <cell r="I46">
            <v>0</v>
          </cell>
        </row>
        <row r="47">
          <cell r="A47" t="str">
            <v>Min Interest in Earnings of Unitholders</v>
          </cell>
          <cell r="C47">
            <v>1025.5408380068345</v>
          </cell>
          <cell r="D47">
            <v>2716</v>
          </cell>
          <cell r="E47">
            <v>-1690.4591619931655</v>
          </cell>
          <cell r="F47">
            <v>-1.0943820764261399E-2</v>
          </cell>
          <cell r="H47">
            <v>4743</v>
          </cell>
          <cell r="I47">
            <v>1078</v>
          </cell>
        </row>
        <row r="48">
          <cell r="A48" t="str">
            <v>Net Income</v>
          </cell>
          <cell r="C48">
            <v>64908.095946541122</v>
          </cell>
          <cell r="D48">
            <v>60401</v>
          </cell>
          <cell r="E48">
            <v>-4507.0959465411215</v>
          </cell>
          <cell r="F48">
            <v>-2.9178374322937076E-2</v>
          </cell>
          <cell r="H48">
            <v>64258</v>
          </cell>
          <cell r="I48">
            <v>29689</v>
          </cell>
        </row>
        <row r="49">
          <cell r="A49" t="str">
            <v>Preferred Dividend</v>
          </cell>
          <cell r="C49">
            <v>12584.30625</v>
          </cell>
          <cell r="D49">
            <v>12613</v>
          </cell>
          <cell r="E49">
            <v>-28.693750000000364</v>
          </cell>
          <cell r="F49">
            <v>-1.8575974156292518E-4</v>
          </cell>
          <cell r="H49">
            <v>15226</v>
          </cell>
          <cell r="I49">
            <v>15227</v>
          </cell>
        </row>
        <row r="50">
          <cell r="A50" t="str">
            <v>Net Income from Discontinued Operations</v>
          </cell>
          <cell r="C50">
            <v>-745</v>
          </cell>
          <cell r="D50">
            <v>1558</v>
          </cell>
          <cell r="E50">
            <v>2303</v>
          </cell>
          <cell r="F50">
            <v>1.490933338512433E-2</v>
          </cell>
          <cell r="H50">
            <v>649</v>
          </cell>
          <cell r="I50">
            <v>-745</v>
          </cell>
        </row>
        <row r="51">
          <cell r="A51" t="str">
            <v>Gain on Sale of Discontinued Operations</v>
          </cell>
          <cell r="C51">
            <v>39670</v>
          </cell>
          <cell r="D51">
            <v>9320</v>
          </cell>
          <cell r="E51">
            <v>-30350</v>
          </cell>
          <cell r="F51">
            <v>-0.19648209649957596</v>
          </cell>
          <cell r="H51">
            <v>515</v>
          </cell>
          <cell r="I51">
            <v>39670</v>
          </cell>
        </row>
        <row r="52">
          <cell r="A52" t="str">
            <v>Net Income Avail. to Common</v>
          </cell>
          <cell r="C52">
            <v>91248.78969654112</v>
          </cell>
          <cell r="D52">
            <v>58666</v>
          </cell>
          <cell r="E52">
            <v>-32582.78969654112</v>
          </cell>
          <cell r="F52">
            <v>-0.21093689717895162</v>
          </cell>
          <cell r="H52">
            <v>50196</v>
          </cell>
          <cell r="I52">
            <v>53387</v>
          </cell>
        </row>
        <row r="53">
          <cell r="B53" t="str">
            <v>Adjustment OP units</v>
          </cell>
          <cell r="C53" t="e">
            <v>#N/A</v>
          </cell>
          <cell r="D53" t="e">
            <v>#N/A</v>
          </cell>
          <cell r="H53" t="e">
            <v>#N/A</v>
          </cell>
          <cell r="I53" t="e">
            <v>#N/A</v>
          </cell>
        </row>
        <row r="54">
          <cell r="B54" t="str">
            <v>Adjustment: Gains and Extraordinary Items</v>
          </cell>
          <cell r="C54" t="e">
            <v>#N/A</v>
          </cell>
          <cell r="D54" t="e">
            <v>#N/A</v>
          </cell>
          <cell r="E54" t="e">
            <v>#N/A</v>
          </cell>
          <cell r="F54" t="e">
            <v>#N/A</v>
          </cell>
          <cell r="H54" t="e">
            <v>#N/A</v>
          </cell>
          <cell r="I54" t="e">
            <v>#N/A</v>
          </cell>
        </row>
        <row r="55">
          <cell r="A55" t="str">
            <v>Normalized Earnings</v>
          </cell>
          <cell r="C55">
            <v>66848.78969654112</v>
          </cell>
          <cell r="D55">
            <v>58666</v>
          </cell>
          <cell r="E55">
            <v>-8182.7896965411201</v>
          </cell>
          <cell r="F55">
            <v>-5.2974355017842777E-2</v>
          </cell>
          <cell r="H55">
            <v>50196</v>
          </cell>
          <cell r="I55">
            <v>53387</v>
          </cell>
        </row>
        <row r="57">
          <cell r="A57" t="str">
            <v xml:space="preserve">  + Depreciation and Amortization</v>
          </cell>
          <cell r="C57">
            <v>75455.918381475043</v>
          </cell>
          <cell r="D57">
            <v>69469</v>
          </cell>
          <cell r="E57">
            <v>-5986.9183814750431</v>
          </cell>
          <cell r="F57">
            <v>-3.8758559313478241E-2</v>
          </cell>
          <cell r="H57">
            <v>64156</v>
          </cell>
          <cell r="I57">
            <v>72076</v>
          </cell>
        </row>
        <row r="58">
          <cell r="A58" t="str">
            <v xml:space="preserve">  + Depr. &amp; Amort. on J.V.'s</v>
          </cell>
          <cell r="C58">
            <v>11102.7</v>
          </cell>
          <cell r="D58">
            <v>5796</v>
          </cell>
          <cell r="E58">
            <v>-5306.7000000000007</v>
          </cell>
          <cell r="F58">
            <v>-3.4354910757637559E-2</v>
          </cell>
          <cell r="H58">
            <v>4700</v>
          </cell>
          <cell r="I58">
            <v>10574</v>
          </cell>
        </row>
        <row r="59">
          <cell r="A59" t="str">
            <v xml:space="preserve">  - Earnings from Property Sales</v>
          </cell>
          <cell r="C59">
            <v>-64070</v>
          </cell>
          <cell r="D59">
            <v>-13737</v>
          </cell>
          <cell r="E59">
            <v>50333</v>
          </cell>
          <cell r="F59">
            <v>0.32584953420471685</v>
          </cell>
          <cell r="H59">
            <v>-11237</v>
          </cell>
          <cell r="I59">
            <v>-39667</v>
          </cell>
        </row>
        <row r="60">
          <cell r="A60" t="str">
            <v xml:space="preserve">  - MI Share of Add-Backs</v>
          </cell>
          <cell r="C60">
            <v>-2565.7547681859305</v>
          </cell>
          <cell r="D60">
            <v>-3444</v>
          </cell>
          <cell r="E60">
            <v>-878.24523181406948</v>
          </cell>
          <cell r="F60">
            <v>-5.6856495679599491E-3</v>
          </cell>
          <cell r="H60">
            <v>-5027</v>
          </cell>
          <cell r="I60">
            <v>-2697</v>
          </cell>
        </row>
        <row r="61">
          <cell r="A61" t="str">
            <v xml:space="preserve"> Funds From Operations</v>
          </cell>
          <cell r="C61">
            <v>111171.65330983023</v>
          </cell>
          <cell r="D61">
            <v>116750</v>
          </cell>
          <cell r="E61">
            <v>5578.3466901697684</v>
          </cell>
          <cell r="F61">
            <v>3.6113517386689512E-2</v>
          </cell>
          <cell r="H61">
            <v>102788</v>
          </cell>
          <cell r="I61">
            <v>93673</v>
          </cell>
        </row>
        <row r="63">
          <cell r="A63" t="str">
            <v xml:space="preserve"> - TIs &amp; Leasing Commisions</v>
          </cell>
          <cell r="C63">
            <v>16211.726735134012</v>
          </cell>
          <cell r="D63">
            <v>19264</v>
          </cell>
          <cell r="E63">
            <v>-3052.2732648659876</v>
          </cell>
          <cell r="F63">
            <v>-1.9760034601992577E-2</v>
          </cell>
          <cell r="H63">
            <v>11349</v>
          </cell>
          <cell r="I63">
            <v>17041</v>
          </cell>
        </row>
        <row r="64">
          <cell r="A64" t="str">
            <v xml:space="preserve"> - Capital Expenditures</v>
          </cell>
          <cell r="C64">
            <v>1542.1966558043939</v>
          </cell>
          <cell r="D64">
            <v>4541</v>
          </cell>
          <cell r="E64">
            <v>-2998.8033441956059</v>
          </cell>
          <cell r="F64">
            <v>-1.9413877036490682E-2</v>
          </cell>
          <cell r="H64">
            <v>3178</v>
          </cell>
          <cell r="I64">
            <v>2899</v>
          </cell>
        </row>
        <row r="65">
          <cell r="A65" t="str">
            <v xml:space="preserve"> - Adjustment For Straight-lining</v>
          </cell>
          <cell r="C65">
            <v>4085.3336426629157</v>
          </cell>
          <cell r="D65">
            <v>3866</v>
          </cell>
          <cell r="E65">
            <v>219.33364266291574</v>
          </cell>
          <cell r="F65">
            <v>1.4199385154299348E-3</v>
          </cell>
          <cell r="H65">
            <v>5607</v>
          </cell>
          <cell r="I65">
            <v>4550</v>
          </cell>
        </row>
        <row r="66">
          <cell r="A66" t="str">
            <v xml:space="preserve"> + Other Adjustments1</v>
          </cell>
          <cell r="C66">
            <v>1344.7049546022849</v>
          </cell>
          <cell r="D66">
            <v>5692</v>
          </cell>
          <cell r="E66">
            <v>4347.2950453977155</v>
          </cell>
          <cell r="F66">
            <v>2.814384331538591E-2</v>
          </cell>
          <cell r="H66">
            <v>6024</v>
          </cell>
          <cell r="I66">
            <v>5051</v>
          </cell>
        </row>
        <row r="67">
          <cell r="A67" t="str">
            <v>Adjusted Funds From Operations</v>
          </cell>
          <cell r="C67">
            <v>90677.101230831206</v>
          </cell>
          <cell r="D67">
            <v>94771</v>
          </cell>
          <cell r="E67">
            <v>4093.8987691687944</v>
          </cell>
          <cell r="F67">
            <v>2.6503387579022021E-2</v>
          </cell>
          <cell r="H67">
            <v>88678</v>
          </cell>
          <cell r="I67">
            <v>74234</v>
          </cell>
        </row>
        <row r="69">
          <cell r="A69" t="str">
            <v>Diluted FFO</v>
          </cell>
        </row>
        <row r="70">
          <cell r="A70" t="str">
            <v xml:space="preserve">  Basic FFO</v>
          </cell>
          <cell r="C70">
            <v>111171.65330983023</v>
          </cell>
          <cell r="D70">
            <v>116750</v>
          </cell>
          <cell r="E70">
            <v>5578.3466901697684</v>
          </cell>
          <cell r="F70">
            <v>3.6113517386689512E-2</v>
          </cell>
          <cell r="H70">
            <v>102788</v>
          </cell>
          <cell r="I70">
            <v>93673</v>
          </cell>
        </row>
        <row r="71">
          <cell r="A71" t="str">
            <v xml:space="preserve">  Preferred Conv D and G</v>
          </cell>
          <cell r="C71">
            <v>0</v>
          </cell>
          <cell r="D71">
            <v>0</v>
          </cell>
          <cell r="E71">
            <v>0</v>
          </cell>
          <cell r="F71">
            <v>0</v>
          </cell>
          <cell r="H71">
            <v>0</v>
          </cell>
          <cell r="I71">
            <v>0</v>
          </cell>
        </row>
        <row r="72">
          <cell r="A72" t="str">
            <v xml:space="preserve">  JV Partner Convertible Ownership FFO</v>
          </cell>
          <cell r="C72">
            <v>0</v>
          </cell>
          <cell r="D72">
            <v>0</v>
          </cell>
          <cell r="E72">
            <v>0</v>
          </cell>
          <cell r="F72">
            <v>0</v>
          </cell>
          <cell r="H72">
            <v>0</v>
          </cell>
          <cell r="I72">
            <v>0</v>
          </cell>
        </row>
        <row r="73">
          <cell r="A73" t="str">
            <v xml:space="preserve">  Unitholder Minority Interest</v>
          </cell>
          <cell r="C73">
            <v>3399.1256161395359</v>
          </cell>
          <cell r="D73">
            <v>3298</v>
          </cell>
          <cell r="E73">
            <v>-101.12561613953585</v>
          </cell>
          <cell r="F73">
            <v>-6.5467456569711236E-4</v>
          </cell>
          <cell r="H73">
            <v>4842</v>
          </cell>
          <cell r="I73">
            <v>3573</v>
          </cell>
        </row>
        <row r="74">
          <cell r="A74" t="str">
            <v xml:space="preserve">  Minority Interest Share of Add-Backs</v>
          </cell>
          <cell r="C74">
            <v>2565.7547681859305</v>
          </cell>
          <cell r="D74">
            <v>3444</v>
          </cell>
          <cell r="E74">
            <v>878.24523181406948</v>
          </cell>
          <cell r="F74">
            <v>5.6856495679599491E-3</v>
          </cell>
          <cell r="H74">
            <v>5027</v>
          </cell>
          <cell r="I74">
            <v>2697</v>
          </cell>
        </row>
        <row r="75">
          <cell r="A75" t="str">
            <v>Total Diluted FFO</v>
          </cell>
          <cell r="C75">
            <v>117136.53369415569</v>
          </cell>
          <cell r="D75">
            <v>123492</v>
          </cell>
          <cell r="E75">
            <v>6355.4663058443111</v>
          </cell>
          <cell r="F75">
            <v>4.1144492388952403E-2</v>
          </cell>
          <cell r="H75">
            <v>112657</v>
          </cell>
          <cell r="I75">
            <v>99943</v>
          </cell>
        </row>
        <row r="77">
          <cell r="A77" t="str">
            <v>Diluted EPS before Extraordinary</v>
          </cell>
          <cell r="C77">
            <v>0.65247260505799975</v>
          </cell>
          <cell r="D77">
            <v>0.40094039816567684</v>
          </cell>
          <cell r="E77">
            <v>-0.25153220689232292</v>
          </cell>
          <cell r="H77">
            <v>0.36859767515292147</v>
          </cell>
          <cell r="I77">
            <v>0.38553529517963531</v>
          </cell>
        </row>
        <row r="78">
          <cell r="A78" t="str">
            <v>Diluted EPS after Extraordinary</v>
          </cell>
          <cell r="C78">
            <v>0.65247260505799975</v>
          </cell>
          <cell r="D78">
            <v>0.40094039816567684</v>
          </cell>
          <cell r="E78">
            <v>-0.25153220689232292</v>
          </cell>
          <cell r="H78">
            <v>0.36859767515292147</v>
          </cell>
          <cell r="I78">
            <v>0.38553529517963531</v>
          </cell>
        </row>
        <row r="79">
          <cell r="A79" t="str">
            <v>Normalized Earnings Per Share</v>
          </cell>
          <cell r="C79">
            <v>0.47800090393889255</v>
          </cell>
          <cell r="D79">
            <v>0.40094039816567684</v>
          </cell>
          <cell r="E79">
            <v>-7.7060505773215715E-2</v>
          </cell>
          <cell r="H79">
            <v>0.36859767515292147</v>
          </cell>
          <cell r="I79">
            <v>0.38553529517963531</v>
          </cell>
        </row>
        <row r="81">
          <cell r="A81" t="str">
            <v xml:space="preserve">FFO Per Share - Diluted </v>
          </cell>
          <cell r="C81">
            <v>0.78601006754864489</v>
          </cell>
          <cell r="D81">
            <v>0.79947173182621534</v>
          </cell>
          <cell r="E81">
            <v>1.3461664277570451E-2</v>
          </cell>
          <cell r="H81">
            <v>0.7559857737216481</v>
          </cell>
          <cell r="I81">
            <v>0.67688671258575961</v>
          </cell>
        </row>
        <row r="83">
          <cell r="A83" t="str">
            <v>Adjusted FFO Per Share - Diluted</v>
          </cell>
          <cell r="C83">
            <v>0.64838475837264808</v>
          </cell>
          <cell r="D83">
            <v>0.64769240232092451</v>
          </cell>
          <cell r="E83">
            <v>-6.9235605172357495E-4</v>
          </cell>
          <cell r="H83">
            <v>0.65117747703424123</v>
          </cell>
          <cell r="I83">
            <v>0.53608232532948186</v>
          </cell>
        </row>
        <row r="84">
          <cell r="A84" t="str">
            <v>NOI Per Share</v>
          </cell>
          <cell r="C84">
            <v>0.90902658743424891</v>
          </cell>
          <cell r="D84">
            <v>0.9980043876135346</v>
          </cell>
          <cell r="E84">
            <v>8.8977800179285693E-2</v>
          </cell>
          <cell r="H84">
            <v>1.0975686769813704</v>
          </cell>
          <cell r="I84">
            <v>0.9650189564903412</v>
          </cell>
        </row>
        <row r="85">
          <cell r="A85" t="str">
            <v>EBITDA Per Share</v>
          </cell>
          <cell r="C85">
            <v>1.0632894762163294</v>
          </cell>
          <cell r="D85">
            <v>1.1074418572863771</v>
          </cell>
          <cell r="E85">
            <v>4.4152381070047708E-2</v>
          </cell>
          <cell r="H85">
            <v>1.2925665107467268</v>
          </cell>
          <cell r="I85">
            <v>0.98996208701931754</v>
          </cell>
        </row>
        <row r="87">
          <cell r="A87" t="str">
            <v>Dividends Per Share</v>
          </cell>
          <cell r="C87">
            <v>0.47499999999999998</v>
          </cell>
          <cell r="D87">
            <v>0.48</v>
          </cell>
          <cell r="E87">
            <v>5.0000000000000044E-3</v>
          </cell>
          <cell r="H87">
            <v>0.47499999999999998</v>
          </cell>
          <cell r="I87">
            <v>0.47499999999999998</v>
          </cell>
        </row>
        <row r="89">
          <cell r="A89" t="str">
            <v xml:space="preserve">Payout Ratio (Net Income) </v>
          </cell>
          <cell r="C89">
            <v>0.7279999134335704</v>
          </cell>
          <cell r="D89">
            <v>1.1971854225616199</v>
          </cell>
          <cell r="E89">
            <v>0.46918550912804946</v>
          </cell>
          <cell r="H89">
            <v>1.2886679217467527</v>
          </cell>
          <cell r="I89">
            <v>1.2320532152022028</v>
          </cell>
        </row>
        <row r="90">
          <cell r="A90" t="str">
            <v xml:space="preserve">Payout Ratio (FFO) </v>
          </cell>
          <cell r="C90">
            <v>0.60431795928695664</v>
          </cell>
          <cell r="D90">
            <v>0.60039646292877269</v>
          </cell>
          <cell r="E90">
            <v>-3.9214963581839513E-3</v>
          </cell>
          <cell r="H90">
            <v>0.62831870190045891</v>
          </cell>
          <cell r="I90">
            <v>0.70174224307855482</v>
          </cell>
        </row>
        <row r="91">
          <cell r="A91" t="str">
            <v xml:space="preserve">Payout Ratio (AFFO) </v>
          </cell>
          <cell r="C91">
            <v>0.73258970675402868</v>
          </cell>
          <cell r="D91">
            <v>0.74109252830507222</v>
          </cell>
          <cell r="E91">
            <v>8.5028215510435379E-3</v>
          </cell>
          <cell r="H91">
            <v>0.72944783373553745</v>
          </cell>
          <cell r="I91">
            <v>0.88605793841097069</v>
          </cell>
        </row>
        <row r="93">
          <cell r="A93" t="str">
            <v>Shares Outstanding</v>
          </cell>
          <cell r="C93">
            <v>138951.76</v>
          </cell>
          <cell r="D93">
            <v>145623</v>
          </cell>
          <cell r="E93">
            <v>6671.2399999999907</v>
          </cell>
          <cell r="H93">
            <v>134665</v>
          </cell>
          <cell r="I93">
            <v>137576</v>
          </cell>
        </row>
        <row r="94">
          <cell r="A94" t="str">
            <v>Other dilutive securities</v>
          </cell>
          <cell r="C94">
            <v>899</v>
          </cell>
          <cell r="D94">
            <v>698</v>
          </cell>
          <cell r="E94">
            <v>-201</v>
          </cell>
          <cell r="H94">
            <v>1516</v>
          </cell>
          <cell r="I94">
            <v>899</v>
          </cell>
        </row>
        <row r="95">
          <cell r="A95" t="str">
            <v>Diluted Shares O/S (Thous.)</v>
          </cell>
          <cell r="C95">
            <v>139850.76</v>
          </cell>
          <cell r="D95">
            <v>146321</v>
          </cell>
          <cell r="E95">
            <v>6470.2399999999907</v>
          </cell>
          <cell r="H95">
            <v>136181</v>
          </cell>
          <cell r="I95">
            <v>138475</v>
          </cell>
        </row>
        <row r="96">
          <cell r="A96" t="str">
            <v>Units Outstanding</v>
          </cell>
          <cell r="C96">
            <v>9176</v>
          </cell>
          <cell r="D96">
            <v>8146</v>
          </cell>
          <cell r="E96">
            <v>-1030</v>
          </cell>
          <cell r="H96">
            <v>12839</v>
          </cell>
          <cell r="I96">
            <v>9176</v>
          </cell>
        </row>
        <row r="97">
          <cell r="A97" t="str">
            <v>Convertible D &amp; G Equivalents</v>
          </cell>
          <cell r="C97">
            <v>0</v>
          </cell>
          <cell r="D97">
            <v>0</v>
          </cell>
          <cell r="E97">
            <v>0</v>
          </cell>
          <cell r="H97">
            <v>0</v>
          </cell>
          <cell r="I97">
            <v>0</v>
          </cell>
        </row>
        <row r="98">
          <cell r="A98" t="str">
            <v>JV Covertible Equivalents</v>
          </cell>
          <cell r="C98">
            <v>0</v>
          </cell>
          <cell r="D98">
            <v>0</v>
          </cell>
          <cell r="E98">
            <v>0</v>
          </cell>
          <cell r="H98">
            <v>0</v>
          </cell>
          <cell r="I98">
            <v>0</v>
          </cell>
        </row>
        <row r="99">
          <cell r="A99" t="str">
            <v>Diluted Shares and Units (Thous.)</v>
          </cell>
          <cell r="C99">
            <v>149026.76</v>
          </cell>
          <cell r="D99">
            <v>154467</v>
          </cell>
          <cell r="E99">
            <v>5440.2399999999907</v>
          </cell>
          <cell r="H99">
            <v>149020</v>
          </cell>
          <cell r="I99">
            <v>147651</v>
          </cell>
        </row>
        <row r="104">
          <cell r="A104" t="str">
            <v>Matt Ostrower</v>
          </cell>
          <cell r="I104" t="str">
            <v>(212) 761-6284</v>
          </cell>
        </row>
        <row r="105">
          <cell r="A105" t="str">
            <v>Morgan Stanley  REIT Research</v>
          </cell>
          <cell r="I105" t="str">
            <v>Matthew.Ostrower@morganstanley.com</v>
          </cell>
        </row>
      </sheetData>
      <sheetData sheetId="9" refreshError="1">
        <row r="1">
          <cell r="A1" t="str">
            <v>Duke Realty (DRE)</v>
          </cell>
          <cell r="I1" t="str">
            <v>Matt Ostrower</v>
          </cell>
        </row>
        <row r="2">
          <cell r="A2" t="str">
            <v>3Q07 Earnings Variance Analysis Worksheet</v>
          </cell>
          <cell r="I2" t="str">
            <v>Morgan Stanley REIT Research Team</v>
          </cell>
        </row>
        <row r="3">
          <cell r="A3" t="str">
            <v>($ in Thousands, Except per Share Amounts)</v>
          </cell>
          <cell r="E3">
            <v>3842.8099878094899</v>
          </cell>
          <cell r="I3" t="str">
            <v>(212) 761-6284   Matthew.Ostrower@morganstanley.com</v>
          </cell>
        </row>
        <row r="5">
          <cell r="C5">
            <v>59</v>
          </cell>
          <cell r="D5">
            <v>59</v>
          </cell>
          <cell r="H5">
            <v>54</v>
          </cell>
          <cell r="I5">
            <v>58</v>
          </cell>
        </row>
        <row r="6">
          <cell r="C6" t="str">
            <v>MS</v>
          </cell>
          <cell r="D6" t="str">
            <v>Reported</v>
          </cell>
          <cell r="F6" t="str">
            <v>Per Share</v>
          </cell>
        </row>
        <row r="7">
          <cell r="A7" t="str">
            <v>Year Ends December 31</v>
          </cell>
          <cell r="C7" t="str">
            <v>3Q07E</v>
          </cell>
          <cell r="D7" t="str">
            <v>3Q07A</v>
          </cell>
          <cell r="E7" t="str">
            <v>Variance</v>
          </cell>
          <cell r="F7" t="str">
            <v>Impact</v>
          </cell>
          <cell r="G7" t="str">
            <v>Comments</v>
          </cell>
          <cell r="H7" t="str">
            <v>3Q06A</v>
          </cell>
          <cell r="I7" t="str">
            <v>2Q07A</v>
          </cell>
        </row>
        <row r="9">
          <cell r="A9" t="str">
            <v>Rental Expenses as % of Rental Income</v>
          </cell>
          <cell r="C9">
            <v>0.21631480456498248</v>
          </cell>
          <cell r="D9">
            <v>0.22263328301287144</v>
          </cell>
          <cell r="H9">
            <v>0.22123570848919344</v>
          </cell>
          <cell r="I9">
            <v>0.21631480456498248</v>
          </cell>
        </row>
        <row r="10">
          <cell r="A10" t="str">
            <v>Operating Expenses as % of Total Income</v>
          </cell>
          <cell r="C10">
            <v>0.34210001664863066</v>
          </cell>
          <cell r="D10">
            <v>0.34553770061973621</v>
          </cell>
          <cell r="H10">
            <v>0.33209125438769188</v>
          </cell>
          <cell r="I10">
            <v>0.34360717956827708</v>
          </cell>
        </row>
        <row r="11">
          <cell r="A11" t="str">
            <v>Real Estate Taxes as % of Rental Income</v>
          </cell>
          <cell r="C11">
            <v>0.1272923750032946</v>
          </cell>
          <cell r="D11">
            <v>0.12290441760686477</v>
          </cell>
          <cell r="H11">
            <v>0.11085554589849846</v>
          </cell>
          <cell r="I11">
            <v>0.1272923750032946</v>
          </cell>
        </row>
        <row r="12">
          <cell r="A12" t="str">
            <v>Construction and Mgmt Fee Income as % of Rental Income</v>
          </cell>
          <cell r="C12">
            <v>0.14385528538782921</v>
          </cell>
          <cell r="D12">
            <v>0.10067237406642301</v>
          </cell>
          <cell r="H12">
            <v>0.10791681272298598</v>
          </cell>
          <cell r="I12">
            <v>0.11617511399277826</v>
          </cell>
        </row>
        <row r="13">
          <cell r="A13" t="str">
            <v>Op Expenses as % of Construction and Mgmt Fee Income</v>
          </cell>
          <cell r="C13">
            <v>0.45469395163119924</v>
          </cell>
          <cell r="D13">
            <v>0.63986583140137132</v>
          </cell>
          <cell r="H13">
            <v>0.5305241612530035</v>
          </cell>
          <cell r="I13">
            <v>0.45469395163119924</v>
          </cell>
        </row>
        <row r="14">
          <cell r="A14" t="str">
            <v>G&amp;A as % of NOI</v>
          </cell>
          <cell r="C14">
            <v>7.6390368320900931E-2</v>
          </cell>
          <cell r="D14">
            <v>2.8788230275909033E-2</v>
          </cell>
          <cell r="H14">
            <v>4.7718569845566883E-2</v>
          </cell>
          <cell r="I14">
            <v>8.0063410583528352E-2</v>
          </cell>
        </row>
        <row r="16">
          <cell r="A16" t="str">
            <v>RENTAL OPERATIONS</v>
          </cell>
        </row>
        <row r="17">
          <cell r="A17" t="str">
            <v>Rental Income</v>
          </cell>
          <cell r="C17">
            <v>192208</v>
          </cell>
          <cell r="D17">
            <v>201376</v>
          </cell>
          <cell r="E17">
            <v>9168</v>
          </cell>
          <cell r="F17">
            <v>6.2092366458743928E-2</v>
          </cell>
          <cell r="H17">
            <v>208253</v>
          </cell>
          <cell r="I17">
            <v>189705</v>
          </cell>
        </row>
        <row r="18">
          <cell r="A18" t="str">
            <v>Equity in Unconsolidated Cos.</v>
          </cell>
          <cell r="C18">
            <v>8018.55375</v>
          </cell>
          <cell r="D18">
            <v>1838</v>
          </cell>
          <cell r="E18">
            <v>-6180.55375</v>
          </cell>
          <cell r="F18">
            <v>-4.1859206845873041E-2</v>
          </cell>
          <cell r="H18">
            <v>3492</v>
          </cell>
          <cell r="I18">
            <v>7949</v>
          </cell>
        </row>
        <row r="19">
          <cell r="A19" t="str">
            <v>Total Income</v>
          </cell>
          <cell r="C19">
            <v>199383.4725</v>
          </cell>
          <cell r="D19">
            <v>203214</v>
          </cell>
          <cell r="E19">
            <v>3830.5274999999965</v>
          </cell>
          <cell r="F19">
            <v>2.5943119247414489E-2</v>
          </cell>
          <cell r="H19">
            <v>211745</v>
          </cell>
          <cell r="I19">
            <v>197654</v>
          </cell>
        </row>
        <row r="21">
          <cell r="A21" t="str">
            <v>Rental Expenses</v>
          </cell>
          <cell r="C21">
            <v>-41395.065000000002</v>
          </cell>
          <cell r="D21">
            <v>-44833</v>
          </cell>
          <cell r="E21">
            <v>-3437.9349999999977</v>
          </cell>
          <cell r="F21">
            <v>-2.328419719473622E-2</v>
          </cell>
          <cell r="H21">
            <v>-46073</v>
          </cell>
          <cell r="I21">
            <v>-41036</v>
          </cell>
        </row>
        <row r="22">
          <cell r="A22" t="str">
            <v>Real Estate Taxes</v>
          </cell>
          <cell r="C22">
            <v>-24359.295000000002</v>
          </cell>
          <cell r="D22">
            <v>-24750</v>
          </cell>
          <cell r="E22">
            <v>-390.70499999999811</v>
          </cell>
          <cell r="F22">
            <v>-2.6461385293699204E-3</v>
          </cell>
          <cell r="H22">
            <v>-23086</v>
          </cell>
          <cell r="I22">
            <v>-24148</v>
          </cell>
        </row>
        <row r="23">
          <cell r="A23" t="str">
            <v>Acq. &amp; Develop. NOI</v>
          </cell>
          <cell r="C23">
            <v>2497.8264920761685</v>
          </cell>
          <cell r="D23">
            <v>0</v>
          </cell>
          <cell r="E23">
            <v>-2497.8264920761685</v>
          </cell>
          <cell r="F23">
            <v>-1.6917098374383977E-2</v>
          </cell>
        </row>
        <row r="24">
          <cell r="A24" t="str">
            <v>Net Operating Income</v>
          </cell>
          <cell r="C24">
            <v>136126.93899207615</v>
          </cell>
          <cell r="D24">
            <v>133631</v>
          </cell>
          <cell r="E24">
            <v>-2495.938992076146</v>
          </cell>
          <cell r="F24">
            <v>-1.6904314851075481E-2</v>
          </cell>
          <cell r="H24">
            <v>142586</v>
          </cell>
          <cell r="I24">
            <v>132470</v>
          </cell>
        </row>
        <row r="26">
          <cell r="A26" t="str">
            <v>SERVICE OPERATIONS</v>
          </cell>
        </row>
        <row r="27">
          <cell r="A27" t="str">
            <v>Gross Contractor Revenue</v>
          </cell>
          <cell r="C27">
            <v>0</v>
          </cell>
          <cell r="D27">
            <v>0</v>
          </cell>
          <cell r="E27">
            <v>0</v>
          </cell>
          <cell r="F27">
            <v>0</v>
          </cell>
          <cell r="H27">
            <v>100314</v>
          </cell>
          <cell r="I27">
            <v>0</v>
          </cell>
        </row>
        <row r="28">
          <cell r="A28" t="str">
            <v>Gross Contractor Costs</v>
          </cell>
          <cell r="C28">
            <v>0</v>
          </cell>
          <cell r="D28">
            <v>0</v>
          </cell>
          <cell r="E28">
            <v>0</v>
          </cell>
          <cell r="F28">
            <v>0</v>
          </cell>
          <cell r="H28">
            <v>-93555</v>
          </cell>
          <cell r="I28">
            <v>0</v>
          </cell>
        </row>
        <row r="29">
          <cell r="A29" t="str">
            <v xml:space="preserve">  Net Contractor Revenue</v>
          </cell>
          <cell r="C29">
            <v>7608.8549999999996</v>
          </cell>
          <cell r="D29">
            <v>10200</v>
          </cell>
          <cell r="E29">
            <v>2591.145</v>
          </cell>
          <cell r="F29">
            <v>1.7549119206778149E-2</v>
          </cell>
          <cell r="H29">
            <v>6759</v>
          </cell>
          <cell r="I29">
            <v>7571</v>
          </cell>
        </row>
        <row r="30">
          <cell r="A30" t="str">
            <v>Gain on Sale of Service Operations Properties</v>
          </cell>
          <cell r="C30">
            <v>11050</v>
          </cell>
          <cell r="D30">
            <v>1116</v>
          </cell>
          <cell r="E30">
            <v>-9934</v>
          </cell>
          <cell r="F30">
            <v>-6.7280275785467081E-2</v>
          </cell>
          <cell r="H30">
            <v>11665</v>
          </cell>
          <cell r="I30">
            <v>6813</v>
          </cell>
        </row>
        <row r="31">
          <cell r="A31" t="str">
            <v>Service Fee Revenue</v>
          </cell>
          <cell r="C31">
            <v>8155</v>
          </cell>
          <cell r="D31">
            <v>8957</v>
          </cell>
          <cell r="E31">
            <v>802</v>
          </cell>
          <cell r="F31">
            <v>5.4317275196239783E-3</v>
          </cell>
          <cell r="H31">
            <v>3335</v>
          </cell>
          <cell r="I31">
            <v>7655</v>
          </cell>
        </row>
        <row r="32">
          <cell r="A32" t="str">
            <v>Other Income</v>
          </cell>
          <cell r="C32">
            <v>715</v>
          </cell>
          <cell r="D32">
            <v>0</v>
          </cell>
          <cell r="E32">
            <v>-715</v>
          </cell>
          <cell r="F32">
            <v>-4.8425002201136465E-3</v>
          </cell>
          <cell r="H32">
            <v>715</v>
          </cell>
          <cell r="I32">
            <v>0</v>
          </cell>
        </row>
        <row r="33">
          <cell r="A33" t="str">
            <v>Operating Expenses</v>
          </cell>
          <cell r="C33">
            <v>-12517.203863832297</v>
          </cell>
          <cell r="D33">
            <v>-12972</v>
          </cell>
          <cell r="E33">
            <v>-454.79613616770257</v>
          </cell>
          <cell r="F33">
            <v>-3.0802103349635464E-3</v>
          </cell>
          <cell r="H33">
            <v>-11923</v>
          </cell>
          <cell r="I33">
            <v>-10021</v>
          </cell>
        </row>
        <row r="34">
          <cell r="A34" t="str">
            <v>General and Administrative</v>
          </cell>
          <cell r="C34">
            <v>-10398.787008001507</v>
          </cell>
          <cell r="D34">
            <v>-3847</v>
          </cell>
          <cell r="E34">
            <v>6551.7870080015073</v>
          </cell>
          <cell r="F34">
            <v>4.4373468571167869E-2</v>
          </cell>
          <cell r="H34">
            <v>-6804</v>
          </cell>
          <cell r="I34">
            <v>-10606</v>
          </cell>
        </row>
        <row r="36">
          <cell r="A36" t="str">
            <v>EBITDA</v>
          </cell>
          <cell r="C36">
            <v>140739.80312024234</v>
          </cell>
          <cell r="D36">
            <v>137085</v>
          </cell>
          <cell r="E36">
            <v>-3654.8031202423444</v>
          </cell>
          <cell r="F36">
            <v>-2.4752985894049784E-2</v>
          </cell>
          <cell r="H36">
            <v>146333</v>
          </cell>
          <cell r="I36">
            <v>133882</v>
          </cell>
        </row>
        <row r="38">
          <cell r="A38" t="str">
            <v>Interest Expense</v>
          </cell>
          <cell r="C38">
            <v>40668.477621475271</v>
          </cell>
          <cell r="D38">
            <v>42390</v>
          </cell>
          <cell r="E38">
            <v>-1721.522378524729</v>
          </cell>
          <cell r="F38">
            <v>-1.1659402093617578E-2</v>
          </cell>
          <cell r="H38">
            <v>50173</v>
          </cell>
          <cell r="I38">
            <v>39207</v>
          </cell>
        </row>
        <row r="39">
          <cell r="A39" t="str">
            <v>Depreciation and Amortization</v>
          </cell>
          <cell r="C39">
            <v>70388.099875710919</v>
          </cell>
          <cell r="D39">
            <v>71981</v>
          </cell>
          <cell r="E39">
            <v>-1592.9001242890808</v>
          </cell>
          <cell r="F39">
            <v>-1.078827860487962E-2</v>
          </cell>
          <cell r="H39">
            <v>63892</v>
          </cell>
          <cell r="I39">
            <v>65943</v>
          </cell>
        </row>
        <row r="40">
          <cell r="A40" t="str">
            <v>Interest Income</v>
          </cell>
          <cell r="C40">
            <v>2636.83645696133</v>
          </cell>
          <cell r="D40">
            <v>6292</v>
          </cell>
          <cell r="E40">
            <v>3655.16354303867</v>
          </cell>
          <cell r="F40">
            <v>2.4755426939463126E-2</v>
          </cell>
          <cell r="H40">
            <v>4381</v>
          </cell>
          <cell r="I40">
            <v>2566</v>
          </cell>
        </row>
        <row r="41">
          <cell r="A41" t="str">
            <v>Other Expense</v>
          </cell>
          <cell r="C41">
            <v>0</v>
          </cell>
          <cell r="D41">
            <v>0</v>
          </cell>
          <cell r="E41">
            <v>0</v>
          </cell>
          <cell r="F41">
            <v>0</v>
          </cell>
          <cell r="H41">
            <v>0</v>
          </cell>
          <cell r="I41">
            <v>0</v>
          </cell>
        </row>
        <row r="42">
          <cell r="A42" t="str">
            <v>Other Min. Int. in Earn. of Subs.</v>
          </cell>
          <cell r="C42">
            <v>-36.993808437493328</v>
          </cell>
          <cell r="D42">
            <v>-38</v>
          </cell>
          <cell r="E42">
            <v>1.0061915625066717</v>
          </cell>
          <cell r="F42">
            <v>6.8146613467343381E-6</v>
          </cell>
          <cell r="H42">
            <v>-126</v>
          </cell>
          <cell r="I42">
            <v>-36</v>
          </cell>
        </row>
        <row r="43">
          <cell r="A43" t="str">
            <v>Preferred Issuance Costs</v>
          </cell>
          <cell r="C43">
            <v>0</v>
          </cell>
          <cell r="D43">
            <v>0</v>
          </cell>
          <cell r="E43">
            <v>0</v>
          </cell>
          <cell r="F43">
            <v>0</v>
          </cell>
          <cell r="H43">
            <v>0</v>
          </cell>
          <cell r="I43">
            <v>0</v>
          </cell>
        </row>
        <row r="44">
          <cell r="A44" t="str">
            <v>NI Before Gains &amp; Minority Int.</v>
          </cell>
          <cell r="C44">
            <v>32283.068271579999</v>
          </cell>
          <cell r="D44">
            <v>28968</v>
          </cell>
          <cell r="E44">
            <v>-3315.0682715799994</v>
          </cell>
          <cell r="F44">
            <v>-2.2452054314430647E-2</v>
          </cell>
          <cell r="H44">
            <v>36523</v>
          </cell>
          <cell r="I44">
            <v>31262</v>
          </cell>
        </row>
        <row r="46">
          <cell r="A46" t="str">
            <v>Gains On Sale</v>
          </cell>
          <cell r="C46">
            <v>6000</v>
          </cell>
          <cell r="D46">
            <v>0</v>
          </cell>
          <cell r="E46">
            <v>-6000</v>
          </cell>
          <cell r="F46">
            <v>-4.063636548347116E-2</v>
          </cell>
          <cell r="H46">
            <v>235</v>
          </cell>
          <cell r="I46">
            <v>0</v>
          </cell>
        </row>
        <row r="47">
          <cell r="A47" t="str">
            <v>Land Sales Gains - incl. in FFO</v>
          </cell>
          <cell r="C47">
            <v>4796</v>
          </cell>
          <cell r="D47">
            <v>1799</v>
          </cell>
          <cell r="E47">
            <v>-2997</v>
          </cell>
          <cell r="F47">
            <v>-2.0297864558993843E-2</v>
          </cell>
          <cell r="H47">
            <v>2982</v>
          </cell>
          <cell r="I47">
            <v>2411</v>
          </cell>
        </row>
        <row r="48">
          <cell r="A48" t="str">
            <v>Min Interest in Earnings of Pfd Unitholders</v>
          </cell>
          <cell r="C48">
            <v>0</v>
          </cell>
          <cell r="D48">
            <v>0</v>
          </cell>
          <cell r="E48">
            <v>0</v>
          </cell>
          <cell r="F48">
            <v>0</v>
          </cell>
          <cell r="H48">
            <v>0</v>
          </cell>
          <cell r="I48">
            <v>0</v>
          </cell>
        </row>
        <row r="49">
          <cell r="A49" t="str">
            <v>Min Interest in Earnings of Unitholders</v>
          </cell>
          <cell r="C49">
            <v>1263.9551216143554</v>
          </cell>
          <cell r="D49">
            <v>1078</v>
          </cell>
          <cell r="E49">
            <v>185.95512161435545</v>
          </cell>
          <cell r="F49">
            <v>1.2594233809073792E-3</v>
          </cell>
          <cell r="H49">
            <v>2306</v>
          </cell>
          <cell r="I49">
            <v>1230</v>
          </cell>
        </row>
        <row r="50">
          <cell r="A50" t="str">
            <v>Net Income</v>
          </cell>
          <cell r="C50">
            <v>41815.113149965648</v>
          </cell>
          <cell r="D50">
            <v>29689</v>
          </cell>
          <cell r="E50">
            <v>-12126.113149965648</v>
          </cell>
          <cell r="F50">
            <v>-8.21268609759883E-2</v>
          </cell>
          <cell r="H50">
            <v>37199</v>
          </cell>
          <cell r="I50">
            <v>32443</v>
          </cell>
        </row>
        <row r="51">
          <cell r="A51" t="str">
            <v>Preferred Dividend</v>
          </cell>
          <cell r="C51">
            <v>15226</v>
          </cell>
          <cell r="D51">
            <v>15227</v>
          </cell>
          <cell r="E51">
            <v>-1</v>
          </cell>
          <cell r="F51">
            <v>-6.7727275805785261E-6</v>
          </cell>
          <cell r="H51">
            <v>15226</v>
          </cell>
          <cell r="I51">
            <v>15226</v>
          </cell>
        </row>
        <row r="52">
          <cell r="A52" t="str">
            <v>Net Income from Discontinued Operations</v>
          </cell>
          <cell r="C52">
            <v>0</v>
          </cell>
          <cell r="D52">
            <v>-745</v>
          </cell>
          <cell r="E52">
            <v>-745</v>
          </cell>
          <cell r="F52">
            <v>-5.0456820475310018E-3</v>
          </cell>
          <cell r="H52">
            <v>-3974</v>
          </cell>
          <cell r="I52">
            <v>-502</v>
          </cell>
        </row>
        <row r="53">
          <cell r="A53" t="str">
            <v>Gain on Sale of Discontinued Operations</v>
          </cell>
          <cell r="C53">
            <v>20361</v>
          </cell>
          <cell r="D53">
            <v>39670</v>
          </cell>
          <cell r="E53">
            <v>19309</v>
          </cell>
          <cell r="F53">
            <v>0.13077459685339077</v>
          </cell>
          <cell r="H53">
            <v>43735</v>
          </cell>
          <cell r="I53">
            <v>20361</v>
          </cell>
        </row>
        <row r="54">
          <cell r="A54" t="str">
            <v>Net Income Avail. to Common</v>
          </cell>
          <cell r="C54">
            <v>46950.113149965648</v>
          </cell>
          <cell r="D54">
            <v>53387</v>
          </cell>
          <cell r="E54">
            <v>6436.8868500343524</v>
          </cell>
          <cell r="F54">
            <v>4.3595281102290891E-2</v>
          </cell>
          <cell r="H54">
            <v>61734</v>
          </cell>
          <cell r="I54">
            <v>37076</v>
          </cell>
        </row>
        <row r="55">
          <cell r="B55" t="str">
            <v>Adjustment OP units</v>
          </cell>
          <cell r="C55" t="e">
            <v>#N/A</v>
          </cell>
          <cell r="D55" t="e">
            <v>#N/A</v>
          </cell>
          <cell r="H55" t="e">
            <v>#N/A</v>
          </cell>
          <cell r="I55" t="e">
            <v>#N/A</v>
          </cell>
        </row>
        <row r="56">
          <cell r="B56" t="str">
            <v>Adjustment: Gains and Extraordinary Items</v>
          </cell>
          <cell r="C56" t="e">
            <v>#N/A</v>
          </cell>
          <cell r="D56" t="e">
            <v>#N/A</v>
          </cell>
          <cell r="E56" t="e">
            <v>#N/A</v>
          </cell>
          <cell r="F56" t="e">
            <v>#N/A</v>
          </cell>
          <cell r="H56" t="e">
            <v>#N/A</v>
          </cell>
          <cell r="I56" t="e">
            <v>#N/A</v>
          </cell>
        </row>
        <row r="57">
          <cell r="A57" t="str">
            <v>Normalized Earnings</v>
          </cell>
          <cell r="C57">
            <v>40950.113149965648</v>
          </cell>
          <cell r="D57">
            <v>53387</v>
          </cell>
          <cell r="E57">
            <v>12436.886850034352</v>
          </cell>
          <cell r="F57">
            <v>8.4231646585762043E-2</v>
          </cell>
          <cell r="H57">
            <v>61499</v>
          </cell>
          <cell r="I57">
            <v>37076</v>
          </cell>
        </row>
        <row r="59">
          <cell r="A59" t="str">
            <v xml:space="preserve">  + Depreciation and Amortization</v>
          </cell>
          <cell r="C59">
            <v>70388.099875710919</v>
          </cell>
          <cell r="D59">
            <v>72076</v>
          </cell>
          <cell r="E59">
            <v>1687.9001242890808</v>
          </cell>
          <cell r="F59">
            <v>1.143168772503458E-2</v>
          </cell>
          <cell r="H59">
            <v>64363</v>
          </cell>
          <cell r="I59">
            <v>68407</v>
          </cell>
        </row>
        <row r="60">
          <cell r="A60" t="str">
            <v xml:space="preserve">  + Depr. &amp; Amort. on J.V.'s</v>
          </cell>
          <cell r="C60">
            <v>5890.5</v>
          </cell>
          <cell r="D60">
            <v>10574</v>
          </cell>
          <cell r="E60">
            <v>4683.5</v>
          </cell>
          <cell r="F60">
            <v>3.1720069623639525E-2</v>
          </cell>
          <cell r="H60">
            <v>4568</v>
          </cell>
          <cell r="I60">
            <v>5610</v>
          </cell>
        </row>
        <row r="61">
          <cell r="A61" t="str">
            <v xml:space="preserve">  - Earnings from Property Sales</v>
          </cell>
          <cell r="C61">
            <v>-26361</v>
          </cell>
          <cell r="D61">
            <v>-39667</v>
          </cell>
          <cell r="E61">
            <v>-13306</v>
          </cell>
          <cell r="F61">
            <v>-9.0117913187177878E-2</v>
          </cell>
          <cell r="H61">
            <v>-39257</v>
          </cell>
          <cell r="I61">
            <v>-20232</v>
          </cell>
        </row>
        <row r="62">
          <cell r="A62" t="str">
            <v xml:space="preserve">  - MI Share of Add-Backs</v>
          </cell>
          <cell r="C62">
            <v>-3677.8011221607953</v>
          </cell>
          <cell r="D62">
            <v>-2697</v>
          </cell>
          <cell r="E62">
            <v>980.80112216079533</v>
          </cell>
          <cell r="F62">
            <v>6.6426988111207867E-3</v>
          </cell>
          <cell r="H62">
            <v>-2621</v>
          </cell>
          <cell r="I62">
            <v>-3579</v>
          </cell>
        </row>
        <row r="63">
          <cell r="A63" t="str">
            <v xml:space="preserve"> Funds From Operations</v>
          </cell>
          <cell r="C63">
            <v>93189.911903515778</v>
          </cell>
          <cell r="D63">
            <v>93673</v>
          </cell>
          <cell r="E63">
            <v>483.08809648422175</v>
          </cell>
          <cell r="F63">
            <v>3.271824074907869E-3</v>
          </cell>
          <cell r="H63">
            <v>88787</v>
          </cell>
          <cell r="I63">
            <v>87282</v>
          </cell>
        </row>
        <row r="65">
          <cell r="A65" t="str">
            <v xml:space="preserve"> - TIs &amp; Leasing Commisions</v>
          </cell>
          <cell r="C65">
            <v>18607.885644059141</v>
          </cell>
          <cell r="D65">
            <v>17041</v>
          </cell>
          <cell r="E65">
            <v>1566.8856440591408</v>
          </cell>
          <cell r="F65">
            <v>1.0612089617131891E-2</v>
          </cell>
          <cell r="H65">
            <v>17955</v>
          </cell>
          <cell r="I65">
            <v>18108</v>
          </cell>
        </row>
        <row r="66">
          <cell r="A66" t="str">
            <v xml:space="preserve"> - Capital Expenditures</v>
          </cell>
          <cell r="C66">
            <v>1651.3625044181049</v>
          </cell>
          <cell r="D66">
            <v>2899</v>
          </cell>
          <cell r="E66">
            <v>-1247.6374955818951</v>
          </cell>
          <cell r="F66">
            <v>-8.4499088768914196E-3</v>
          </cell>
          <cell r="H66">
            <v>2495</v>
          </cell>
          <cell r="I66">
            <v>1607</v>
          </cell>
        </row>
        <row r="67">
          <cell r="A67" t="str">
            <v xml:space="preserve"> - Adjustment For Straight-lining</v>
          </cell>
          <cell r="C67">
            <v>4374.5178477335858</v>
          </cell>
          <cell r="D67">
            <v>4550</v>
          </cell>
          <cell r="E67">
            <v>-175.48215226641423</v>
          </cell>
          <cell r="F67">
            <v>-1.1884928125540243E-3</v>
          </cell>
          <cell r="H67">
            <v>5345</v>
          </cell>
          <cell r="I67">
            <v>4257</v>
          </cell>
        </row>
        <row r="68">
          <cell r="A68" t="str">
            <v xml:space="preserve"> + Other Adjustments1</v>
          </cell>
          <cell r="C68">
            <v>1611.8420345964969</v>
          </cell>
          <cell r="D68">
            <v>5051</v>
          </cell>
          <cell r="E68">
            <v>3439.1579654035031</v>
          </cell>
          <cell r="F68">
            <v>2.3292480006254637E-2</v>
          </cell>
          <cell r="H68">
            <v>7394</v>
          </cell>
          <cell r="I68">
            <v>4488</v>
          </cell>
        </row>
        <row r="69">
          <cell r="A69" t="str">
            <v>Adjusted Funds From Operations</v>
          </cell>
          <cell r="C69">
            <v>70167.987941901447</v>
          </cell>
          <cell r="D69">
            <v>74234</v>
          </cell>
          <cell r="E69">
            <v>4066.0120580985531</v>
          </cell>
          <cell r="F69">
            <v>2.7537992008848929E-2</v>
          </cell>
          <cell r="H69">
            <v>70386</v>
          </cell>
          <cell r="I69">
            <v>67798</v>
          </cell>
        </row>
        <row r="71">
          <cell r="A71" t="str">
            <v>Diluted FFO</v>
          </cell>
        </row>
        <row r="72">
          <cell r="A72" t="str">
            <v xml:space="preserve">  Basic FFO</v>
          </cell>
          <cell r="C72">
            <v>93189.911903515778</v>
          </cell>
          <cell r="D72">
            <v>93673</v>
          </cell>
          <cell r="E72">
            <v>483.08809648422175</v>
          </cell>
          <cell r="F72">
            <v>3.271824074907869E-3</v>
          </cell>
          <cell r="H72">
            <v>88787</v>
          </cell>
          <cell r="I72">
            <v>87282</v>
          </cell>
        </row>
        <row r="73">
          <cell r="A73" t="str">
            <v xml:space="preserve">  Preferred Conv D and G</v>
          </cell>
          <cell r="C73">
            <v>0</v>
          </cell>
          <cell r="D73">
            <v>0</v>
          </cell>
          <cell r="E73">
            <v>0</v>
          </cell>
          <cell r="F73">
            <v>0</v>
          </cell>
          <cell r="H73">
            <v>0</v>
          </cell>
          <cell r="I73">
            <v>0</v>
          </cell>
        </row>
        <row r="74">
          <cell r="A74" t="str">
            <v xml:space="preserve">  JV Partner Convertible Ownership FFO</v>
          </cell>
          <cell r="C74">
            <v>0</v>
          </cell>
          <cell r="D74">
            <v>0</v>
          </cell>
          <cell r="E74">
            <v>0</v>
          </cell>
          <cell r="F74">
            <v>0</v>
          </cell>
          <cell r="H74">
            <v>0</v>
          </cell>
          <cell r="I74">
            <v>0</v>
          </cell>
        </row>
        <row r="75">
          <cell r="A75" t="str">
            <v xml:space="preserve">  Unitholder Minority Interest</v>
          </cell>
          <cell r="C75">
            <v>2690.2719580377093</v>
          </cell>
          <cell r="D75">
            <v>3573</v>
          </cell>
          <cell r="E75">
            <v>882.72804196229072</v>
          </cell>
          <cell r="F75">
            <v>5.9784765559480852E-3</v>
          </cell>
          <cell r="H75">
            <v>6083</v>
          </cell>
          <cell r="I75">
            <v>2618</v>
          </cell>
        </row>
        <row r="76">
          <cell r="A76" t="str">
            <v xml:space="preserve">  Minority Interest Share of Add-Backs</v>
          </cell>
          <cell r="C76">
            <v>3677.8011221607953</v>
          </cell>
          <cell r="D76">
            <v>2697</v>
          </cell>
          <cell r="E76">
            <v>-980.80112216079533</v>
          </cell>
          <cell r="F76">
            <v>-6.6426988111207867E-3</v>
          </cell>
          <cell r="H76">
            <v>2621</v>
          </cell>
          <cell r="I76">
            <v>3579</v>
          </cell>
        </row>
        <row r="77">
          <cell r="A77" t="str">
            <v>Total Diluted FFO</v>
          </cell>
          <cell r="C77">
            <v>99557.984983714283</v>
          </cell>
          <cell r="D77">
            <v>99943</v>
          </cell>
          <cell r="E77">
            <v>385.01501628571714</v>
          </cell>
          <cell r="F77">
            <v>2.6076018197351671E-3</v>
          </cell>
          <cell r="H77">
            <v>97491</v>
          </cell>
          <cell r="I77">
            <v>93479</v>
          </cell>
        </row>
        <row r="79">
          <cell r="A79" t="str">
            <v>Diluted EPS before Extraordinary</v>
          </cell>
          <cell r="C79">
            <v>0.33603912638315664</v>
          </cell>
          <cell r="D79">
            <v>0.38553529517963531</v>
          </cell>
          <cell r="E79">
            <v>4.9496168796478668E-2</v>
          </cell>
          <cell r="H79">
            <v>0.45266499974336227</v>
          </cell>
          <cell r="I79">
            <v>0.26799280071125503</v>
          </cell>
        </row>
        <row r="80">
          <cell r="A80" t="str">
            <v>Diluted EPS after Extraordinary</v>
          </cell>
          <cell r="C80">
            <v>0.33603912638315664</v>
          </cell>
          <cell r="D80">
            <v>0.38553529517963531</v>
          </cell>
          <cell r="E80">
            <v>4.9496168796478668E-2</v>
          </cell>
          <cell r="H80">
            <v>0.45266499974336227</v>
          </cell>
          <cell r="I80">
            <v>0.26799280071125503</v>
          </cell>
        </row>
        <row r="81">
          <cell r="A81" t="str">
            <v>Normalized Earnings Per Share</v>
          </cell>
          <cell r="C81">
            <v>0.29309493257772773</v>
          </cell>
          <cell r="D81">
            <v>0.38553529517963531</v>
          </cell>
          <cell r="E81">
            <v>9.2440362601907577E-2</v>
          </cell>
          <cell r="H81">
            <v>0.45094186055037799</v>
          </cell>
          <cell r="I81">
            <v>0.26799280071125503</v>
          </cell>
        </row>
        <row r="83">
          <cell r="A83" t="str">
            <v xml:space="preserve">FFO Per Share - Diluted </v>
          </cell>
          <cell r="C83">
            <v>0.66594767244179232</v>
          </cell>
          <cell r="D83">
            <v>0.67688671258575961</v>
          </cell>
          <cell r="E83">
            <v>1.0939040143967294E-2</v>
          </cell>
          <cell r="H83">
            <v>0.65172137174944844</v>
          </cell>
          <cell r="I83">
            <v>0.63106481512735524</v>
          </cell>
        </row>
        <row r="85">
          <cell r="A85" t="str">
            <v>Adjusted FFO Per Share - Diluted</v>
          </cell>
          <cell r="C85">
            <v>0.50221794551900201</v>
          </cell>
          <cell r="D85">
            <v>0.53608232532948186</v>
          </cell>
          <cell r="E85">
            <v>3.386437981047985E-2</v>
          </cell>
          <cell r="H85">
            <v>0.51610585207399962</v>
          </cell>
          <cell r="I85">
            <v>0.49005760876636284</v>
          </cell>
        </row>
        <row r="86">
          <cell r="A86" t="str">
            <v>NOI Per Share</v>
          </cell>
          <cell r="C86">
            <v>0.9743102750359186</v>
          </cell>
          <cell r="D86">
            <v>0.9650189564903412</v>
          </cell>
          <cell r="E86">
            <v>-9.2913185455774094E-3</v>
          </cell>
          <cell r="H86">
            <v>1.0455128722163969</v>
          </cell>
          <cell r="I86">
            <v>0.95751985948376184</v>
          </cell>
        </row>
        <row r="87">
          <cell r="A87" t="str">
            <v>EBITDA Per Share</v>
          </cell>
          <cell r="C87">
            <v>1.0073262302222652</v>
          </cell>
          <cell r="D87">
            <v>0.98996208701931754</v>
          </cell>
          <cell r="E87">
            <v>-1.7364143202947657E-2</v>
          </cell>
          <cell r="H87">
            <v>1.0729877767104907</v>
          </cell>
          <cell r="I87">
            <v>0.96772608007401684</v>
          </cell>
        </row>
        <row r="89">
          <cell r="A89" t="str">
            <v>Dividends Per Share</v>
          </cell>
          <cell r="C89">
            <v>0.47499999999999998</v>
          </cell>
          <cell r="D89">
            <v>0.47499999999999998</v>
          </cell>
          <cell r="E89">
            <v>0</v>
          </cell>
          <cell r="H89">
            <v>0.47499999999999998</v>
          </cell>
          <cell r="I89">
            <v>0.47499999999999998</v>
          </cell>
        </row>
        <row r="91">
          <cell r="A91" t="str">
            <v xml:space="preserve">Payout Ratio (Net Income) </v>
          </cell>
          <cell r="C91">
            <v>1.4135258745387826</v>
          </cell>
          <cell r="D91">
            <v>1.2320532152022028</v>
          </cell>
          <cell r="E91">
            <v>-0.18147265933657986</v>
          </cell>
          <cell r="H91">
            <v>1.0493411248258657</v>
          </cell>
          <cell r="I91">
            <v>1.7724356726723487</v>
          </cell>
        </row>
        <row r="92">
          <cell r="A92" t="str">
            <v xml:space="preserve">Payout Ratio (FFO) </v>
          </cell>
          <cell r="C92">
            <v>0.7132692547123779</v>
          </cell>
          <cell r="D92">
            <v>0.70174224307855482</v>
          </cell>
          <cell r="E92">
            <v>-1.1527011633823081E-2</v>
          </cell>
          <cell r="H92">
            <v>0.72883907232462486</v>
          </cell>
          <cell r="I92">
            <v>0.75269606007766443</v>
          </cell>
        </row>
        <row r="93">
          <cell r="A93" t="str">
            <v xml:space="preserve">Payout Ratio (AFFO) </v>
          </cell>
          <cell r="C93">
            <v>0.94580451423161616</v>
          </cell>
          <cell r="D93">
            <v>0.88605793841097069</v>
          </cell>
          <cell r="E93">
            <v>-5.9746575820645464E-2</v>
          </cell>
          <cell r="H93">
            <v>0.92035383456937458</v>
          </cell>
          <cell r="I93">
            <v>0.96927379863712793</v>
          </cell>
        </row>
        <row r="95">
          <cell r="A95" t="str">
            <v>Shares Outstanding</v>
          </cell>
          <cell r="C95">
            <v>138290.21</v>
          </cell>
          <cell r="D95">
            <v>137576</v>
          </cell>
          <cell r="E95">
            <v>-714.20999999999185</v>
          </cell>
          <cell r="H95">
            <v>135117</v>
          </cell>
          <cell r="I95">
            <v>136921</v>
          </cell>
        </row>
        <row r="96">
          <cell r="A96" t="str">
            <v>Other dilutive securities</v>
          </cell>
          <cell r="C96">
            <v>1426</v>
          </cell>
          <cell r="D96">
            <v>899</v>
          </cell>
          <cell r="E96">
            <v>-527</v>
          </cell>
          <cell r="H96">
            <v>1262</v>
          </cell>
          <cell r="I96">
            <v>1426</v>
          </cell>
        </row>
        <row r="97">
          <cell r="A97" t="str">
            <v>Diluted Shares O/S (Thous.)</v>
          </cell>
          <cell r="C97">
            <v>139716.21</v>
          </cell>
          <cell r="D97">
            <v>138475</v>
          </cell>
          <cell r="E97">
            <v>-1241.2099999999919</v>
          </cell>
          <cell r="H97">
            <v>136379</v>
          </cell>
          <cell r="I97">
            <v>138347</v>
          </cell>
        </row>
        <row r="98">
          <cell r="A98" t="str">
            <v>Units Outstanding</v>
          </cell>
          <cell r="C98">
            <v>9782</v>
          </cell>
          <cell r="D98">
            <v>9176</v>
          </cell>
          <cell r="E98">
            <v>-606</v>
          </cell>
          <cell r="H98">
            <v>13211</v>
          </cell>
          <cell r="I98">
            <v>9782</v>
          </cell>
        </row>
        <row r="99">
          <cell r="A99" t="str">
            <v>Convertible D &amp; G Equivalents</v>
          </cell>
          <cell r="C99">
            <v>0</v>
          </cell>
          <cell r="D99">
            <v>0</v>
          </cell>
          <cell r="E99">
            <v>0</v>
          </cell>
          <cell r="H99">
            <v>0</v>
          </cell>
          <cell r="I99">
            <v>0</v>
          </cell>
        </row>
        <row r="100">
          <cell r="A100" t="str">
            <v>JV Covertible Equivalents</v>
          </cell>
          <cell r="C100">
            <v>0</v>
          </cell>
          <cell r="D100">
            <v>0</v>
          </cell>
          <cell r="E100">
            <v>0</v>
          </cell>
          <cell r="H100">
            <v>0</v>
          </cell>
          <cell r="I100">
            <v>0</v>
          </cell>
        </row>
        <row r="101">
          <cell r="A101" t="str">
            <v>Diluted Shares and Units (Thous.)</v>
          </cell>
          <cell r="C101">
            <v>149498.21</v>
          </cell>
          <cell r="D101">
            <v>147651</v>
          </cell>
          <cell r="E101">
            <v>-1847.2099999999919</v>
          </cell>
          <cell r="H101">
            <v>149590</v>
          </cell>
          <cell r="I101">
            <v>148129</v>
          </cell>
        </row>
        <row r="106">
          <cell r="A106" t="str">
            <v>Matt Ostrower</v>
          </cell>
          <cell r="I106" t="str">
            <v>(212) 761-6284</v>
          </cell>
        </row>
        <row r="107">
          <cell r="A107" t="str">
            <v>Morgan Stanley  REIT Research</v>
          </cell>
          <cell r="I107" t="str">
            <v>Matthew.Ostrower@morganstanley.com</v>
          </cell>
        </row>
      </sheetData>
      <sheetData sheetId="10" refreshError="1">
        <row r="1">
          <cell r="BZ1" t="str">
            <v>ElementName</v>
          </cell>
          <cell r="CA1" t="str">
            <v>ScaleOverride</v>
          </cell>
          <cell r="CB1" t="str">
            <v>UnitOverride</v>
          </cell>
          <cell r="CC1" t="str">
            <v>ReverseSign</v>
          </cell>
          <cell r="CD1" t="str">
            <v>IsDrivingAssumption</v>
          </cell>
          <cell r="CE1" t="str">
            <v>SegmentID</v>
          </cell>
        </row>
        <row r="2">
          <cell r="B2" t="str">
            <v>Duke Realty Corporation</v>
          </cell>
          <cell r="AE2" t="str">
            <v>Where do pref op unit divs go? Right now in min. int</v>
          </cell>
        </row>
        <row r="3">
          <cell r="B3" t="str">
            <v>Balance Sheet</v>
          </cell>
          <cell r="AE3" t="str">
            <v>Min int</v>
          </cell>
        </row>
        <row r="4">
          <cell r="B4" t="str">
            <v>(Dollars In Thousands, Except Per-Share)</v>
          </cell>
        </row>
        <row r="6">
          <cell r="F6">
            <v>1998</v>
          </cell>
          <cell r="K6">
            <v>1999</v>
          </cell>
          <cell r="P6">
            <v>2000</v>
          </cell>
          <cell r="U6">
            <v>2001</v>
          </cell>
          <cell r="Z6">
            <v>2002</v>
          </cell>
          <cell r="AE6">
            <v>2003</v>
          </cell>
          <cell r="AJ6">
            <v>2004</v>
          </cell>
          <cell r="AO6">
            <v>2005</v>
          </cell>
          <cell r="AT6">
            <v>2006</v>
          </cell>
          <cell r="AY6">
            <v>2007</v>
          </cell>
          <cell r="BD6">
            <v>2008</v>
          </cell>
          <cell r="BI6">
            <v>2009</v>
          </cell>
          <cell r="BN6">
            <v>2010</v>
          </cell>
        </row>
        <row r="7">
          <cell r="F7" t="str">
            <v>1QA</v>
          </cell>
          <cell r="G7" t="str">
            <v>2QA</v>
          </cell>
          <cell r="H7" t="str">
            <v>3QA</v>
          </cell>
          <cell r="I7" t="str">
            <v>4QA</v>
          </cell>
          <cell r="J7" t="str">
            <v>1998A</v>
          </cell>
          <cell r="K7" t="str">
            <v>1QA</v>
          </cell>
          <cell r="L7" t="str">
            <v>2QA</v>
          </cell>
          <cell r="M7" t="str">
            <v>3QA</v>
          </cell>
          <cell r="N7" t="str">
            <v>4QA</v>
          </cell>
          <cell r="O7" t="str">
            <v>1999A</v>
          </cell>
          <cell r="P7" t="str">
            <v>1QA</v>
          </cell>
          <cell r="Q7" t="str">
            <v>2QA</v>
          </cell>
          <cell r="R7" t="str">
            <v>3QA</v>
          </cell>
          <cell r="S7" t="str">
            <v>4QA</v>
          </cell>
          <cell r="T7" t="str">
            <v>2000A</v>
          </cell>
          <cell r="U7" t="str">
            <v>1QA</v>
          </cell>
          <cell r="V7" t="str">
            <v>2QA</v>
          </cell>
          <cell r="W7" t="str">
            <v>3QA</v>
          </cell>
          <cell r="X7" t="str">
            <v>4QA</v>
          </cell>
          <cell r="Y7" t="str">
            <v>2001A</v>
          </cell>
          <cell r="Z7" t="str">
            <v>1QA</v>
          </cell>
          <cell r="AA7" t="str">
            <v>2QA</v>
          </cell>
          <cell r="AB7" t="str">
            <v>3QA</v>
          </cell>
          <cell r="AC7" t="str">
            <v>4QA</v>
          </cell>
          <cell r="AD7" t="str">
            <v>2002A</v>
          </cell>
          <cell r="AE7" t="str">
            <v>1QA</v>
          </cell>
          <cell r="AF7" t="str">
            <v>2QA</v>
          </cell>
          <cell r="AG7" t="str">
            <v>3QA</v>
          </cell>
          <cell r="AH7" t="str">
            <v>4QA</v>
          </cell>
          <cell r="AI7" t="str">
            <v>2003A</v>
          </cell>
          <cell r="AJ7" t="str">
            <v>1QA</v>
          </cell>
          <cell r="AK7" t="str">
            <v>2QA</v>
          </cell>
          <cell r="AL7" t="str">
            <v>3QA</v>
          </cell>
          <cell r="AM7" t="str">
            <v>4QA</v>
          </cell>
          <cell r="AN7" t="str">
            <v>2004</v>
          </cell>
          <cell r="AO7" t="str">
            <v>1QA</v>
          </cell>
          <cell r="AP7" t="str">
            <v>2QA</v>
          </cell>
          <cell r="AQ7" t="str">
            <v>3QA</v>
          </cell>
          <cell r="AR7" t="str">
            <v>4QA</v>
          </cell>
          <cell r="AS7" t="str">
            <v>2005A</v>
          </cell>
          <cell r="AT7" t="str">
            <v>1QA</v>
          </cell>
          <cell r="AU7" t="str">
            <v>2QA</v>
          </cell>
          <cell r="AV7" t="str">
            <v>3QA</v>
          </cell>
          <cell r="AW7" t="str">
            <v>4QA</v>
          </cell>
          <cell r="AX7" t="str">
            <v>2006A</v>
          </cell>
          <cell r="AY7" t="str">
            <v>1QA</v>
          </cell>
          <cell r="AZ7" t="str">
            <v>2QA</v>
          </cell>
          <cell r="BA7" t="str">
            <v>3QA</v>
          </cell>
          <cell r="BB7" t="str">
            <v>4QE</v>
          </cell>
          <cell r="BC7" t="str">
            <v>2007E</v>
          </cell>
          <cell r="BD7" t="str">
            <v>1QE</v>
          </cell>
          <cell r="BE7" t="str">
            <v>2QE</v>
          </cell>
          <cell r="BF7" t="str">
            <v>3QE</v>
          </cell>
          <cell r="BG7" t="str">
            <v>4QE</v>
          </cell>
          <cell r="BH7" t="str">
            <v>2008E</v>
          </cell>
          <cell r="BI7" t="str">
            <v>1QE</v>
          </cell>
          <cell r="BJ7" t="str">
            <v>2QE</v>
          </cell>
          <cell r="BK7" t="str">
            <v>3QE</v>
          </cell>
          <cell r="BL7" t="str">
            <v>4QE</v>
          </cell>
          <cell r="BM7" t="str">
            <v>2009E</v>
          </cell>
          <cell r="BN7" t="str">
            <v>1QE</v>
          </cell>
          <cell r="BO7" t="str">
            <v>2QE</v>
          </cell>
          <cell r="BP7" t="str">
            <v>3QE</v>
          </cell>
          <cell r="BQ7" t="str">
            <v>4QE</v>
          </cell>
          <cell r="BR7" t="str">
            <v>2010E</v>
          </cell>
        </row>
        <row r="8">
          <cell r="Z8" t="str">
            <v>2002-Q1</v>
          </cell>
          <cell r="AA8" t="str">
            <v>2002-Q2</v>
          </cell>
          <cell r="AB8" t="str">
            <v>2002-Q3</v>
          </cell>
          <cell r="AC8" t="str">
            <v>2002-Q4</v>
          </cell>
          <cell r="AD8" t="str">
            <v>2002-FY</v>
          </cell>
          <cell r="AE8" t="str">
            <v>2003-Q1</v>
          </cell>
          <cell r="AF8" t="str">
            <v>2003-Q2</v>
          </cell>
          <cell r="AG8" t="str">
            <v>2003-Q3</v>
          </cell>
          <cell r="AH8" t="str">
            <v>2003-Q4</v>
          </cell>
          <cell r="AI8" t="str">
            <v>2003-FY</v>
          </cell>
          <cell r="AJ8" t="str">
            <v>2004-Q1</v>
          </cell>
          <cell r="AK8" t="str">
            <v>2004-Q2</v>
          </cell>
          <cell r="AL8" t="str">
            <v>2004-Q3</v>
          </cell>
          <cell r="AM8" t="str">
            <v>2004-Q4</v>
          </cell>
          <cell r="AN8" t="str">
            <v>2004-FY</v>
          </cell>
          <cell r="AO8" t="str">
            <v>2005-Q1</v>
          </cell>
          <cell r="AP8" t="str">
            <v>2005-Q2</v>
          </cell>
          <cell r="AQ8" t="str">
            <v>2005-Q3</v>
          </cell>
          <cell r="AR8" t="str">
            <v>2005-Q4</v>
          </cell>
          <cell r="AS8" t="str">
            <v>2005-FY</v>
          </cell>
          <cell r="AT8" t="str">
            <v>2006-Q1</v>
          </cell>
          <cell r="AU8" t="str">
            <v>2006-Q2</v>
          </cell>
          <cell r="AV8" t="str">
            <v>2006-Q3</v>
          </cell>
          <cell r="AW8" t="str">
            <v>2006-Q4</v>
          </cell>
          <cell r="AX8" t="str">
            <v>2006-FY</v>
          </cell>
          <cell r="AY8" t="str">
            <v>2007-Q1</v>
          </cell>
          <cell r="AZ8" t="str">
            <v>2007-Q2</v>
          </cell>
          <cell r="BA8" t="str">
            <v>2007-Q3</v>
          </cell>
          <cell r="BB8" t="str">
            <v>2007-Q4</v>
          </cell>
          <cell r="BC8" t="str">
            <v>2007-FY</v>
          </cell>
          <cell r="BD8" t="str">
            <v>2008-Q1</v>
          </cell>
          <cell r="BE8" t="str">
            <v>2008-Q2</v>
          </cell>
          <cell r="BF8" t="str">
            <v>2008-Q3</v>
          </cell>
          <cell r="BG8" t="str">
            <v>2008-Q4</v>
          </cell>
          <cell r="BH8" t="str">
            <v>2008-FY</v>
          </cell>
          <cell r="BI8" t="str">
            <v>2009-Q1</v>
          </cell>
          <cell r="BJ8" t="str">
            <v>2009-Q2</v>
          </cell>
          <cell r="BK8" t="str">
            <v>2009-Q3</v>
          </cell>
          <cell r="BL8" t="str">
            <v>2009-Q4</v>
          </cell>
          <cell r="BM8" t="str">
            <v>2009-FY</v>
          </cell>
          <cell r="BN8" t="str">
            <v>2010-Q1</v>
          </cell>
          <cell r="BO8" t="str">
            <v>2010-Q2</v>
          </cell>
          <cell r="BP8" t="str">
            <v>2010-Q3</v>
          </cell>
          <cell r="BQ8" t="str">
            <v>2010-Q4</v>
          </cell>
          <cell r="BR8" t="str">
            <v>2010-FY</v>
          </cell>
        </row>
        <row r="9">
          <cell r="A9" t="str">
            <v>Assets</v>
          </cell>
        </row>
        <row r="10">
          <cell r="B10" t="str">
            <v>Land and improvements</v>
          </cell>
          <cell r="F10">
            <v>243417</v>
          </cell>
          <cell r="G10">
            <v>271079</v>
          </cell>
          <cell r="H10">
            <v>290567</v>
          </cell>
          <cell r="I10">
            <v>312022</v>
          </cell>
          <cell r="J10">
            <v>312022</v>
          </cell>
          <cell r="K10">
            <v>333005</v>
          </cell>
          <cell r="L10">
            <v>355804</v>
          </cell>
          <cell r="M10">
            <v>596499</v>
          </cell>
          <cell r="N10">
            <v>602789</v>
          </cell>
          <cell r="O10">
            <v>602789</v>
          </cell>
          <cell r="P10">
            <v>610651</v>
          </cell>
          <cell r="Q10">
            <v>634454</v>
          </cell>
          <cell r="R10">
            <v>628439</v>
          </cell>
          <cell r="S10">
            <v>581530</v>
          </cell>
          <cell r="T10">
            <v>581530</v>
          </cell>
          <cell r="U10">
            <v>585775</v>
          </cell>
          <cell r="V10">
            <v>595284</v>
          </cell>
          <cell r="W10">
            <v>566278</v>
          </cell>
          <cell r="X10">
            <v>583909</v>
          </cell>
          <cell r="Y10">
            <v>583909</v>
          </cell>
          <cell r="Z10">
            <v>585273</v>
          </cell>
          <cell r="AA10">
            <v>588138</v>
          </cell>
          <cell r="AB10">
            <v>588960</v>
          </cell>
          <cell r="AC10">
            <v>608995</v>
          </cell>
          <cell r="AD10">
            <v>608995</v>
          </cell>
          <cell r="AE10">
            <v>614461</v>
          </cell>
          <cell r="AF10">
            <v>620837</v>
          </cell>
          <cell r="AG10">
            <v>634230</v>
          </cell>
          <cell r="AH10">
            <v>641544</v>
          </cell>
          <cell r="AI10">
            <v>641544</v>
          </cell>
          <cell r="AJ10">
            <v>652791</v>
          </cell>
          <cell r="AK10">
            <v>681905</v>
          </cell>
          <cell r="AL10">
            <v>708142</v>
          </cell>
          <cell r="AM10">
            <v>710379</v>
          </cell>
          <cell r="AN10">
            <v>710379</v>
          </cell>
          <cell r="AO10">
            <v>710379</v>
          </cell>
          <cell r="AP10">
            <v>764069</v>
          </cell>
          <cell r="AQ10">
            <v>651164</v>
          </cell>
          <cell r="AR10">
            <v>675050</v>
          </cell>
          <cell r="AS10">
            <v>675050</v>
          </cell>
          <cell r="AT10">
            <v>723705</v>
          </cell>
          <cell r="AU10">
            <v>742259</v>
          </cell>
          <cell r="AV10">
            <v>751529</v>
          </cell>
          <cell r="AW10">
            <v>844091</v>
          </cell>
          <cell r="AX10">
            <v>844091</v>
          </cell>
          <cell r="AY10">
            <v>1356058</v>
          </cell>
          <cell r="AZ10">
            <v>1148042</v>
          </cell>
          <cell r="BA10">
            <v>822436</v>
          </cell>
          <cell r="BB10">
            <v>822436</v>
          </cell>
          <cell r="BC10">
            <v>822436</v>
          </cell>
          <cell r="BD10">
            <v>822436</v>
          </cell>
          <cell r="BE10">
            <v>822436</v>
          </cell>
          <cell r="BF10">
            <v>822436</v>
          </cell>
          <cell r="BG10">
            <v>822436</v>
          </cell>
          <cell r="BH10">
            <v>822436</v>
          </cell>
          <cell r="BI10">
            <v>822436</v>
          </cell>
          <cell r="BJ10">
            <v>822436</v>
          </cell>
          <cell r="BK10">
            <v>822436</v>
          </cell>
          <cell r="BL10">
            <v>822436</v>
          </cell>
          <cell r="BM10">
            <v>822436</v>
          </cell>
          <cell r="BN10">
            <v>822436</v>
          </cell>
          <cell r="BO10">
            <v>822436</v>
          </cell>
          <cell r="BP10">
            <v>822436</v>
          </cell>
          <cell r="BQ10">
            <v>822436</v>
          </cell>
          <cell r="BR10">
            <v>822436</v>
          </cell>
          <cell r="BZ10" t="str">
            <v>mstag:landInvestmentProperties</v>
          </cell>
          <cell r="CA10">
            <v>3</v>
          </cell>
          <cell r="CB10" t="str">
            <v>ISO4217:USD</v>
          </cell>
          <cell r="CC10" t="b">
            <v>0</v>
          </cell>
          <cell r="CD10" t="b">
            <v>0</v>
          </cell>
        </row>
        <row r="11">
          <cell r="B11" t="str">
            <v>Buildings and tenant improvements</v>
          </cell>
          <cell r="F11">
            <v>1695001</v>
          </cell>
          <cell r="G11">
            <v>1890930</v>
          </cell>
          <cell r="H11">
            <v>1963006</v>
          </cell>
          <cell r="I11">
            <v>2091757</v>
          </cell>
          <cell r="J11">
            <v>2091757</v>
          </cell>
          <cell r="K11">
            <v>2205621</v>
          </cell>
          <cell r="L11">
            <v>2364216</v>
          </cell>
          <cell r="M11">
            <v>3920925</v>
          </cell>
          <cell r="N11">
            <v>4124117</v>
          </cell>
          <cell r="O11">
            <v>4124117</v>
          </cell>
          <cell r="P11">
            <v>4149512</v>
          </cell>
          <cell r="Q11">
            <v>4318580</v>
          </cell>
          <cell r="R11">
            <v>4326808</v>
          </cell>
          <cell r="S11">
            <v>3989033</v>
          </cell>
          <cell r="T11">
            <v>3989033</v>
          </cell>
          <cell r="U11">
            <v>4014221</v>
          </cell>
          <cell r="V11">
            <v>4033278</v>
          </cell>
          <cell r="W11">
            <v>3975476</v>
          </cell>
          <cell r="X11">
            <v>4068944</v>
          </cell>
          <cell r="Y11">
            <v>4068944</v>
          </cell>
          <cell r="Z11">
            <v>4081974</v>
          </cell>
          <cell r="AA11">
            <v>4108407</v>
          </cell>
          <cell r="AB11">
            <v>4137102</v>
          </cell>
          <cell r="AC11">
            <v>4237360</v>
          </cell>
          <cell r="AD11">
            <v>4237360</v>
          </cell>
          <cell r="AE11">
            <v>4291679</v>
          </cell>
          <cell r="AF11">
            <v>4333799</v>
          </cell>
          <cell r="AG11">
            <v>4439560</v>
          </cell>
          <cell r="AH11">
            <v>4452624</v>
          </cell>
          <cell r="AI11">
            <v>4452624</v>
          </cell>
          <cell r="AJ11">
            <v>4534277</v>
          </cell>
          <cell r="AK11">
            <v>4564660</v>
          </cell>
          <cell r="AL11">
            <v>4665019</v>
          </cell>
          <cell r="AM11">
            <v>4666715</v>
          </cell>
          <cell r="AN11">
            <v>4666715</v>
          </cell>
          <cell r="AO11">
            <v>4705531</v>
          </cell>
          <cell r="AP11">
            <v>4873739</v>
          </cell>
          <cell r="AQ11">
            <v>4087883</v>
          </cell>
          <cell r="AR11">
            <v>4156456</v>
          </cell>
          <cell r="AS11">
            <v>4156456</v>
          </cell>
          <cell r="AT11">
            <v>4873916</v>
          </cell>
          <cell r="AU11">
            <v>5064832</v>
          </cell>
          <cell r="AV11">
            <v>5102702</v>
          </cell>
          <cell r="AW11">
            <v>4739097</v>
          </cell>
          <cell r="AX11">
            <v>4739097</v>
          </cell>
          <cell r="AY11">
            <v>4265873</v>
          </cell>
          <cell r="AZ11">
            <v>4300018</v>
          </cell>
          <cell r="BA11">
            <v>4493009</v>
          </cell>
          <cell r="BB11">
            <v>4592052</v>
          </cell>
          <cell r="BC11">
            <v>4592052</v>
          </cell>
          <cell r="BD11">
            <v>4715217.9926522924</v>
          </cell>
          <cell r="BE11">
            <v>4973058.4854964698</v>
          </cell>
          <cell r="BF11">
            <v>5190674.20499851</v>
          </cell>
          <cell r="BG11">
            <v>5310400.7425736785</v>
          </cell>
          <cell r="BH11">
            <v>5310400.7425736785</v>
          </cell>
          <cell r="BI11">
            <v>5424841.5633154875</v>
          </cell>
          <cell r="BJ11">
            <v>5540369.8480547136</v>
          </cell>
          <cell r="BK11">
            <v>5656007.4129154198</v>
          </cell>
          <cell r="BL11">
            <v>5771754.8261620309</v>
          </cell>
          <cell r="BM11">
            <v>5771754.8261620309</v>
          </cell>
          <cell r="BN11">
            <v>5900016.7552920319</v>
          </cell>
          <cell r="BO11">
            <v>6031536.8819888458</v>
          </cell>
          <cell r="BP11">
            <v>6163447.3145696595</v>
          </cell>
          <cell r="BQ11">
            <v>6295748.9142519487</v>
          </cell>
          <cell r="BR11">
            <v>6295748.9142519487</v>
          </cell>
          <cell r="BZ11" t="str">
            <v>mstag:propertiesNotForSaleOrDevelopmentGross</v>
          </cell>
          <cell r="CA11">
            <v>3</v>
          </cell>
          <cell r="CB11" t="str">
            <v>ISO4217:USD</v>
          </cell>
          <cell r="CC11" t="b">
            <v>0</v>
          </cell>
          <cell r="CD11" t="b">
            <v>0</v>
          </cell>
        </row>
        <row r="12">
          <cell r="B12" t="str">
            <v>Construction in progress</v>
          </cell>
          <cell r="F12">
            <v>100203</v>
          </cell>
          <cell r="G12">
            <v>102455</v>
          </cell>
          <cell r="H12">
            <v>139044</v>
          </cell>
          <cell r="I12">
            <v>185950</v>
          </cell>
          <cell r="J12">
            <v>185950</v>
          </cell>
          <cell r="K12">
            <v>182266</v>
          </cell>
          <cell r="L12">
            <v>204609</v>
          </cell>
          <cell r="M12">
            <v>370595</v>
          </cell>
          <cell r="N12">
            <v>327944</v>
          </cell>
          <cell r="O12">
            <v>327944</v>
          </cell>
          <cell r="P12">
            <v>353624</v>
          </cell>
          <cell r="Q12">
            <v>264302</v>
          </cell>
          <cell r="R12">
            <v>235304</v>
          </cell>
          <cell r="S12">
            <v>216938</v>
          </cell>
          <cell r="T12">
            <v>216938</v>
          </cell>
          <cell r="U12">
            <v>217829</v>
          </cell>
          <cell r="V12">
            <v>226240</v>
          </cell>
          <cell r="W12">
            <v>197121</v>
          </cell>
          <cell r="X12">
            <v>154086</v>
          </cell>
          <cell r="Y12">
            <v>154086</v>
          </cell>
          <cell r="Z12">
            <v>100764</v>
          </cell>
          <cell r="AA12">
            <v>65383</v>
          </cell>
          <cell r="AB12">
            <v>78975</v>
          </cell>
          <cell r="AC12">
            <v>85756</v>
          </cell>
          <cell r="AD12">
            <v>85756</v>
          </cell>
          <cell r="AE12">
            <v>87345</v>
          </cell>
          <cell r="AF12">
            <v>100088</v>
          </cell>
          <cell r="AG12">
            <v>126626</v>
          </cell>
          <cell r="AH12">
            <v>119441</v>
          </cell>
          <cell r="AI12">
            <v>119441</v>
          </cell>
          <cell r="AJ12">
            <v>60543</v>
          </cell>
          <cell r="AK12">
            <v>89189</v>
          </cell>
          <cell r="AL12">
            <v>98690</v>
          </cell>
          <cell r="AM12">
            <v>109788</v>
          </cell>
          <cell r="AN12">
            <v>109788</v>
          </cell>
          <cell r="AO12">
            <v>102853</v>
          </cell>
          <cell r="AP12">
            <v>119667</v>
          </cell>
          <cell r="AQ12">
            <v>191058</v>
          </cell>
          <cell r="AR12">
            <v>227066</v>
          </cell>
          <cell r="AS12">
            <v>227066</v>
          </cell>
          <cell r="AT12">
            <v>298476</v>
          </cell>
          <cell r="AU12">
            <v>295305</v>
          </cell>
          <cell r="AV12">
            <v>340773</v>
          </cell>
          <cell r="AW12">
            <v>361230</v>
          </cell>
          <cell r="AX12">
            <v>361230</v>
          </cell>
          <cell r="AY12">
            <v>451707</v>
          </cell>
          <cell r="AZ12">
            <v>559177</v>
          </cell>
          <cell r="BA12">
            <v>441560</v>
          </cell>
          <cell r="BB12">
            <v>413417</v>
          </cell>
          <cell r="BC12">
            <v>413417</v>
          </cell>
          <cell r="BD12">
            <v>413417</v>
          </cell>
          <cell r="BE12">
            <v>413417</v>
          </cell>
          <cell r="BF12">
            <v>413417</v>
          </cell>
          <cell r="BG12">
            <v>413417</v>
          </cell>
          <cell r="BH12">
            <v>413417</v>
          </cell>
          <cell r="BI12">
            <v>413417</v>
          </cell>
          <cell r="BJ12">
            <v>413417</v>
          </cell>
          <cell r="BK12">
            <v>413417</v>
          </cell>
          <cell r="BL12">
            <v>413417</v>
          </cell>
          <cell r="BM12">
            <v>413417</v>
          </cell>
          <cell r="BN12">
            <v>413417</v>
          </cell>
          <cell r="BO12">
            <v>413417</v>
          </cell>
          <cell r="BP12">
            <v>413417</v>
          </cell>
          <cell r="BQ12">
            <v>413417</v>
          </cell>
          <cell r="BR12">
            <v>413417</v>
          </cell>
          <cell r="BZ12" t="str">
            <v>mstag:developmentProperties</v>
          </cell>
          <cell r="CA12">
            <v>3</v>
          </cell>
          <cell r="CB12" t="str">
            <v>ISO4217:USD</v>
          </cell>
          <cell r="CC12" t="b">
            <v>0</v>
          </cell>
          <cell r="CD12" t="b">
            <v>0</v>
          </cell>
        </row>
        <row r="13">
          <cell r="B13" t="str">
            <v>Investments in unconsol.</v>
          </cell>
          <cell r="F13">
            <v>115909</v>
          </cell>
          <cell r="G13">
            <v>125771</v>
          </cell>
          <cell r="H13">
            <v>125655</v>
          </cell>
          <cell r="I13">
            <v>125746</v>
          </cell>
          <cell r="J13">
            <v>125746</v>
          </cell>
          <cell r="K13">
            <v>115527</v>
          </cell>
          <cell r="L13">
            <v>114570</v>
          </cell>
          <cell r="M13">
            <v>168101</v>
          </cell>
          <cell r="N13">
            <v>145587</v>
          </cell>
          <cell r="O13">
            <v>145587</v>
          </cell>
          <cell r="P13">
            <v>150266</v>
          </cell>
          <cell r="Q13">
            <v>157976</v>
          </cell>
          <cell r="R13">
            <v>160094</v>
          </cell>
          <cell r="S13">
            <v>367581</v>
          </cell>
          <cell r="T13">
            <v>367581</v>
          </cell>
          <cell r="U13">
            <v>389396</v>
          </cell>
          <cell r="V13">
            <v>326608</v>
          </cell>
          <cell r="W13">
            <v>330132</v>
          </cell>
          <cell r="X13">
            <v>323682</v>
          </cell>
          <cell r="Y13">
            <v>323682</v>
          </cell>
          <cell r="Z13">
            <v>321452</v>
          </cell>
          <cell r="AA13">
            <v>322097</v>
          </cell>
          <cell r="AB13">
            <v>325320</v>
          </cell>
          <cell r="AC13">
            <v>315589</v>
          </cell>
          <cell r="AD13">
            <v>315589</v>
          </cell>
          <cell r="AE13">
            <v>299829</v>
          </cell>
          <cell r="AF13">
            <v>299831</v>
          </cell>
          <cell r="AG13">
            <v>295944</v>
          </cell>
          <cell r="AH13">
            <v>295837</v>
          </cell>
          <cell r="AI13">
            <v>295837</v>
          </cell>
          <cell r="AJ13">
            <v>292962</v>
          </cell>
          <cell r="AK13">
            <v>290785</v>
          </cell>
          <cell r="AL13">
            <v>287827</v>
          </cell>
          <cell r="AM13">
            <v>287554</v>
          </cell>
          <cell r="AN13">
            <v>287554</v>
          </cell>
          <cell r="AO13">
            <v>294718</v>
          </cell>
          <cell r="AP13">
            <v>301955</v>
          </cell>
          <cell r="AQ13">
            <v>298808</v>
          </cell>
          <cell r="AR13">
            <v>301322</v>
          </cell>
          <cell r="AS13">
            <v>301322</v>
          </cell>
          <cell r="AT13">
            <v>293002</v>
          </cell>
          <cell r="AU13">
            <v>327832</v>
          </cell>
          <cell r="AV13">
            <v>453484</v>
          </cell>
          <cell r="AW13">
            <v>628323</v>
          </cell>
          <cell r="AX13">
            <v>628323</v>
          </cell>
          <cell r="AY13">
            <v>514631</v>
          </cell>
          <cell r="AZ13">
            <v>537547</v>
          </cell>
          <cell r="BA13">
            <v>551193</v>
          </cell>
          <cell r="BB13">
            <v>601801</v>
          </cell>
          <cell r="BC13">
            <v>601801</v>
          </cell>
          <cell r="BD13">
            <v>595976.02</v>
          </cell>
          <cell r="BE13">
            <v>590121.91509999998</v>
          </cell>
          <cell r="BF13">
            <v>584238.53967550001</v>
          </cell>
          <cell r="BG13">
            <v>578325.74737387756</v>
          </cell>
          <cell r="BH13">
            <v>578325.74737387756</v>
          </cell>
          <cell r="BI13">
            <v>572353.82714923879</v>
          </cell>
          <cell r="BJ13">
            <v>566322.18772235373</v>
          </cell>
          <cell r="BK13">
            <v>560230.23190119979</v>
          </cell>
          <cell r="BL13">
            <v>554077.35652183427</v>
          </cell>
          <cell r="BM13">
            <v>554077.35652183427</v>
          </cell>
          <cell r="BN13">
            <v>547862.95238867507</v>
          </cell>
          <cell r="BO13">
            <v>541586.40421418427</v>
          </cell>
          <cell r="BP13">
            <v>535247.09055794857</v>
          </cell>
          <cell r="BQ13">
            <v>528844.38376515056</v>
          </cell>
          <cell r="BR13">
            <v>528844.38376515056</v>
          </cell>
          <cell r="BZ13" t="str">
            <v>mstag:investmentsUnderTheEquityMethodOperating</v>
          </cell>
          <cell r="CA13">
            <v>3</v>
          </cell>
          <cell r="CB13" t="str">
            <v>ISO4217:USD</v>
          </cell>
          <cell r="CC13" t="b">
            <v>0</v>
          </cell>
          <cell r="CD13" t="b">
            <v>0</v>
          </cell>
        </row>
        <row r="14">
          <cell r="B14" t="str">
            <v>Land held for development</v>
          </cell>
          <cell r="F14">
            <v>138889</v>
          </cell>
          <cell r="G14">
            <v>145905</v>
          </cell>
          <cell r="H14">
            <v>124237</v>
          </cell>
          <cell r="I14">
            <v>146911</v>
          </cell>
          <cell r="J14">
            <v>146911</v>
          </cell>
          <cell r="K14">
            <v>185507</v>
          </cell>
          <cell r="L14">
            <v>181274</v>
          </cell>
          <cell r="M14">
            <v>231323</v>
          </cell>
          <cell r="N14">
            <v>246533</v>
          </cell>
          <cell r="O14">
            <v>246533</v>
          </cell>
          <cell r="P14">
            <v>257919</v>
          </cell>
          <cell r="Q14">
            <v>235695</v>
          </cell>
          <cell r="R14">
            <v>262340</v>
          </cell>
          <cell r="S14">
            <v>257779</v>
          </cell>
          <cell r="T14">
            <v>257779</v>
          </cell>
          <cell r="U14">
            <v>266474</v>
          </cell>
          <cell r="V14">
            <v>256856</v>
          </cell>
          <cell r="W14">
            <v>285333</v>
          </cell>
          <cell r="X14">
            <v>322528</v>
          </cell>
          <cell r="Y14">
            <v>322528</v>
          </cell>
          <cell r="Z14">
            <v>318252</v>
          </cell>
          <cell r="AA14">
            <v>324612</v>
          </cell>
          <cell r="AB14">
            <v>321290</v>
          </cell>
          <cell r="AC14">
            <v>326535</v>
          </cell>
          <cell r="AD14">
            <v>326535</v>
          </cell>
          <cell r="AE14">
            <v>321958</v>
          </cell>
          <cell r="AF14">
            <v>326518</v>
          </cell>
          <cell r="AG14">
            <v>313859</v>
          </cell>
          <cell r="AH14">
            <v>314996</v>
          </cell>
          <cell r="AI14">
            <v>314996</v>
          </cell>
          <cell r="AJ14">
            <v>302455</v>
          </cell>
          <cell r="AK14">
            <v>334646</v>
          </cell>
          <cell r="AL14">
            <v>381908</v>
          </cell>
          <cell r="AM14">
            <v>393650</v>
          </cell>
          <cell r="AN14">
            <v>393650</v>
          </cell>
          <cell r="AO14">
            <v>412975</v>
          </cell>
          <cell r="AP14">
            <v>391746</v>
          </cell>
          <cell r="AQ14">
            <v>417387</v>
          </cell>
          <cell r="AR14">
            <v>430520</v>
          </cell>
          <cell r="AS14">
            <v>430520</v>
          </cell>
          <cell r="AT14">
            <v>603639</v>
          </cell>
          <cell r="AU14">
            <v>655834</v>
          </cell>
          <cell r="AV14">
            <v>696551</v>
          </cell>
          <cell r="AW14">
            <v>737752</v>
          </cell>
          <cell r="AX14">
            <v>737752</v>
          </cell>
          <cell r="AY14">
            <v>748392</v>
          </cell>
          <cell r="AZ14">
            <v>797983</v>
          </cell>
          <cell r="BA14">
            <v>800737</v>
          </cell>
          <cell r="BB14">
            <v>912448</v>
          </cell>
          <cell r="BC14">
            <v>912448</v>
          </cell>
          <cell r="BD14">
            <v>912448</v>
          </cell>
          <cell r="BE14">
            <v>912448</v>
          </cell>
          <cell r="BF14">
            <v>912448</v>
          </cell>
          <cell r="BG14">
            <v>912448</v>
          </cell>
          <cell r="BH14">
            <v>912448</v>
          </cell>
          <cell r="BI14">
            <v>912448</v>
          </cell>
          <cell r="BJ14">
            <v>912448</v>
          </cell>
          <cell r="BK14">
            <v>912448</v>
          </cell>
          <cell r="BL14">
            <v>912448</v>
          </cell>
          <cell r="BM14">
            <v>912448</v>
          </cell>
          <cell r="BN14">
            <v>912448</v>
          </cell>
          <cell r="BO14">
            <v>912448</v>
          </cell>
          <cell r="BP14">
            <v>912448</v>
          </cell>
          <cell r="BQ14">
            <v>912448</v>
          </cell>
          <cell r="BR14">
            <v>912448</v>
          </cell>
          <cell r="BZ14" t="str">
            <v>mstag:landInvestmentProperties</v>
          </cell>
          <cell r="CA14">
            <v>3</v>
          </cell>
          <cell r="CB14" t="str">
            <v>ISO4217:USD</v>
          </cell>
          <cell r="CC14" t="b">
            <v>0</v>
          </cell>
          <cell r="CD14" t="b">
            <v>0</v>
          </cell>
        </row>
        <row r="15">
          <cell r="B15" t="str">
            <v>Accumulated depreciation</v>
          </cell>
          <cell r="F15">
            <v>-131629</v>
          </cell>
          <cell r="G15">
            <v>-146350</v>
          </cell>
          <cell r="H15">
            <v>-161649</v>
          </cell>
          <cell r="I15">
            <v>-179887</v>
          </cell>
          <cell r="J15">
            <v>-179887</v>
          </cell>
          <cell r="K15">
            <v>-188856</v>
          </cell>
          <cell r="L15">
            <v>-204750</v>
          </cell>
          <cell r="M15">
            <v>-234071</v>
          </cell>
          <cell r="N15">
            <v>-254574</v>
          </cell>
          <cell r="O15">
            <v>-254574</v>
          </cell>
          <cell r="P15">
            <v>-278164</v>
          </cell>
          <cell r="Q15">
            <v>-308841</v>
          </cell>
          <cell r="R15">
            <v>-340950</v>
          </cell>
          <cell r="S15">
            <v>-338426</v>
          </cell>
          <cell r="T15">
            <v>-338426</v>
          </cell>
          <cell r="U15">
            <v>-363555</v>
          </cell>
          <cell r="V15">
            <v>-390624</v>
          </cell>
          <cell r="W15">
            <v>-396186</v>
          </cell>
          <cell r="X15">
            <v>-425721</v>
          </cell>
          <cell r="Y15">
            <v>-425721</v>
          </cell>
          <cell r="Z15">
            <v>-458568</v>
          </cell>
          <cell r="AA15">
            <v>-488871</v>
          </cell>
          <cell r="AB15">
            <v>-521215</v>
          </cell>
          <cell r="AC15">
            <v>-555858</v>
          </cell>
          <cell r="AD15">
            <v>-555858</v>
          </cell>
          <cell r="AE15">
            <v>-588629</v>
          </cell>
          <cell r="AF15">
            <v>-623631</v>
          </cell>
          <cell r="AG15">
            <v>-657311</v>
          </cell>
          <cell r="AH15">
            <v>-677357</v>
          </cell>
          <cell r="AI15">
            <v>-677357</v>
          </cell>
          <cell r="AJ15">
            <v>-709921</v>
          </cell>
          <cell r="AK15">
            <v>-741633</v>
          </cell>
          <cell r="AL15">
            <v>-764745</v>
          </cell>
          <cell r="AM15">
            <v>-788900</v>
          </cell>
          <cell r="AN15">
            <v>-788900</v>
          </cell>
          <cell r="AO15">
            <v>-825902</v>
          </cell>
          <cell r="AP15">
            <v>-856038</v>
          </cell>
          <cell r="AQ15">
            <v>-726567</v>
          </cell>
          <cell r="AR15">
            <v>-754742</v>
          </cell>
          <cell r="AS15">
            <v>-754742</v>
          </cell>
          <cell r="AT15">
            <v>-791022</v>
          </cell>
          <cell r="AU15">
            <v>-842031</v>
          </cell>
          <cell r="AV15">
            <v>-863797</v>
          </cell>
          <cell r="AW15">
            <v>-900898</v>
          </cell>
          <cell r="AX15">
            <v>-900898</v>
          </cell>
          <cell r="AY15">
            <v>-907095</v>
          </cell>
          <cell r="AZ15">
            <v>-883601</v>
          </cell>
          <cell r="BA15">
            <v>-928024</v>
          </cell>
          <cell r="BB15">
            <v>-990280</v>
          </cell>
          <cell r="BC15">
            <v>-990280</v>
          </cell>
          <cell r="BD15">
            <v>-1055326.9588358235</v>
          </cell>
          <cell r="BE15">
            <v>-1124356.560296081</v>
          </cell>
          <cell r="BF15">
            <v>-1196747.4865454573</v>
          </cell>
          <cell r="BG15">
            <v>-1270987.7267119882</v>
          </cell>
          <cell r="BH15">
            <v>-1270987.7267119882</v>
          </cell>
          <cell r="BI15">
            <v>-1344881.2047089266</v>
          </cell>
          <cell r="BJ15">
            <v>-1420540.7407016982</v>
          </cell>
          <cell r="BK15">
            <v>-1497968.005233865</v>
          </cell>
          <cell r="BL15">
            <v>-1577164.6775359351</v>
          </cell>
          <cell r="BM15">
            <v>-1577164.6775359351</v>
          </cell>
          <cell r="BN15">
            <v>-1657766.425994165</v>
          </cell>
          <cell r="BO15">
            <v>-1740366.310559948</v>
          </cell>
          <cell r="BP15">
            <v>-1824970.2610046384</v>
          </cell>
          <cell r="BQ15">
            <v>-1911584.2201837455</v>
          </cell>
          <cell r="BR15">
            <v>-1911584.2201837455</v>
          </cell>
          <cell r="BZ15" t="str">
            <v>mstag:accumulatedDepreciationOnPropertiesNotForSaleOrDevelopment</v>
          </cell>
          <cell r="CA15">
            <v>3</v>
          </cell>
          <cell r="CB15" t="str">
            <v>ISO4217:USD</v>
          </cell>
          <cell r="CC15" t="b">
            <v>1</v>
          </cell>
          <cell r="CD15" t="b">
            <v>0</v>
          </cell>
        </row>
        <row r="17">
          <cell r="B17" t="str">
            <v>Net PPE</v>
          </cell>
          <cell r="F17">
            <v>2161790</v>
          </cell>
          <cell r="G17">
            <v>2389790</v>
          </cell>
          <cell r="H17">
            <v>2480860</v>
          </cell>
          <cell r="I17">
            <v>2682499</v>
          </cell>
          <cell r="J17">
            <v>2682499</v>
          </cell>
          <cell r="K17">
            <v>2833070</v>
          </cell>
          <cell r="L17">
            <v>3015723</v>
          </cell>
          <cell r="M17">
            <v>5053372</v>
          </cell>
          <cell r="N17">
            <v>5192396</v>
          </cell>
          <cell r="O17">
            <v>5192396</v>
          </cell>
          <cell r="P17">
            <v>5243808</v>
          </cell>
          <cell r="Q17">
            <v>5302166</v>
          </cell>
          <cell r="R17">
            <v>5272035</v>
          </cell>
          <cell r="S17">
            <v>5074435</v>
          </cell>
          <cell r="T17">
            <v>5074435</v>
          </cell>
          <cell r="U17">
            <v>5110140</v>
          </cell>
          <cell r="V17">
            <v>5047642</v>
          </cell>
          <cell r="W17">
            <v>4958154</v>
          </cell>
          <cell r="X17">
            <v>5027428</v>
          </cell>
          <cell r="Y17">
            <v>5027428</v>
          </cell>
          <cell r="Z17">
            <v>4949147</v>
          </cell>
          <cell r="AA17">
            <v>4919766</v>
          </cell>
          <cell r="AB17">
            <v>4930432</v>
          </cell>
          <cell r="AC17">
            <v>5018377</v>
          </cell>
          <cell r="AD17">
            <v>5018377</v>
          </cell>
          <cell r="AE17">
            <v>5026643</v>
          </cell>
          <cell r="AF17">
            <v>5057442</v>
          </cell>
          <cell r="AG17">
            <v>5152908</v>
          </cell>
          <cell r="AH17">
            <v>5147085</v>
          </cell>
          <cell r="AI17">
            <v>5147085</v>
          </cell>
          <cell r="AJ17">
            <v>5133107</v>
          </cell>
          <cell r="AK17">
            <v>5219552</v>
          </cell>
          <cell r="AL17">
            <v>5376841</v>
          </cell>
          <cell r="AM17">
            <v>5379186</v>
          </cell>
          <cell r="AN17">
            <v>5379186</v>
          </cell>
          <cell r="AO17">
            <v>5400554</v>
          </cell>
          <cell r="AP17">
            <v>5595138</v>
          </cell>
          <cell r="AQ17">
            <v>4919733</v>
          </cell>
          <cell r="AR17">
            <v>5035672</v>
          </cell>
          <cell r="AS17">
            <v>5035672</v>
          </cell>
          <cell r="AT17">
            <v>6001716</v>
          </cell>
          <cell r="AU17">
            <v>6244031</v>
          </cell>
          <cell r="AV17">
            <v>6481242</v>
          </cell>
          <cell r="AW17">
            <v>6409595</v>
          </cell>
          <cell r="AX17">
            <v>6409595</v>
          </cell>
          <cell r="AY17">
            <v>6429566</v>
          </cell>
          <cell r="AZ17">
            <v>6459166</v>
          </cell>
          <cell r="BA17">
            <v>6180911</v>
          </cell>
          <cell r="BB17">
            <v>6351874</v>
          </cell>
          <cell r="BC17">
            <v>6351874</v>
          </cell>
          <cell r="BD17">
            <v>6404168.0538164694</v>
          </cell>
          <cell r="BE17">
            <v>6587124.8403003886</v>
          </cell>
          <cell r="BF17">
            <v>6726466.2581285527</v>
          </cell>
          <cell r="BG17">
            <v>6766039.7632355671</v>
          </cell>
          <cell r="BH17">
            <v>6766039.7632355671</v>
          </cell>
          <cell r="BI17">
            <v>6800615.1857557995</v>
          </cell>
          <cell r="BJ17">
            <v>6834452.29507537</v>
          </cell>
          <cell r="BK17">
            <v>6866570.6395827541</v>
          </cell>
          <cell r="BL17">
            <v>6896968.5051479312</v>
          </cell>
          <cell r="BM17">
            <v>6896968.5051479312</v>
          </cell>
          <cell r="BN17">
            <v>6938414.2816865407</v>
          </cell>
          <cell r="BO17">
            <v>6981057.9756430825</v>
          </cell>
          <cell r="BP17">
            <v>7022025.1441229694</v>
          </cell>
          <cell r="BQ17">
            <v>7061310.0778333545</v>
          </cell>
          <cell r="BR17">
            <v>7061310.0778333545</v>
          </cell>
        </row>
        <row r="19">
          <cell r="B19" t="str">
            <v>Assets Held for Sale</v>
          </cell>
          <cell r="BA19">
            <v>351259</v>
          </cell>
          <cell r="BB19">
            <v>351259</v>
          </cell>
          <cell r="BC19">
            <v>351259</v>
          </cell>
          <cell r="BD19">
            <v>351259</v>
          </cell>
          <cell r="BE19">
            <v>351259</v>
          </cell>
          <cell r="BF19">
            <v>351259</v>
          </cell>
          <cell r="BG19">
            <v>351259</v>
          </cell>
          <cell r="BH19">
            <v>351259</v>
          </cell>
          <cell r="BI19">
            <v>351259</v>
          </cell>
          <cell r="BJ19">
            <v>351259</v>
          </cell>
          <cell r="BK19">
            <v>351259</v>
          </cell>
          <cell r="BL19">
            <v>351259</v>
          </cell>
          <cell r="BM19">
            <v>351259</v>
          </cell>
          <cell r="BN19">
            <v>351259</v>
          </cell>
          <cell r="BO19">
            <v>351259</v>
          </cell>
          <cell r="BP19">
            <v>351259</v>
          </cell>
          <cell r="BQ19">
            <v>351259</v>
          </cell>
          <cell r="BR19">
            <v>351259</v>
          </cell>
          <cell r="BZ19" t="str">
            <v>mstag:propertiesForSale</v>
          </cell>
          <cell r="CA19">
            <v>3</v>
          </cell>
          <cell r="CB19" t="str">
            <v>ISO4217:USD</v>
          </cell>
          <cell r="CC19" t="b">
            <v>0</v>
          </cell>
          <cell r="CD19" t="b">
            <v>0</v>
          </cell>
        </row>
        <row r="21">
          <cell r="B21" t="str">
            <v>Cash and cash equivalents</v>
          </cell>
          <cell r="F21">
            <v>29169</v>
          </cell>
          <cell r="G21">
            <v>22379</v>
          </cell>
          <cell r="H21">
            <v>22033</v>
          </cell>
          <cell r="I21">
            <v>6950</v>
          </cell>
          <cell r="J21">
            <v>6950</v>
          </cell>
          <cell r="K21">
            <v>34996</v>
          </cell>
          <cell r="L21">
            <v>172744</v>
          </cell>
          <cell r="M21">
            <v>45282</v>
          </cell>
          <cell r="N21">
            <v>18765</v>
          </cell>
          <cell r="O21">
            <v>18765</v>
          </cell>
          <cell r="P21">
            <v>37913</v>
          </cell>
          <cell r="Q21">
            <v>41717</v>
          </cell>
          <cell r="R21">
            <v>41287</v>
          </cell>
          <cell r="S21">
            <v>39191</v>
          </cell>
          <cell r="T21">
            <v>39191</v>
          </cell>
          <cell r="U21">
            <v>38891</v>
          </cell>
          <cell r="V21">
            <v>103027</v>
          </cell>
          <cell r="W21">
            <v>9504</v>
          </cell>
          <cell r="X21">
            <v>9483</v>
          </cell>
          <cell r="Y21">
            <v>9483</v>
          </cell>
          <cell r="Z21">
            <v>13510</v>
          </cell>
          <cell r="AA21">
            <v>2505</v>
          </cell>
          <cell r="AB21">
            <v>43037</v>
          </cell>
          <cell r="AC21">
            <v>17414</v>
          </cell>
          <cell r="AD21">
            <v>17414</v>
          </cell>
          <cell r="AE21">
            <v>12509</v>
          </cell>
          <cell r="AF21">
            <v>11671</v>
          </cell>
          <cell r="AG21">
            <v>931</v>
          </cell>
          <cell r="AH21">
            <v>12632</v>
          </cell>
          <cell r="AI21">
            <v>12632</v>
          </cell>
          <cell r="AJ21">
            <v>11899</v>
          </cell>
          <cell r="AK21">
            <v>10791</v>
          </cell>
          <cell r="AL21">
            <v>0</v>
          </cell>
          <cell r="AM21">
            <v>5589</v>
          </cell>
          <cell r="AN21">
            <v>5589</v>
          </cell>
          <cell r="AO21">
            <v>3679</v>
          </cell>
          <cell r="AP21">
            <v>6487</v>
          </cell>
          <cell r="AQ21">
            <v>124867</v>
          </cell>
          <cell r="AR21">
            <v>26732</v>
          </cell>
          <cell r="AS21">
            <v>26732</v>
          </cell>
          <cell r="AT21">
            <v>0</v>
          </cell>
          <cell r="AU21">
            <v>7039</v>
          </cell>
          <cell r="AV21">
            <v>25000</v>
          </cell>
          <cell r="AW21">
            <v>68483</v>
          </cell>
          <cell r="AX21">
            <v>68483</v>
          </cell>
          <cell r="AY21">
            <v>9492</v>
          </cell>
          <cell r="AZ21">
            <v>45456</v>
          </cell>
          <cell r="BA21">
            <v>18424</v>
          </cell>
          <cell r="BB21">
            <v>48011.958500000037</v>
          </cell>
          <cell r="BC21">
            <v>48011.958500000037</v>
          </cell>
          <cell r="BD21">
            <v>10000.000000000015</v>
          </cell>
          <cell r="BE21">
            <v>10000.000000000015</v>
          </cell>
          <cell r="BF21">
            <v>10000.000000000015</v>
          </cell>
          <cell r="BG21">
            <v>9999.9999999999727</v>
          </cell>
          <cell r="BH21">
            <v>9999.9999999999727</v>
          </cell>
          <cell r="BI21">
            <v>10000.000000000031</v>
          </cell>
          <cell r="BJ21">
            <v>9999.9999999999891</v>
          </cell>
          <cell r="BK21">
            <v>10000.00000000002</v>
          </cell>
          <cell r="BL21">
            <v>9999.9999999999782</v>
          </cell>
          <cell r="BM21">
            <v>9999.9999999999782</v>
          </cell>
          <cell r="BN21">
            <v>10000.000000000082</v>
          </cell>
          <cell r="BO21">
            <v>9999.9999999999673</v>
          </cell>
          <cell r="BP21">
            <v>9999.9999999999691</v>
          </cell>
          <cell r="BQ21">
            <v>9999.9999999999854</v>
          </cell>
          <cell r="BR21">
            <v>9999.9999999999854</v>
          </cell>
          <cell r="BZ21" t="str">
            <v>mstag:cashAndCashEquivalents</v>
          </cell>
          <cell r="CA21">
            <v>3</v>
          </cell>
          <cell r="CB21" t="str">
            <v>ISO4217:USD</v>
          </cell>
          <cell r="CC21" t="b">
            <v>0</v>
          </cell>
          <cell r="CD21" t="b">
            <v>0</v>
          </cell>
        </row>
        <row r="22">
          <cell r="B22" t="str">
            <v>Accounts receivable, net</v>
          </cell>
          <cell r="F22">
            <v>5603</v>
          </cell>
          <cell r="G22">
            <v>6898</v>
          </cell>
          <cell r="H22">
            <v>6798</v>
          </cell>
          <cell r="I22">
            <v>9641</v>
          </cell>
          <cell r="J22">
            <v>9641</v>
          </cell>
          <cell r="K22">
            <v>8562</v>
          </cell>
          <cell r="L22">
            <v>10720</v>
          </cell>
          <cell r="M22">
            <v>17720</v>
          </cell>
          <cell r="N22">
            <v>26844</v>
          </cell>
          <cell r="O22">
            <v>26844</v>
          </cell>
          <cell r="P22">
            <v>17393</v>
          </cell>
          <cell r="Q22">
            <v>17662</v>
          </cell>
          <cell r="R22">
            <v>17377</v>
          </cell>
          <cell r="S22">
            <v>19454</v>
          </cell>
          <cell r="T22">
            <v>19454</v>
          </cell>
          <cell r="U22">
            <v>17712</v>
          </cell>
          <cell r="V22">
            <v>18908</v>
          </cell>
          <cell r="W22">
            <v>16873</v>
          </cell>
          <cell r="X22">
            <v>23142</v>
          </cell>
          <cell r="Y22">
            <v>23142</v>
          </cell>
          <cell r="Z22">
            <v>14644</v>
          </cell>
          <cell r="AA22">
            <v>17535</v>
          </cell>
          <cell r="AB22">
            <v>17381</v>
          </cell>
          <cell r="AC22">
            <v>15415</v>
          </cell>
          <cell r="AD22">
            <v>15415</v>
          </cell>
          <cell r="AE22">
            <v>14501</v>
          </cell>
          <cell r="AF22">
            <v>16777</v>
          </cell>
          <cell r="AG22">
            <v>17727</v>
          </cell>
          <cell r="AH22">
            <v>16215</v>
          </cell>
          <cell r="AI22">
            <v>16215</v>
          </cell>
          <cell r="AJ22">
            <v>16431</v>
          </cell>
          <cell r="AK22">
            <v>13752</v>
          </cell>
          <cell r="AL22">
            <v>15374</v>
          </cell>
          <cell r="AM22">
            <v>17127</v>
          </cell>
          <cell r="AN22">
            <v>17127</v>
          </cell>
          <cell r="AO22">
            <v>16676</v>
          </cell>
          <cell r="AP22">
            <v>14129</v>
          </cell>
          <cell r="AQ22">
            <v>19736</v>
          </cell>
          <cell r="AR22">
            <v>31342</v>
          </cell>
          <cell r="AS22">
            <v>31342</v>
          </cell>
          <cell r="AT22">
            <v>22133</v>
          </cell>
          <cell r="AU22">
            <v>23135</v>
          </cell>
          <cell r="AV22">
            <v>24780</v>
          </cell>
          <cell r="AW22">
            <v>26168</v>
          </cell>
          <cell r="AX22">
            <v>26168</v>
          </cell>
          <cell r="AY22">
            <v>26527</v>
          </cell>
          <cell r="AZ22">
            <v>19921</v>
          </cell>
          <cell r="BA22">
            <v>22483</v>
          </cell>
          <cell r="BB22">
            <v>28083</v>
          </cell>
          <cell r="BC22">
            <v>28083</v>
          </cell>
          <cell r="BD22">
            <v>28083</v>
          </cell>
          <cell r="BE22">
            <v>28083</v>
          </cell>
          <cell r="BF22">
            <v>28083</v>
          </cell>
          <cell r="BG22">
            <v>28083</v>
          </cell>
          <cell r="BH22">
            <v>28083</v>
          </cell>
          <cell r="BI22">
            <v>28083</v>
          </cell>
          <cell r="BJ22">
            <v>28083</v>
          </cell>
          <cell r="BK22">
            <v>28083</v>
          </cell>
          <cell r="BL22">
            <v>28083</v>
          </cell>
          <cell r="BM22">
            <v>28083</v>
          </cell>
          <cell r="BN22">
            <v>28083</v>
          </cell>
          <cell r="BO22">
            <v>28083</v>
          </cell>
          <cell r="BP22">
            <v>28083</v>
          </cell>
          <cell r="BQ22">
            <v>28083</v>
          </cell>
          <cell r="BR22">
            <v>28083</v>
          </cell>
          <cell r="BZ22" t="str">
            <v>mstag:tradeReceivables</v>
          </cell>
          <cell r="CA22">
            <v>3</v>
          </cell>
          <cell r="CB22" t="str">
            <v>ISO4217:USD</v>
          </cell>
          <cell r="CC22" t="b">
            <v>0</v>
          </cell>
          <cell r="CD22" t="b">
            <v>0</v>
          </cell>
        </row>
        <row r="23">
          <cell r="B23" t="str">
            <v>Straight-line rent receivable, net</v>
          </cell>
          <cell r="F23">
            <v>16033</v>
          </cell>
          <cell r="G23">
            <v>17874</v>
          </cell>
          <cell r="H23">
            <v>19318</v>
          </cell>
          <cell r="I23">
            <v>20332</v>
          </cell>
          <cell r="J23">
            <v>20332</v>
          </cell>
          <cell r="K23">
            <v>21664</v>
          </cell>
          <cell r="L23">
            <v>23581</v>
          </cell>
          <cell r="M23">
            <v>27265</v>
          </cell>
          <cell r="N23">
            <v>29770</v>
          </cell>
          <cell r="O23">
            <v>29770</v>
          </cell>
          <cell r="P23">
            <v>31345</v>
          </cell>
          <cell r="Q23">
            <v>34657</v>
          </cell>
          <cell r="R23">
            <v>38027</v>
          </cell>
          <cell r="S23">
            <v>34512</v>
          </cell>
          <cell r="T23">
            <v>34512</v>
          </cell>
          <cell r="U23">
            <v>37557</v>
          </cell>
          <cell r="V23">
            <v>39611</v>
          </cell>
          <cell r="W23">
            <v>39971</v>
          </cell>
          <cell r="X23">
            <v>42751</v>
          </cell>
          <cell r="Y23">
            <v>42751</v>
          </cell>
          <cell r="Z23">
            <v>44612</v>
          </cell>
          <cell r="AA23">
            <v>46621</v>
          </cell>
          <cell r="AB23">
            <v>49504</v>
          </cell>
          <cell r="AC23">
            <v>52062</v>
          </cell>
          <cell r="AD23">
            <v>52062</v>
          </cell>
          <cell r="AE23">
            <v>55881</v>
          </cell>
          <cell r="AF23">
            <v>61934</v>
          </cell>
          <cell r="AG23">
            <v>66844</v>
          </cell>
          <cell r="AH23">
            <v>71049</v>
          </cell>
          <cell r="AI23">
            <v>71049</v>
          </cell>
          <cell r="AJ23">
            <v>75969</v>
          </cell>
          <cell r="AK23">
            <v>80544</v>
          </cell>
          <cell r="AL23">
            <v>83987</v>
          </cell>
          <cell r="AM23">
            <v>89497</v>
          </cell>
          <cell r="AN23">
            <v>89497</v>
          </cell>
          <cell r="AO23">
            <v>94724</v>
          </cell>
          <cell r="AP23">
            <v>97091</v>
          </cell>
          <cell r="AQ23">
            <v>90654</v>
          </cell>
          <cell r="AR23">
            <v>95948</v>
          </cell>
          <cell r="AS23">
            <v>95948</v>
          </cell>
          <cell r="AT23">
            <v>101296</v>
          </cell>
          <cell r="AU23">
            <v>106035</v>
          </cell>
          <cell r="AV23">
            <v>109484</v>
          </cell>
          <cell r="AW23">
            <v>109887</v>
          </cell>
          <cell r="AX23">
            <v>109887</v>
          </cell>
          <cell r="AY23">
            <v>109691</v>
          </cell>
          <cell r="AZ23">
            <v>107408</v>
          </cell>
          <cell r="BA23">
            <v>110544</v>
          </cell>
          <cell r="BB23">
            <v>116388</v>
          </cell>
          <cell r="BC23">
            <v>116388</v>
          </cell>
          <cell r="BD23">
            <v>120103.08570866476</v>
          </cell>
          <cell r="BE23">
            <v>124033.92421181928</v>
          </cell>
          <cell r="BF23">
            <v>128020.81048364812</v>
          </cell>
          <cell r="BG23">
            <v>132125.64736361455</v>
          </cell>
          <cell r="BH23">
            <v>132125.64736361455</v>
          </cell>
          <cell r="BI23">
            <v>136206.94121573947</v>
          </cell>
          <cell r="BJ23">
            <v>140305.89053159111</v>
          </cell>
          <cell r="BK23">
            <v>144422.58725133428</v>
          </cell>
          <cell r="BL23">
            <v>148557.12366273507</v>
          </cell>
          <cell r="BM23">
            <v>148557.12366273507</v>
          </cell>
          <cell r="BN23">
            <v>152750.65549128302</v>
          </cell>
          <cell r="BO23">
            <v>157007.43471715497</v>
          </cell>
          <cell r="BP23">
            <v>161327.600733514</v>
          </cell>
          <cell r="BQ23">
            <v>165711.29340453801</v>
          </cell>
          <cell r="BR23">
            <v>165711.29340453801</v>
          </cell>
          <cell r="BZ23" t="str">
            <v>mstag:otherReceivables</v>
          </cell>
          <cell r="CA23">
            <v>3</v>
          </cell>
          <cell r="CB23" t="str">
            <v>ISO4217:USD</v>
          </cell>
          <cell r="CC23" t="b">
            <v>0</v>
          </cell>
          <cell r="CD23" t="b">
            <v>0</v>
          </cell>
        </row>
        <row r="24">
          <cell r="B24" t="str">
            <v>Receivables on construction contracts</v>
          </cell>
          <cell r="F24">
            <v>20724</v>
          </cell>
          <cell r="G24">
            <v>17161</v>
          </cell>
          <cell r="H24">
            <v>32253</v>
          </cell>
          <cell r="I24">
            <v>29162</v>
          </cell>
          <cell r="J24">
            <v>29162</v>
          </cell>
          <cell r="K24">
            <v>57933</v>
          </cell>
          <cell r="L24">
            <v>75343</v>
          </cell>
          <cell r="M24">
            <v>32914</v>
          </cell>
          <cell r="N24">
            <v>29537</v>
          </cell>
          <cell r="O24">
            <v>29537</v>
          </cell>
          <cell r="P24">
            <v>32535</v>
          </cell>
          <cell r="Q24">
            <v>40307</v>
          </cell>
          <cell r="R24">
            <v>47501</v>
          </cell>
          <cell r="S24">
            <v>45394</v>
          </cell>
          <cell r="T24">
            <v>45394</v>
          </cell>
          <cell r="U24">
            <v>39636</v>
          </cell>
          <cell r="V24">
            <v>58310</v>
          </cell>
          <cell r="W24">
            <v>47434</v>
          </cell>
          <cell r="X24">
            <v>30077</v>
          </cell>
          <cell r="Y24">
            <v>30077</v>
          </cell>
          <cell r="Z24">
            <v>26764</v>
          </cell>
          <cell r="AA24">
            <v>25876</v>
          </cell>
          <cell r="AB24">
            <v>31388</v>
          </cell>
          <cell r="AC24">
            <v>23181</v>
          </cell>
          <cell r="AD24">
            <v>23181</v>
          </cell>
          <cell r="AE24">
            <v>26438</v>
          </cell>
          <cell r="AF24">
            <v>29523</v>
          </cell>
          <cell r="AG24">
            <v>49594</v>
          </cell>
          <cell r="AH24">
            <v>44905</v>
          </cell>
          <cell r="AI24">
            <v>44905</v>
          </cell>
          <cell r="AJ24">
            <v>42922</v>
          </cell>
          <cell r="AK24">
            <v>55631</v>
          </cell>
          <cell r="AL24">
            <v>53748</v>
          </cell>
          <cell r="AM24">
            <v>59342</v>
          </cell>
          <cell r="AN24">
            <v>59342</v>
          </cell>
          <cell r="AO24">
            <v>70033</v>
          </cell>
          <cell r="AP24">
            <v>75026</v>
          </cell>
          <cell r="AQ24">
            <v>73689</v>
          </cell>
          <cell r="AR24">
            <v>50035</v>
          </cell>
          <cell r="AS24">
            <v>50035</v>
          </cell>
          <cell r="AT24">
            <v>49996</v>
          </cell>
          <cell r="AU24">
            <v>45441</v>
          </cell>
          <cell r="AV24">
            <v>62955</v>
          </cell>
          <cell r="AW24">
            <v>64768</v>
          </cell>
          <cell r="AX24">
            <v>64768</v>
          </cell>
          <cell r="AY24">
            <v>48753</v>
          </cell>
          <cell r="AZ24">
            <v>48911</v>
          </cell>
          <cell r="BA24">
            <v>60190</v>
          </cell>
          <cell r="BB24">
            <v>67675</v>
          </cell>
          <cell r="BC24">
            <v>67675</v>
          </cell>
          <cell r="BD24">
            <v>67675</v>
          </cell>
          <cell r="BE24">
            <v>67675</v>
          </cell>
          <cell r="BF24">
            <v>67675</v>
          </cell>
          <cell r="BG24">
            <v>67675</v>
          </cell>
          <cell r="BH24">
            <v>67675</v>
          </cell>
          <cell r="BI24">
            <v>67675</v>
          </cell>
          <cell r="BJ24">
            <v>67675</v>
          </cell>
          <cell r="BK24">
            <v>67675</v>
          </cell>
          <cell r="BL24">
            <v>67675</v>
          </cell>
          <cell r="BM24">
            <v>67675</v>
          </cell>
          <cell r="BN24">
            <v>67675</v>
          </cell>
          <cell r="BO24">
            <v>67675</v>
          </cell>
          <cell r="BP24">
            <v>67675</v>
          </cell>
          <cell r="BQ24">
            <v>67675</v>
          </cell>
          <cell r="BR24">
            <v>67675</v>
          </cell>
          <cell r="BZ24" t="str">
            <v>mstag:otherReceivables</v>
          </cell>
          <cell r="CA24">
            <v>3</v>
          </cell>
          <cell r="CB24" t="str">
            <v>ISO4217:USD</v>
          </cell>
          <cell r="CC24" t="b">
            <v>0</v>
          </cell>
          <cell r="CD24" t="b">
            <v>0</v>
          </cell>
        </row>
        <row r="25">
          <cell r="B25" t="str">
            <v>Deferred financing costs</v>
          </cell>
          <cell r="F25">
            <v>10562</v>
          </cell>
          <cell r="G25">
            <v>11847</v>
          </cell>
          <cell r="H25">
            <v>11473</v>
          </cell>
          <cell r="I25">
            <v>11382</v>
          </cell>
          <cell r="J25">
            <v>11382</v>
          </cell>
          <cell r="K25">
            <v>12946</v>
          </cell>
          <cell r="L25">
            <v>15014</v>
          </cell>
          <cell r="M25">
            <v>14860</v>
          </cell>
          <cell r="N25">
            <v>16651</v>
          </cell>
          <cell r="O25">
            <v>16651</v>
          </cell>
          <cell r="P25">
            <v>16149</v>
          </cell>
          <cell r="Q25">
            <v>15611</v>
          </cell>
          <cell r="R25">
            <v>13504</v>
          </cell>
          <cell r="S25">
            <v>12540</v>
          </cell>
          <cell r="T25">
            <v>12540</v>
          </cell>
          <cell r="U25">
            <v>14897</v>
          </cell>
          <cell r="V25">
            <v>13998</v>
          </cell>
          <cell r="W25">
            <v>13491</v>
          </cell>
          <cell r="X25">
            <v>12550</v>
          </cell>
          <cell r="Y25">
            <v>12550</v>
          </cell>
          <cell r="Z25">
            <v>11665</v>
          </cell>
          <cell r="AA25">
            <v>10641</v>
          </cell>
          <cell r="AB25">
            <v>12310</v>
          </cell>
          <cell r="AC25">
            <v>11493</v>
          </cell>
          <cell r="AD25">
            <v>11493</v>
          </cell>
          <cell r="AE25">
            <v>13105</v>
          </cell>
          <cell r="AF25">
            <v>13399</v>
          </cell>
          <cell r="AG25">
            <v>12727</v>
          </cell>
          <cell r="AH25">
            <v>13421</v>
          </cell>
          <cell r="AI25">
            <v>13421</v>
          </cell>
          <cell r="AJ25">
            <v>16313</v>
          </cell>
          <cell r="AK25">
            <v>15501</v>
          </cell>
          <cell r="AL25">
            <v>39710</v>
          </cell>
          <cell r="AM25">
            <v>31924</v>
          </cell>
          <cell r="AN25">
            <v>31924</v>
          </cell>
          <cell r="AO25">
            <v>31013</v>
          </cell>
          <cell r="AP25">
            <v>29681</v>
          </cell>
          <cell r="AQ25">
            <v>28312</v>
          </cell>
          <cell r="AR25">
            <v>27118</v>
          </cell>
          <cell r="AS25">
            <v>27118</v>
          </cell>
          <cell r="AT25">
            <v>44311</v>
          </cell>
          <cell r="AU25">
            <v>43148</v>
          </cell>
          <cell r="AV25">
            <v>50916</v>
          </cell>
          <cell r="AW25">
            <v>62277</v>
          </cell>
          <cell r="AX25">
            <v>62277</v>
          </cell>
          <cell r="AY25">
            <v>60898</v>
          </cell>
          <cell r="AZ25">
            <v>56984</v>
          </cell>
          <cell r="BA25">
            <v>57579</v>
          </cell>
          <cell r="BB25">
            <v>55987</v>
          </cell>
          <cell r="BC25">
            <v>55987</v>
          </cell>
          <cell r="BD25">
            <v>55987</v>
          </cell>
          <cell r="BE25">
            <v>55987</v>
          </cell>
          <cell r="BF25">
            <v>55987</v>
          </cell>
          <cell r="BG25">
            <v>55987</v>
          </cell>
          <cell r="BH25">
            <v>55987</v>
          </cell>
          <cell r="BI25">
            <v>55987</v>
          </cell>
          <cell r="BJ25">
            <v>55987</v>
          </cell>
          <cell r="BK25">
            <v>55987</v>
          </cell>
          <cell r="BL25">
            <v>55987</v>
          </cell>
          <cell r="BM25">
            <v>55987</v>
          </cell>
          <cell r="BN25">
            <v>55987</v>
          </cell>
          <cell r="BO25">
            <v>55987</v>
          </cell>
          <cell r="BP25">
            <v>55987</v>
          </cell>
          <cell r="BQ25">
            <v>55987</v>
          </cell>
          <cell r="BR25">
            <v>55987</v>
          </cell>
          <cell r="BZ25" t="str">
            <v>mstag:otherAssetsNonOperating</v>
          </cell>
          <cell r="CA25">
            <v>3</v>
          </cell>
          <cell r="CB25" t="str">
            <v>ISO4217:USD</v>
          </cell>
          <cell r="CC25" t="b">
            <v>0</v>
          </cell>
          <cell r="CD25" t="b">
            <v>0</v>
          </cell>
        </row>
        <row r="26">
          <cell r="B26" t="str">
            <v>Deferred leasing and other costs</v>
          </cell>
          <cell r="F26">
            <v>37588</v>
          </cell>
          <cell r="G26">
            <v>42060</v>
          </cell>
          <cell r="H26">
            <v>45749</v>
          </cell>
          <cell r="I26">
            <v>53281</v>
          </cell>
          <cell r="J26">
            <v>53281</v>
          </cell>
          <cell r="K26">
            <v>52642</v>
          </cell>
          <cell r="L26">
            <v>57720</v>
          </cell>
          <cell r="M26">
            <v>67880</v>
          </cell>
          <cell r="N26">
            <v>83153</v>
          </cell>
          <cell r="O26">
            <v>83153</v>
          </cell>
          <cell r="P26">
            <v>89536</v>
          </cell>
          <cell r="Q26">
            <v>99183</v>
          </cell>
          <cell r="R26">
            <v>106418</v>
          </cell>
          <cell r="S26">
            <v>102413</v>
          </cell>
          <cell r="T26">
            <v>102413</v>
          </cell>
          <cell r="U26">
            <v>104948</v>
          </cell>
          <cell r="V26">
            <v>97890</v>
          </cell>
          <cell r="W26">
            <v>94336</v>
          </cell>
          <cell r="X26">
            <v>97117</v>
          </cell>
          <cell r="Y26">
            <v>97117</v>
          </cell>
          <cell r="Z26">
            <v>95475</v>
          </cell>
          <cell r="AA26">
            <v>98695</v>
          </cell>
          <cell r="AB26">
            <v>101138</v>
          </cell>
          <cell r="AC26">
            <v>112772</v>
          </cell>
          <cell r="AD26">
            <v>112772</v>
          </cell>
          <cell r="AE26">
            <v>121986</v>
          </cell>
          <cell r="AF26">
            <v>127026</v>
          </cell>
          <cell r="AG26">
            <v>139959</v>
          </cell>
          <cell r="AH26">
            <v>158562</v>
          </cell>
          <cell r="AI26">
            <v>158562</v>
          </cell>
          <cell r="AJ26">
            <v>165040</v>
          </cell>
          <cell r="AK26">
            <v>173253</v>
          </cell>
          <cell r="AL26">
            <v>202346</v>
          </cell>
          <cell r="AM26">
            <v>203882</v>
          </cell>
          <cell r="AN26">
            <v>203882</v>
          </cell>
          <cell r="AO26">
            <v>205556</v>
          </cell>
          <cell r="AP26">
            <v>259782</v>
          </cell>
          <cell r="AQ26">
            <v>239733</v>
          </cell>
          <cell r="AR26">
            <v>227648</v>
          </cell>
          <cell r="AS26">
            <v>227648</v>
          </cell>
          <cell r="AT26">
            <v>306453</v>
          </cell>
          <cell r="AU26">
            <v>344424</v>
          </cell>
          <cell r="AV26">
            <v>350368</v>
          </cell>
          <cell r="AW26">
            <v>321419</v>
          </cell>
          <cell r="AX26">
            <v>321419</v>
          </cell>
          <cell r="AY26">
            <v>374052</v>
          </cell>
          <cell r="AZ26">
            <v>332889</v>
          </cell>
          <cell r="BA26">
            <v>367729</v>
          </cell>
          <cell r="BB26">
            <v>386832</v>
          </cell>
          <cell r="BC26">
            <v>386832</v>
          </cell>
          <cell r="BD26">
            <v>386832</v>
          </cell>
          <cell r="BE26">
            <v>386832</v>
          </cell>
          <cell r="BF26">
            <v>386832</v>
          </cell>
          <cell r="BG26">
            <v>386832</v>
          </cell>
          <cell r="BH26">
            <v>386832</v>
          </cell>
          <cell r="BI26">
            <v>386832</v>
          </cell>
          <cell r="BJ26">
            <v>386832</v>
          </cell>
          <cell r="BK26">
            <v>386832</v>
          </cell>
          <cell r="BL26">
            <v>386832</v>
          </cell>
          <cell r="BM26">
            <v>386832</v>
          </cell>
          <cell r="BN26">
            <v>386832</v>
          </cell>
          <cell r="BO26">
            <v>386832</v>
          </cell>
          <cell r="BP26">
            <v>386832</v>
          </cell>
          <cell r="BQ26">
            <v>386832</v>
          </cell>
          <cell r="BR26">
            <v>386832</v>
          </cell>
          <cell r="BZ26" t="str">
            <v>mstag:otherAssetsNonOperating</v>
          </cell>
          <cell r="CA26">
            <v>3</v>
          </cell>
          <cell r="CB26" t="str">
            <v>ISO4217:USD</v>
          </cell>
          <cell r="CC26" t="b">
            <v>0</v>
          </cell>
          <cell r="CD26" t="b">
            <v>0</v>
          </cell>
        </row>
        <row r="27">
          <cell r="B27" t="str">
            <v>Escrow deposits and other assets</v>
          </cell>
          <cell r="F27">
            <v>17384</v>
          </cell>
          <cell r="G27">
            <v>22792</v>
          </cell>
          <cell r="H27">
            <v>32525</v>
          </cell>
          <cell r="I27">
            <v>40406</v>
          </cell>
          <cell r="J27">
            <v>40406</v>
          </cell>
          <cell r="K27">
            <v>47042</v>
          </cell>
          <cell r="L27">
            <v>56867</v>
          </cell>
          <cell r="M27">
            <v>75369</v>
          </cell>
          <cell r="N27">
            <v>89122</v>
          </cell>
          <cell r="O27">
            <v>89122</v>
          </cell>
          <cell r="P27">
            <v>177761</v>
          </cell>
          <cell r="Q27">
            <v>178533</v>
          </cell>
          <cell r="R27">
            <v>89746</v>
          </cell>
          <cell r="S27">
            <v>132097</v>
          </cell>
          <cell r="T27">
            <v>132097</v>
          </cell>
          <cell r="U27">
            <v>115661</v>
          </cell>
          <cell r="V27">
            <v>111100</v>
          </cell>
          <cell r="W27">
            <v>124239</v>
          </cell>
          <cell r="X27">
            <v>87485</v>
          </cell>
          <cell r="Y27">
            <v>87485</v>
          </cell>
          <cell r="Z27">
            <v>87651</v>
          </cell>
          <cell r="AA27">
            <v>114252</v>
          </cell>
          <cell r="AB27">
            <v>114274</v>
          </cell>
          <cell r="AC27">
            <v>98109</v>
          </cell>
          <cell r="AD27">
            <v>98109</v>
          </cell>
          <cell r="AE27">
            <v>109960</v>
          </cell>
          <cell r="AF27">
            <v>113154</v>
          </cell>
          <cell r="AG27">
            <v>114265</v>
          </cell>
          <cell r="AH27">
            <v>97380</v>
          </cell>
          <cell r="AI27">
            <v>97380</v>
          </cell>
          <cell r="AJ27">
            <v>164783</v>
          </cell>
          <cell r="AK27">
            <v>166090</v>
          </cell>
          <cell r="AL27">
            <v>110074</v>
          </cell>
          <cell r="AM27">
            <v>110096</v>
          </cell>
          <cell r="AN27">
            <v>110096</v>
          </cell>
          <cell r="AO27">
            <v>123642</v>
          </cell>
          <cell r="AP27">
            <v>126811</v>
          </cell>
          <cell r="AQ27">
            <v>160308</v>
          </cell>
          <cell r="AR27">
            <v>154315</v>
          </cell>
          <cell r="AS27">
            <v>154315</v>
          </cell>
          <cell r="AT27">
            <v>178114</v>
          </cell>
          <cell r="AU27">
            <v>201220</v>
          </cell>
          <cell r="AV27">
            <v>168797</v>
          </cell>
          <cell r="AW27">
            <v>175997</v>
          </cell>
          <cell r="AX27">
            <v>175997</v>
          </cell>
          <cell r="AY27">
            <v>213506</v>
          </cell>
          <cell r="AZ27">
            <v>232153</v>
          </cell>
          <cell r="BA27">
            <v>247723</v>
          </cell>
          <cell r="BB27">
            <v>255871</v>
          </cell>
          <cell r="BC27">
            <v>255871</v>
          </cell>
          <cell r="BD27">
            <v>255871</v>
          </cell>
          <cell r="BE27">
            <v>255871</v>
          </cell>
          <cell r="BF27">
            <v>255871</v>
          </cell>
          <cell r="BG27">
            <v>255871</v>
          </cell>
          <cell r="BH27">
            <v>255871</v>
          </cell>
          <cell r="BI27">
            <v>255871</v>
          </cell>
          <cell r="BJ27">
            <v>255871</v>
          </cell>
          <cell r="BK27">
            <v>255871</v>
          </cell>
          <cell r="BL27">
            <v>255871</v>
          </cell>
          <cell r="BM27">
            <v>255871</v>
          </cell>
          <cell r="BN27">
            <v>255871</v>
          </cell>
          <cell r="BO27">
            <v>255871</v>
          </cell>
          <cell r="BP27">
            <v>255871</v>
          </cell>
          <cell r="BQ27">
            <v>255871</v>
          </cell>
          <cell r="BR27">
            <v>255871</v>
          </cell>
          <cell r="BZ27" t="str">
            <v>mstag:otherAssets</v>
          </cell>
          <cell r="CA27">
            <v>3</v>
          </cell>
          <cell r="CB27" t="str">
            <v>ISO4217:USD</v>
          </cell>
          <cell r="CC27" t="b">
            <v>0</v>
          </cell>
          <cell r="CD27" t="b">
            <v>0</v>
          </cell>
        </row>
        <row r="29">
          <cell r="B29" t="str">
            <v>Total Assets</v>
          </cell>
          <cell r="F29">
            <v>2298853</v>
          </cell>
          <cell r="G29">
            <v>2530801</v>
          </cell>
          <cell r="H29">
            <v>2651009</v>
          </cell>
          <cell r="I29">
            <v>2853653</v>
          </cell>
          <cell r="J29">
            <v>2853653</v>
          </cell>
          <cell r="K29">
            <v>3068855</v>
          </cell>
          <cell r="L29">
            <v>3427712</v>
          </cell>
          <cell r="M29">
            <v>5334662</v>
          </cell>
          <cell r="N29">
            <v>5486238</v>
          </cell>
          <cell r="O29">
            <v>5486238</v>
          </cell>
          <cell r="P29">
            <v>5646440</v>
          </cell>
          <cell r="Q29">
            <v>5729836</v>
          </cell>
          <cell r="R29">
            <v>5625895</v>
          </cell>
          <cell r="S29">
            <v>5460036</v>
          </cell>
          <cell r="T29">
            <v>5460036</v>
          </cell>
          <cell r="U29">
            <v>5479442</v>
          </cell>
          <cell r="V29">
            <v>5490486</v>
          </cell>
          <cell r="W29">
            <v>5304002</v>
          </cell>
          <cell r="X29">
            <v>5330033</v>
          </cell>
          <cell r="Y29">
            <v>5330033</v>
          </cell>
          <cell r="Z29">
            <v>5243468</v>
          </cell>
          <cell r="AA29">
            <v>5235891</v>
          </cell>
          <cell r="AB29">
            <v>5299464</v>
          </cell>
          <cell r="AC29">
            <v>5348823</v>
          </cell>
          <cell r="AD29">
            <v>5348823</v>
          </cell>
          <cell r="AE29">
            <v>5381023</v>
          </cell>
          <cell r="AF29">
            <v>5430926</v>
          </cell>
          <cell r="AG29">
            <v>5554955</v>
          </cell>
          <cell r="AH29">
            <v>5561249</v>
          </cell>
          <cell r="AI29">
            <v>5561249</v>
          </cell>
          <cell r="AJ29">
            <v>5626464</v>
          </cell>
          <cell r="AK29">
            <v>5735114</v>
          </cell>
          <cell r="AL29">
            <v>5882080</v>
          </cell>
          <cell r="AM29">
            <v>5896643</v>
          </cell>
          <cell r="AN29">
            <v>5896643</v>
          </cell>
          <cell r="AO29">
            <v>5945877</v>
          </cell>
          <cell r="AP29">
            <v>6204145</v>
          </cell>
          <cell r="AQ29">
            <v>5657032</v>
          </cell>
          <cell r="AR29">
            <v>5648810</v>
          </cell>
          <cell r="AS29">
            <v>5648810</v>
          </cell>
          <cell r="AT29">
            <v>6704019</v>
          </cell>
          <cell r="AU29">
            <v>7014473</v>
          </cell>
          <cell r="AV29">
            <v>7273542</v>
          </cell>
          <cell r="AW29">
            <v>7238594</v>
          </cell>
          <cell r="AX29">
            <v>7238594</v>
          </cell>
          <cell r="AY29">
            <v>7272485</v>
          </cell>
          <cell r="AZ29">
            <v>7302888</v>
          </cell>
          <cell r="BA29">
            <v>7416842</v>
          </cell>
          <cell r="BB29">
            <v>7661980.9584999997</v>
          </cell>
          <cell r="BC29">
            <v>7661980.9584999997</v>
          </cell>
          <cell r="BD29">
            <v>7679978.1395251341</v>
          </cell>
          <cell r="BE29">
            <v>7866865.7645122083</v>
          </cell>
          <cell r="BF29">
            <v>8010194.0686122011</v>
          </cell>
          <cell r="BG29">
            <v>8053872.4105991814</v>
          </cell>
          <cell r="BH29">
            <v>8053872.4105991814</v>
          </cell>
          <cell r="BI29">
            <v>8092529.1269715391</v>
          </cell>
          <cell r="BJ29">
            <v>8130465.1856069611</v>
          </cell>
          <cell r="BK29">
            <v>8166700.2268340886</v>
          </cell>
          <cell r="BL29">
            <v>8201232.6288106665</v>
          </cell>
          <cell r="BM29">
            <v>8201232.6288106665</v>
          </cell>
          <cell r="BN29">
            <v>8246871.9371778239</v>
          </cell>
          <cell r="BO29">
            <v>8293772.4103602376</v>
          </cell>
          <cell r="BP29">
            <v>8339059.7448564833</v>
          </cell>
          <cell r="BQ29">
            <v>8382728.3712378927</v>
          </cell>
          <cell r="BR29">
            <v>8382728.3712378927</v>
          </cell>
        </row>
        <row r="31">
          <cell r="A31" t="str">
            <v>Liabilities and Shareholder's Equity</v>
          </cell>
        </row>
        <row r="32">
          <cell r="B32" t="str">
            <v>Secured debt</v>
          </cell>
          <cell r="F32">
            <v>363898</v>
          </cell>
          <cell r="G32">
            <v>363584</v>
          </cell>
          <cell r="H32">
            <v>328045</v>
          </cell>
          <cell r="I32">
            <v>326317</v>
          </cell>
          <cell r="J32">
            <v>326317</v>
          </cell>
          <cell r="K32">
            <v>333560</v>
          </cell>
          <cell r="L32">
            <v>341556</v>
          </cell>
          <cell r="M32">
            <v>522997</v>
          </cell>
          <cell r="N32">
            <v>528665</v>
          </cell>
          <cell r="O32">
            <v>528665</v>
          </cell>
          <cell r="P32">
            <v>541685</v>
          </cell>
          <cell r="Q32">
            <v>559985</v>
          </cell>
          <cell r="R32">
            <v>448105</v>
          </cell>
          <cell r="S32">
            <v>466624</v>
          </cell>
          <cell r="T32">
            <v>466624</v>
          </cell>
          <cell r="U32">
            <v>449652</v>
          </cell>
          <cell r="V32">
            <v>442287</v>
          </cell>
          <cell r="W32">
            <v>367522</v>
          </cell>
          <cell r="X32">
            <v>318484</v>
          </cell>
          <cell r="Y32">
            <v>318484</v>
          </cell>
          <cell r="Z32">
            <v>323472</v>
          </cell>
          <cell r="AA32">
            <v>318960</v>
          </cell>
          <cell r="AB32">
            <v>308911</v>
          </cell>
          <cell r="AC32">
            <v>299147</v>
          </cell>
          <cell r="AD32">
            <v>299147</v>
          </cell>
          <cell r="AE32">
            <v>275558</v>
          </cell>
          <cell r="AF32">
            <v>273862</v>
          </cell>
          <cell r="AG32">
            <v>195601</v>
          </cell>
          <cell r="AH32">
            <v>208649</v>
          </cell>
          <cell r="AI32">
            <v>208649</v>
          </cell>
          <cell r="AJ32">
            <v>206849</v>
          </cell>
          <cell r="AK32">
            <v>187919</v>
          </cell>
          <cell r="AL32">
            <v>204942</v>
          </cell>
          <cell r="AM32">
            <v>203081</v>
          </cell>
          <cell r="AN32">
            <v>203081</v>
          </cell>
          <cell r="AO32">
            <v>201188</v>
          </cell>
          <cell r="AP32">
            <v>204999</v>
          </cell>
          <cell r="AQ32">
            <v>168851</v>
          </cell>
          <cell r="AR32">
            <v>167255</v>
          </cell>
          <cell r="AS32">
            <v>167255</v>
          </cell>
          <cell r="AT32">
            <v>1013312</v>
          </cell>
          <cell r="AU32">
            <v>1063656</v>
          </cell>
          <cell r="AV32">
            <v>371465</v>
          </cell>
          <cell r="AW32">
            <v>662501</v>
          </cell>
          <cell r="AX32">
            <v>662501</v>
          </cell>
          <cell r="AY32">
            <v>655918</v>
          </cell>
          <cell r="AZ32">
            <v>521396</v>
          </cell>
          <cell r="BA32">
            <v>492538</v>
          </cell>
          <cell r="BB32">
            <v>524393</v>
          </cell>
          <cell r="BC32">
            <v>524393</v>
          </cell>
          <cell r="BD32">
            <v>524393</v>
          </cell>
          <cell r="BE32">
            <v>524393</v>
          </cell>
          <cell r="BF32">
            <v>524393</v>
          </cell>
          <cell r="BG32">
            <v>524393</v>
          </cell>
          <cell r="BH32">
            <v>524393</v>
          </cell>
          <cell r="BI32">
            <v>524393</v>
          </cell>
          <cell r="BJ32">
            <v>524393</v>
          </cell>
          <cell r="BK32">
            <v>524393</v>
          </cell>
          <cell r="BL32">
            <v>524393</v>
          </cell>
          <cell r="BM32">
            <v>524393</v>
          </cell>
          <cell r="BN32">
            <v>524393</v>
          </cell>
          <cell r="BO32">
            <v>524393</v>
          </cell>
          <cell r="BP32">
            <v>524393</v>
          </cell>
          <cell r="BQ32">
            <v>524393</v>
          </cell>
          <cell r="BR32">
            <v>524393</v>
          </cell>
          <cell r="BZ32" t="str">
            <v>mstag:longTermDebtSecured</v>
          </cell>
          <cell r="CA32">
            <v>3</v>
          </cell>
          <cell r="CB32" t="str">
            <v>ISO4217:USD</v>
          </cell>
          <cell r="CC32" t="b">
            <v>0</v>
          </cell>
          <cell r="CD32" t="b">
            <v>0</v>
          </cell>
        </row>
        <row r="33">
          <cell r="B33" t="str">
            <v>Unsecured notes</v>
          </cell>
          <cell r="F33">
            <v>440000</v>
          </cell>
          <cell r="G33">
            <v>590000</v>
          </cell>
          <cell r="H33">
            <v>590000</v>
          </cell>
          <cell r="I33">
            <v>590000</v>
          </cell>
          <cell r="J33">
            <v>590000</v>
          </cell>
          <cell r="K33">
            <v>715000</v>
          </cell>
          <cell r="L33">
            <v>890000</v>
          </cell>
          <cell r="M33">
            <v>1176860</v>
          </cell>
          <cell r="N33">
            <v>1326811</v>
          </cell>
          <cell r="O33">
            <v>1326811</v>
          </cell>
          <cell r="P33">
            <v>1326762</v>
          </cell>
          <cell r="Q33">
            <v>1326711</v>
          </cell>
          <cell r="R33">
            <v>1286660</v>
          </cell>
          <cell r="S33">
            <v>1286591</v>
          </cell>
          <cell r="T33">
            <v>1286591</v>
          </cell>
          <cell r="U33">
            <v>1461537</v>
          </cell>
          <cell r="V33">
            <v>1461483</v>
          </cell>
          <cell r="W33">
            <v>1376428</v>
          </cell>
          <cell r="X33">
            <v>1376372</v>
          </cell>
          <cell r="Y33">
            <v>1376372</v>
          </cell>
          <cell r="Z33">
            <v>1376315</v>
          </cell>
          <cell r="AA33">
            <v>1376257</v>
          </cell>
          <cell r="AB33">
            <v>1526198</v>
          </cell>
          <cell r="AC33">
            <v>1526138</v>
          </cell>
          <cell r="AD33">
            <v>1526138</v>
          </cell>
          <cell r="AE33">
            <v>1701077</v>
          </cell>
          <cell r="AF33">
            <v>1676015</v>
          </cell>
          <cell r="AG33">
            <v>1675951</v>
          </cell>
          <cell r="AH33">
            <v>1775887</v>
          </cell>
          <cell r="AI33">
            <v>1775887</v>
          </cell>
          <cell r="AJ33">
            <v>1965821</v>
          </cell>
          <cell r="AK33">
            <v>1965755</v>
          </cell>
          <cell r="AL33">
            <v>2115687</v>
          </cell>
          <cell r="AM33">
            <v>2315623</v>
          </cell>
          <cell r="AN33">
            <v>2315623</v>
          </cell>
          <cell r="AO33">
            <v>2150565</v>
          </cell>
          <cell r="AP33">
            <v>2550509</v>
          </cell>
          <cell r="AQ33">
            <v>2050453</v>
          </cell>
          <cell r="AR33">
            <v>2050396</v>
          </cell>
          <cell r="AS33">
            <v>2050396</v>
          </cell>
          <cell r="AT33">
            <v>2100337</v>
          </cell>
          <cell r="AU33">
            <v>2100278</v>
          </cell>
          <cell r="AV33">
            <v>2800218</v>
          </cell>
          <cell r="AW33">
            <v>3129653</v>
          </cell>
          <cell r="AX33">
            <v>3129653</v>
          </cell>
          <cell r="AY33">
            <v>3135402</v>
          </cell>
          <cell r="AZ33">
            <v>3143351</v>
          </cell>
          <cell r="BA33">
            <v>3368920</v>
          </cell>
          <cell r="BB33">
            <v>3246000</v>
          </cell>
          <cell r="BC33">
            <v>3246000</v>
          </cell>
          <cell r="BD33">
            <v>3278797.1761049558</v>
          </cell>
          <cell r="BE33">
            <v>3412328.0625401791</v>
          </cell>
          <cell r="BF33">
            <v>3522513.831212888</v>
          </cell>
          <cell r="BG33">
            <v>3573650.9441727023</v>
          </cell>
          <cell r="BH33">
            <v>3573650.9441727023</v>
          </cell>
          <cell r="BI33">
            <v>3617947.2824278949</v>
          </cell>
          <cell r="BJ33">
            <v>3663626.8451926587</v>
          </cell>
          <cell r="BK33">
            <v>3709962.3307311414</v>
          </cell>
          <cell r="BL33">
            <v>3757097.5973968101</v>
          </cell>
          <cell r="BM33">
            <v>3757097.5973968101</v>
          </cell>
          <cell r="BN33">
            <v>3810412.2951881555</v>
          </cell>
          <cell r="BO33">
            <v>3865826.0880021979</v>
          </cell>
          <cell r="BP33">
            <v>3921365.6099256258</v>
          </cell>
          <cell r="BQ33">
            <v>3977154.8987663174</v>
          </cell>
          <cell r="BR33">
            <v>3977154.8987663174</v>
          </cell>
          <cell r="BZ33" t="str">
            <v>mstag:longTermDebtUnsecured</v>
          </cell>
          <cell r="CA33">
            <v>3</v>
          </cell>
          <cell r="CB33" t="str">
            <v>ISO4217:USD</v>
          </cell>
          <cell r="CC33" t="b">
            <v>0</v>
          </cell>
          <cell r="CD33" t="b">
            <v>0</v>
          </cell>
        </row>
        <row r="34">
          <cell r="B34" t="str">
            <v>Unsecured lines of credit</v>
          </cell>
          <cell r="F34">
            <v>0</v>
          </cell>
          <cell r="G34">
            <v>0</v>
          </cell>
          <cell r="H34">
            <v>109000</v>
          </cell>
          <cell r="I34">
            <v>91000</v>
          </cell>
          <cell r="J34">
            <v>91000</v>
          </cell>
          <cell r="K34">
            <v>65000</v>
          </cell>
          <cell r="L34">
            <v>159000</v>
          </cell>
          <cell r="M34">
            <v>265000</v>
          </cell>
          <cell r="N34">
            <v>258000</v>
          </cell>
          <cell r="O34">
            <v>258000</v>
          </cell>
          <cell r="P34">
            <v>408000</v>
          </cell>
          <cell r="Q34">
            <v>463000</v>
          </cell>
          <cell r="R34">
            <v>466000</v>
          </cell>
          <cell r="S34">
            <v>220000</v>
          </cell>
          <cell r="T34">
            <v>220000</v>
          </cell>
          <cell r="U34">
            <v>15000</v>
          </cell>
          <cell r="V34">
            <v>0</v>
          </cell>
          <cell r="W34">
            <v>20000</v>
          </cell>
          <cell r="X34">
            <v>120000</v>
          </cell>
          <cell r="Y34">
            <v>120000</v>
          </cell>
          <cell r="Z34">
            <v>38000</v>
          </cell>
          <cell r="AA34">
            <v>40000</v>
          </cell>
          <cell r="AB34">
            <v>29000</v>
          </cell>
          <cell r="AC34">
            <v>281000</v>
          </cell>
          <cell r="AD34">
            <v>281000</v>
          </cell>
          <cell r="AE34">
            <v>205000</v>
          </cell>
          <cell r="AF34">
            <v>285000</v>
          </cell>
          <cell r="AG34">
            <v>385000</v>
          </cell>
          <cell r="AH34">
            <v>351000</v>
          </cell>
          <cell r="AI34">
            <v>351000</v>
          </cell>
          <cell r="AJ34">
            <v>230000</v>
          </cell>
          <cell r="AK34">
            <v>376000</v>
          </cell>
          <cell r="AL34">
            <v>339000</v>
          </cell>
          <cell r="AM34">
            <v>0</v>
          </cell>
          <cell r="AN34">
            <v>0</v>
          </cell>
          <cell r="AO34">
            <v>272000</v>
          </cell>
          <cell r="AP34">
            <v>120000</v>
          </cell>
          <cell r="AQ34">
            <v>0</v>
          </cell>
          <cell r="AR34">
            <v>383000</v>
          </cell>
          <cell r="AS34">
            <v>383000</v>
          </cell>
          <cell r="AT34">
            <v>508000</v>
          </cell>
          <cell r="AU34">
            <v>670000</v>
          </cell>
          <cell r="AV34">
            <v>904000</v>
          </cell>
          <cell r="AW34">
            <v>317000</v>
          </cell>
          <cell r="AX34">
            <v>317000</v>
          </cell>
          <cell r="AY34">
            <v>330000</v>
          </cell>
          <cell r="AZ34">
            <v>440000</v>
          </cell>
          <cell r="BA34">
            <v>304224</v>
          </cell>
          <cell r="BB34">
            <v>508141</v>
          </cell>
          <cell r="BC34">
            <v>508141</v>
          </cell>
          <cell r="BD34">
            <v>530005.78406997048</v>
          </cell>
          <cell r="BE34">
            <v>619026.37502678612</v>
          </cell>
          <cell r="BF34">
            <v>692483.55414192553</v>
          </cell>
          <cell r="BG34">
            <v>726574.9627818017</v>
          </cell>
          <cell r="BH34">
            <v>726574.9627818017</v>
          </cell>
          <cell r="BI34">
            <v>756105.85495193023</v>
          </cell>
          <cell r="BJ34">
            <v>786558.89679510612</v>
          </cell>
          <cell r="BK34">
            <v>817449.22048742778</v>
          </cell>
          <cell r="BL34">
            <v>848872.73159787338</v>
          </cell>
          <cell r="BM34">
            <v>848872.73159787338</v>
          </cell>
          <cell r="BN34">
            <v>884415.86345877033</v>
          </cell>
          <cell r="BO34">
            <v>921358.39200146531</v>
          </cell>
          <cell r="BP34">
            <v>958384.73995041731</v>
          </cell>
          <cell r="BQ34">
            <v>995577.59917754505</v>
          </cell>
          <cell r="BR34">
            <v>995577.59917754505</v>
          </cell>
          <cell r="BZ34" t="str">
            <v>mstag:longTermDebtUnsecured</v>
          </cell>
          <cell r="CA34">
            <v>3</v>
          </cell>
          <cell r="CB34" t="str">
            <v>ISO4217:USD</v>
          </cell>
          <cell r="CC34" t="b">
            <v>0</v>
          </cell>
          <cell r="CD34" t="b">
            <v>0</v>
          </cell>
        </row>
        <row r="36">
          <cell r="B36" t="str">
            <v>Liabilities of Properties Held for Sale</v>
          </cell>
          <cell r="BA36">
            <v>37926</v>
          </cell>
          <cell r="BB36">
            <v>37926</v>
          </cell>
          <cell r="BC36">
            <v>37926</v>
          </cell>
          <cell r="BD36">
            <v>37926</v>
          </cell>
          <cell r="BE36">
            <v>37926</v>
          </cell>
          <cell r="BF36">
            <v>37926</v>
          </cell>
          <cell r="BG36">
            <v>37926</v>
          </cell>
          <cell r="BH36">
            <v>37926</v>
          </cell>
          <cell r="BI36">
            <v>37926</v>
          </cell>
          <cell r="BJ36">
            <v>37926</v>
          </cell>
          <cell r="BK36">
            <v>37926</v>
          </cell>
          <cell r="BL36">
            <v>37926</v>
          </cell>
          <cell r="BM36">
            <v>37926</v>
          </cell>
          <cell r="BN36">
            <v>37926</v>
          </cell>
          <cell r="BO36">
            <v>37926</v>
          </cell>
          <cell r="BP36">
            <v>37926</v>
          </cell>
          <cell r="BQ36">
            <v>37926</v>
          </cell>
          <cell r="BR36">
            <v>37926</v>
          </cell>
          <cell r="BZ36" t="str">
            <v>mstag:liabilitiesOfDiscontinuedOperations</v>
          </cell>
          <cell r="CA36">
            <v>3</v>
          </cell>
          <cell r="CB36" t="str">
            <v>ISO4217:USD</v>
          </cell>
          <cell r="CC36" t="b">
            <v>0</v>
          </cell>
          <cell r="CD36" t="b">
            <v>0</v>
          </cell>
        </row>
        <row r="38">
          <cell r="B38" t="str">
            <v>Construction payables &amp; amts due subcontractors</v>
          </cell>
          <cell r="F38">
            <v>33675</v>
          </cell>
          <cell r="G38">
            <v>33062</v>
          </cell>
          <cell r="H38">
            <v>43028</v>
          </cell>
          <cell r="I38">
            <v>55012</v>
          </cell>
          <cell r="J38">
            <v>55012</v>
          </cell>
          <cell r="K38">
            <v>49692</v>
          </cell>
          <cell r="L38">
            <v>60776</v>
          </cell>
          <cell r="M38">
            <v>92752</v>
          </cell>
          <cell r="N38">
            <v>89985</v>
          </cell>
          <cell r="O38">
            <v>89985</v>
          </cell>
          <cell r="P38">
            <v>73166</v>
          </cell>
          <cell r="Q38">
            <v>63868</v>
          </cell>
          <cell r="R38">
            <v>89607</v>
          </cell>
          <cell r="S38">
            <v>70105</v>
          </cell>
          <cell r="T38">
            <v>70105</v>
          </cell>
          <cell r="U38">
            <v>62765</v>
          </cell>
          <cell r="V38">
            <v>72571</v>
          </cell>
          <cell r="W38">
            <v>76343</v>
          </cell>
          <cell r="X38">
            <v>54735</v>
          </cell>
          <cell r="Y38">
            <v>54735</v>
          </cell>
          <cell r="Z38">
            <v>40672</v>
          </cell>
          <cell r="AA38">
            <v>37585</v>
          </cell>
          <cell r="AB38">
            <v>45140</v>
          </cell>
          <cell r="AC38">
            <v>43232</v>
          </cell>
          <cell r="AD38">
            <v>43232</v>
          </cell>
          <cell r="AE38">
            <v>37050</v>
          </cell>
          <cell r="AF38">
            <v>51351</v>
          </cell>
          <cell r="AG38">
            <v>64852</v>
          </cell>
          <cell r="AH38">
            <v>60789</v>
          </cell>
          <cell r="AI38">
            <v>60789</v>
          </cell>
          <cell r="AJ38">
            <v>55854</v>
          </cell>
          <cell r="AK38">
            <v>67729</v>
          </cell>
          <cell r="AL38">
            <v>76126</v>
          </cell>
          <cell r="AM38">
            <v>67740</v>
          </cell>
          <cell r="AN38">
            <v>67740</v>
          </cell>
          <cell r="AO38">
            <v>66335</v>
          </cell>
          <cell r="AP38">
            <v>75762</v>
          </cell>
          <cell r="AQ38">
            <v>99861</v>
          </cell>
          <cell r="AR38">
            <v>93137</v>
          </cell>
          <cell r="AS38">
            <v>93137</v>
          </cell>
          <cell r="AT38">
            <v>87589</v>
          </cell>
          <cell r="AU38">
            <v>88674</v>
          </cell>
          <cell r="AV38">
            <v>125299</v>
          </cell>
          <cell r="AW38">
            <v>136508</v>
          </cell>
          <cell r="AX38">
            <v>136508</v>
          </cell>
          <cell r="AY38">
            <v>118735</v>
          </cell>
          <cell r="AZ38">
            <v>133624</v>
          </cell>
          <cell r="BA38">
            <v>140679</v>
          </cell>
          <cell r="BB38">
            <v>145271</v>
          </cell>
          <cell r="BC38">
            <v>145271</v>
          </cell>
          <cell r="BD38">
            <v>145271</v>
          </cell>
          <cell r="BE38">
            <v>145271</v>
          </cell>
          <cell r="BF38">
            <v>145271</v>
          </cell>
          <cell r="BG38">
            <v>145271</v>
          </cell>
          <cell r="BH38">
            <v>145271</v>
          </cell>
          <cell r="BI38">
            <v>145271</v>
          </cell>
          <cell r="BJ38">
            <v>145271</v>
          </cell>
          <cell r="BK38">
            <v>145271</v>
          </cell>
          <cell r="BL38">
            <v>145271</v>
          </cell>
          <cell r="BM38">
            <v>145271</v>
          </cell>
          <cell r="BN38">
            <v>145271</v>
          </cell>
          <cell r="BO38">
            <v>145271</v>
          </cell>
          <cell r="BP38">
            <v>145271</v>
          </cell>
          <cell r="BQ38">
            <v>145271</v>
          </cell>
          <cell r="BR38">
            <v>145271</v>
          </cell>
          <cell r="BZ38" t="str">
            <v>mstag:otherLiabilitiesOperating</v>
          </cell>
          <cell r="CA38">
            <v>3</v>
          </cell>
          <cell r="CB38" t="str">
            <v>ISO4217:USD</v>
          </cell>
          <cell r="CC38" t="b">
            <v>0</v>
          </cell>
          <cell r="CD38" t="b">
            <v>0</v>
          </cell>
        </row>
        <row r="39">
          <cell r="B39" t="str">
            <v>Accounts payable</v>
          </cell>
          <cell r="F39">
            <v>1315</v>
          </cell>
          <cell r="G39">
            <v>5413</v>
          </cell>
          <cell r="H39">
            <v>4727</v>
          </cell>
          <cell r="I39">
            <v>4836</v>
          </cell>
          <cell r="J39">
            <v>4836</v>
          </cell>
          <cell r="K39">
            <v>2783</v>
          </cell>
          <cell r="L39">
            <v>3911</v>
          </cell>
          <cell r="M39">
            <v>4089</v>
          </cell>
          <cell r="N39">
            <v>3179</v>
          </cell>
          <cell r="O39">
            <v>3179</v>
          </cell>
          <cell r="P39">
            <v>2608</v>
          </cell>
          <cell r="Q39">
            <v>5005</v>
          </cell>
          <cell r="R39">
            <v>3378</v>
          </cell>
          <cell r="S39">
            <v>4312</v>
          </cell>
          <cell r="T39">
            <v>4312</v>
          </cell>
          <cell r="U39">
            <v>3208</v>
          </cell>
          <cell r="V39">
            <v>2358</v>
          </cell>
          <cell r="W39">
            <v>3287</v>
          </cell>
          <cell r="X39">
            <v>2274</v>
          </cell>
          <cell r="Y39">
            <v>2274</v>
          </cell>
          <cell r="Z39">
            <v>2388</v>
          </cell>
          <cell r="AA39">
            <v>2133</v>
          </cell>
          <cell r="AB39">
            <v>160</v>
          </cell>
          <cell r="AC39">
            <v>548</v>
          </cell>
          <cell r="AD39">
            <v>548</v>
          </cell>
          <cell r="AE39">
            <v>1241</v>
          </cell>
          <cell r="AF39">
            <v>1315</v>
          </cell>
          <cell r="AG39">
            <v>1850</v>
          </cell>
          <cell r="AH39">
            <v>2268</v>
          </cell>
          <cell r="AI39">
            <v>2268</v>
          </cell>
          <cell r="AJ39">
            <v>1275</v>
          </cell>
          <cell r="AK39">
            <v>1042</v>
          </cell>
          <cell r="AL39">
            <v>6904</v>
          </cell>
          <cell r="AM39">
            <v>526</v>
          </cell>
          <cell r="AN39">
            <v>526</v>
          </cell>
          <cell r="AO39">
            <v>559</v>
          </cell>
          <cell r="AP39">
            <v>1272</v>
          </cell>
          <cell r="AQ39">
            <v>651</v>
          </cell>
          <cell r="AR39">
            <v>781</v>
          </cell>
          <cell r="AS39">
            <v>781</v>
          </cell>
          <cell r="AT39">
            <v>5571</v>
          </cell>
          <cell r="AU39">
            <v>190</v>
          </cell>
          <cell r="AV39">
            <v>82</v>
          </cell>
          <cell r="AW39">
            <v>358</v>
          </cell>
          <cell r="AX39">
            <v>358</v>
          </cell>
          <cell r="AY39">
            <v>315</v>
          </cell>
          <cell r="AZ39">
            <v>0</v>
          </cell>
          <cell r="BA39">
            <v>0</v>
          </cell>
          <cell r="BB39">
            <v>0</v>
          </cell>
          <cell r="BC39">
            <v>0</v>
          </cell>
          <cell r="BD39">
            <v>1389.2020811097996</v>
          </cell>
          <cell r="BE39">
            <v>2845.3462573513189</v>
          </cell>
          <cell r="BF39">
            <v>4308.4439714464888</v>
          </cell>
          <cell r="BG39">
            <v>5800.7346833102438</v>
          </cell>
          <cell r="BH39">
            <v>5800.7346833102438</v>
          </cell>
          <cell r="BI39">
            <v>7270.5785509301077</v>
          </cell>
          <cell r="BJ39">
            <v>8732.9559783335881</v>
          </cell>
          <cell r="BK39">
            <v>10187.903019956681</v>
          </cell>
          <cell r="BL39">
            <v>11635.455566216193</v>
          </cell>
          <cell r="BM39">
            <v>11635.455566216193</v>
          </cell>
          <cell r="BN39">
            <v>13089.891186422792</v>
          </cell>
          <cell r="BO39">
            <v>14552.407044516644</v>
          </cell>
          <cell r="BP39">
            <v>16022.763621061105</v>
          </cell>
          <cell r="BQ39">
            <v>17500.724711775303</v>
          </cell>
          <cell r="BR39">
            <v>17500.724711775303</v>
          </cell>
          <cell r="BZ39" t="str">
            <v>mstag:tradeAndOtherPayables</v>
          </cell>
          <cell r="CA39">
            <v>3</v>
          </cell>
          <cell r="CB39" t="str">
            <v>ISO4217:USD</v>
          </cell>
          <cell r="CC39" t="b">
            <v>0</v>
          </cell>
          <cell r="CD39" t="b">
            <v>0</v>
          </cell>
        </row>
        <row r="40">
          <cell r="B40" t="str">
            <v>Accrued Expenses:</v>
          </cell>
        </row>
        <row r="41">
          <cell r="B41" t="str">
            <v xml:space="preserve">  Real estate taxes</v>
          </cell>
          <cell r="F41">
            <v>27997</v>
          </cell>
          <cell r="G41">
            <v>28775</v>
          </cell>
          <cell r="H41">
            <v>36559</v>
          </cell>
          <cell r="I41">
            <v>36075</v>
          </cell>
          <cell r="J41">
            <v>36075</v>
          </cell>
          <cell r="K41">
            <v>39750</v>
          </cell>
          <cell r="L41">
            <v>39348</v>
          </cell>
          <cell r="M41">
            <v>60174</v>
          </cell>
          <cell r="N41">
            <v>47604</v>
          </cell>
          <cell r="O41">
            <v>47604</v>
          </cell>
          <cell r="P41">
            <v>54884</v>
          </cell>
          <cell r="Q41">
            <v>56698</v>
          </cell>
          <cell r="R41">
            <v>66922</v>
          </cell>
          <cell r="S41">
            <v>51328</v>
          </cell>
          <cell r="T41">
            <v>51328</v>
          </cell>
          <cell r="U41">
            <v>53516</v>
          </cell>
          <cell r="V41">
            <v>55193</v>
          </cell>
          <cell r="W41">
            <v>64623</v>
          </cell>
          <cell r="X41">
            <v>51462</v>
          </cell>
          <cell r="Y41">
            <v>51462</v>
          </cell>
          <cell r="Z41">
            <v>56724</v>
          </cell>
          <cell r="AA41">
            <v>57280</v>
          </cell>
          <cell r="AB41">
            <v>71267</v>
          </cell>
          <cell r="AC41">
            <v>51474</v>
          </cell>
          <cell r="AD41">
            <v>51474</v>
          </cell>
          <cell r="AE41">
            <v>56888</v>
          </cell>
          <cell r="AF41">
            <v>60698</v>
          </cell>
          <cell r="AG41">
            <v>72443</v>
          </cell>
          <cell r="AH41">
            <v>52958</v>
          </cell>
          <cell r="AI41">
            <v>52958</v>
          </cell>
          <cell r="AJ41">
            <v>59886</v>
          </cell>
          <cell r="AK41">
            <v>60818</v>
          </cell>
          <cell r="AL41">
            <v>78184</v>
          </cell>
          <cell r="AM41">
            <v>55748</v>
          </cell>
          <cell r="AN41">
            <v>55748</v>
          </cell>
          <cell r="AO41">
            <v>60398</v>
          </cell>
          <cell r="AP41">
            <v>67365</v>
          </cell>
          <cell r="AQ41">
            <v>78738</v>
          </cell>
          <cell r="AR41">
            <v>60883</v>
          </cell>
          <cell r="AS41">
            <v>60883</v>
          </cell>
          <cell r="AT41">
            <v>66426</v>
          </cell>
          <cell r="AU41">
            <v>72610</v>
          </cell>
          <cell r="AV41">
            <v>78255</v>
          </cell>
          <cell r="AW41">
            <v>62802</v>
          </cell>
          <cell r="AX41">
            <v>62802</v>
          </cell>
          <cell r="AY41">
            <v>63881</v>
          </cell>
          <cell r="AZ41">
            <v>75782</v>
          </cell>
          <cell r="BA41">
            <v>88182</v>
          </cell>
          <cell r="BB41">
            <v>67523</v>
          </cell>
          <cell r="BC41">
            <v>67523</v>
          </cell>
          <cell r="BD41">
            <v>67523</v>
          </cell>
          <cell r="BE41">
            <v>67523</v>
          </cell>
          <cell r="BF41">
            <v>67523</v>
          </cell>
          <cell r="BG41">
            <v>67523</v>
          </cell>
          <cell r="BH41">
            <v>67523</v>
          </cell>
          <cell r="BI41">
            <v>67523</v>
          </cell>
          <cell r="BJ41">
            <v>67523</v>
          </cell>
          <cell r="BK41">
            <v>67523</v>
          </cell>
          <cell r="BL41">
            <v>67523</v>
          </cell>
          <cell r="BM41">
            <v>67523</v>
          </cell>
          <cell r="BN41">
            <v>67523</v>
          </cell>
          <cell r="BO41">
            <v>67523</v>
          </cell>
          <cell r="BP41">
            <v>67523</v>
          </cell>
          <cell r="BQ41">
            <v>67523</v>
          </cell>
          <cell r="BR41">
            <v>67523</v>
          </cell>
          <cell r="BZ41" t="str">
            <v>mstag:otherLiabilitiesOperating</v>
          </cell>
          <cell r="CA41">
            <v>3</v>
          </cell>
          <cell r="CB41" t="str">
            <v>ISO4217:USD</v>
          </cell>
          <cell r="CC41" t="b">
            <v>0</v>
          </cell>
          <cell r="CD41" t="b">
            <v>0</v>
          </cell>
        </row>
        <row r="42">
          <cell r="B42" t="str">
            <v xml:space="preserve">  Interest</v>
          </cell>
          <cell r="F42">
            <v>4372</v>
          </cell>
          <cell r="G42">
            <v>9245</v>
          </cell>
          <cell r="H42">
            <v>7866</v>
          </cell>
          <cell r="I42">
            <v>10329</v>
          </cell>
          <cell r="J42">
            <v>10329</v>
          </cell>
          <cell r="K42">
            <v>9444</v>
          </cell>
          <cell r="L42">
            <v>14235</v>
          </cell>
          <cell r="M42">
            <v>14603</v>
          </cell>
          <cell r="N42">
            <v>20658</v>
          </cell>
          <cell r="O42">
            <v>20658</v>
          </cell>
          <cell r="P42">
            <v>19913</v>
          </cell>
          <cell r="Q42">
            <v>22025</v>
          </cell>
          <cell r="R42">
            <v>19562</v>
          </cell>
          <cell r="S42">
            <v>28780</v>
          </cell>
          <cell r="T42">
            <v>28780</v>
          </cell>
          <cell r="U42">
            <v>20100</v>
          </cell>
          <cell r="V42">
            <v>26184</v>
          </cell>
          <cell r="W42">
            <v>19096</v>
          </cell>
          <cell r="X42">
            <v>24313</v>
          </cell>
          <cell r="Y42">
            <v>24313</v>
          </cell>
          <cell r="Z42">
            <v>19294</v>
          </cell>
          <cell r="AA42">
            <v>30996</v>
          </cell>
          <cell r="AB42">
            <v>19749</v>
          </cell>
          <cell r="AC42">
            <v>27374</v>
          </cell>
          <cell r="AD42">
            <v>27374</v>
          </cell>
          <cell r="AE42">
            <v>23204</v>
          </cell>
          <cell r="AF42">
            <v>32297</v>
          </cell>
          <cell r="AG42">
            <v>22473</v>
          </cell>
          <cell r="AH42">
            <v>33259</v>
          </cell>
          <cell r="AI42">
            <v>33259</v>
          </cell>
          <cell r="AJ42">
            <v>24670</v>
          </cell>
          <cell r="AK42">
            <v>34609</v>
          </cell>
          <cell r="AL42">
            <v>25904</v>
          </cell>
          <cell r="AM42">
            <v>36531</v>
          </cell>
          <cell r="AN42">
            <v>36531</v>
          </cell>
          <cell r="AO42">
            <v>23796</v>
          </cell>
          <cell r="AP42">
            <v>35944</v>
          </cell>
          <cell r="AQ42">
            <v>23239</v>
          </cell>
          <cell r="AR42">
            <v>33022</v>
          </cell>
          <cell r="AS42">
            <v>33022</v>
          </cell>
          <cell r="AT42">
            <v>25575</v>
          </cell>
          <cell r="AU42">
            <v>37949</v>
          </cell>
          <cell r="AV42">
            <v>31976</v>
          </cell>
          <cell r="AW42">
            <v>52106</v>
          </cell>
          <cell r="AX42">
            <v>52106</v>
          </cell>
          <cell r="AY42">
            <v>38985</v>
          </cell>
          <cell r="AZ42">
            <v>52259</v>
          </cell>
          <cell r="BA42">
            <v>37603</v>
          </cell>
          <cell r="BB42">
            <v>54631</v>
          </cell>
          <cell r="BC42">
            <v>54631</v>
          </cell>
          <cell r="BD42">
            <v>54631</v>
          </cell>
          <cell r="BE42">
            <v>54631</v>
          </cell>
          <cell r="BF42">
            <v>54631</v>
          </cell>
          <cell r="BG42">
            <v>54631</v>
          </cell>
          <cell r="BH42">
            <v>54631</v>
          </cell>
          <cell r="BI42">
            <v>54631</v>
          </cell>
          <cell r="BJ42">
            <v>54631</v>
          </cell>
          <cell r="BK42">
            <v>54631</v>
          </cell>
          <cell r="BL42">
            <v>54631</v>
          </cell>
          <cell r="BM42">
            <v>54631</v>
          </cell>
          <cell r="BN42">
            <v>54631</v>
          </cell>
          <cell r="BO42">
            <v>54631</v>
          </cell>
          <cell r="BP42">
            <v>54631</v>
          </cell>
          <cell r="BQ42">
            <v>54631</v>
          </cell>
          <cell r="BR42">
            <v>54631</v>
          </cell>
          <cell r="BZ42" t="str">
            <v>mstag:otherLiabilitiesOperating</v>
          </cell>
          <cell r="CA42">
            <v>3</v>
          </cell>
          <cell r="CB42" t="str">
            <v>ISO4217:USD</v>
          </cell>
          <cell r="CC42" t="b">
            <v>0</v>
          </cell>
          <cell r="CD42" t="b">
            <v>0</v>
          </cell>
        </row>
        <row r="43">
          <cell r="B43" t="str">
            <v xml:space="preserve">  Other</v>
          </cell>
          <cell r="F43">
            <v>11117</v>
          </cell>
          <cell r="G43">
            <v>15038</v>
          </cell>
          <cell r="H43">
            <v>19651</v>
          </cell>
          <cell r="I43">
            <v>22781</v>
          </cell>
          <cell r="J43">
            <v>22781</v>
          </cell>
          <cell r="K43">
            <v>17992</v>
          </cell>
          <cell r="L43">
            <v>19623</v>
          </cell>
          <cell r="M43">
            <v>38328</v>
          </cell>
          <cell r="N43">
            <v>42295</v>
          </cell>
          <cell r="O43">
            <v>42295</v>
          </cell>
          <cell r="P43">
            <v>30673</v>
          </cell>
          <cell r="Q43">
            <v>42314</v>
          </cell>
          <cell r="R43">
            <v>56438</v>
          </cell>
          <cell r="S43">
            <v>61341</v>
          </cell>
          <cell r="T43">
            <v>61341</v>
          </cell>
          <cell r="U43">
            <v>47743</v>
          </cell>
          <cell r="V43">
            <v>47484</v>
          </cell>
          <cell r="W43">
            <v>44870</v>
          </cell>
          <cell r="X43">
            <v>49973</v>
          </cell>
          <cell r="Y43">
            <v>49973</v>
          </cell>
          <cell r="Z43">
            <v>46946</v>
          </cell>
          <cell r="AA43">
            <v>46379</v>
          </cell>
          <cell r="AB43">
            <v>45632</v>
          </cell>
          <cell r="AC43">
            <v>54568</v>
          </cell>
          <cell r="AD43">
            <v>54568</v>
          </cell>
          <cell r="AE43">
            <v>37779</v>
          </cell>
          <cell r="AF43">
            <v>40512</v>
          </cell>
          <cell r="AG43">
            <v>44023</v>
          </cell>
          <cell r="AH43">
            <v>51808</v>
          </cell>
          <cell r="AI43">
            <v>51808</v>
          </cell>
          <cell r="AJ43">
            <v>36668</v>
          </cell>
          <cell r="AK43">
            <v>37835</v>
          </cell>
          <cell r="AL43">
            <v>41139</v>
          </cell>
          <cell r="AM43">
            <v>50814</v>
          </cell>
          <cell r="AN43">
            <v>50814</v>
          </cell>
          <cell r="AO43">
            <v>34668</v>
          </cell>
          <cell r="AP43">
            <v>39446</v>
          </cell>
          <cell r="AQ43">
            <v>41039</v>
          </cell>
          <cell r="AR43">
            <v>54878</v>
          </cell>
          <cell r="AS43">
            <v>54878</v>
          </cell>
          <cell r="AT43">
            <v>38303</v>
          </cell>
          <cell r="AU43">
            <v>39529</v>
          </cell>
          <cell r="AV43">
            <v>47833</v>
          </cell>
          <cell r="AW43">
            <v>64097</v>
          </cell>
          <cell r="AX43">
            <v>64097</v>
          </cell>
          <cell r="AY43">
            <v>33489</v>
          </cell>
          <cell r="AZ43">
            <v>38308</v>
          </cell>
          <cell r="BA43">
            <v>46790</v>
          </cell>
          <cell r="BB43">
            <v>59413</v>
          </cell>
          <cell r="BC43">
            <v>59413</v>
          </cell>
          <cell r="BD43">
            <v>59413</v>
          </cell>
          <cell r="BE43">
            <v>59413</v>
          </cell>
          <cell r="BF43">
            <v>59413</v>
          </cell>
          <cell r="BG43">
            <v>59413</v>
          </cell>
          <cell r="BH43">
            <v>59413</v>
          </cell>
          <cell r="BI43">
            <v>59413</v>
          </cell>
          <cell r="BJ43">
            <v>59413</v>
          </cell>
          <cell r="BK43">
            <v>59413</v>
          </cell>
          <cell r="BL43">
            <v>59413</v>
          </cell>
          <cell r="BM43">
            <v>59413</v>
          </cell>
          <cell r="BN43">
            <v>59413</v>
          </cell>
          <cell r="BO43">
            <v>59413</v>
          </cell>
          <cell r="BP43">
            <v>59413</v>
          </cell>
          <cell r="BQ43">
            <v>59413</v>
          </cell>
          <cell r="BR43">
            <v>59413</v>
          </cell>
          <cell r="BZ43" t="str">
            <v>mstag:otherLiabilitiesOperating</v>
          </cell>
          <cell r="CA43">
            <v>3</v>
          </cell>
          <cell r="CB43" t="str">
            <v>ISO4217:USD</v>
          </cell>
          <cell r="CC43" t="b">
            <v>0</v>
          </cell>
          <cell r="CD43" t="b">
            <v>0</v>
          </cell>
        </row>
        <row r="44">
          <cell r="B44" t="str">
            <v>Other liabilities</v>
          </cell>
          <cell r="F44">
            <v>14479</v>
          </cell>
          <cell r="G44">
            <v>17270</v>
          </cell>
          <cell r="H44">
            <v>15368</v>
          </cell>
          <cell r="I44">
            <v>21928</v>
          </cell>
          <cell r="J44">
            <v>21928</v>
          </cell>
          <cell r="K44">
            <v>26392</v>
          </cell>
          <cell r="L44">
            <v>22080</v>
          </cell>
          <cell r="M44">
            <v>29112</v>
          </cell>
          <cell r="N44">
            <v>30544</v>
          </cell>
          <cell r="O44">
            <v>30544</v>
          </cell>
          <cell r="P44">
            <v>32009</v>
          </cell>
          <cell r="Q44">
            <v>36559</v>
          </cell>
          <cell r="R44">
            <v>31333</v>
          </cell>
          <cell r="S44">
            <v>88540</v>
          </cell>
          <cell r="T44">
            <v>88540</v>
          </cell>
          <cell r="U44">
            <v>87433</v>
          </cell>
          <cell r="V44">
            <v>94653</v>
          </cell>
          <cell r="W44">
            <v>114315</v>
          </cell>
          <cell r="X44">
            <v>117577</v>
          </cell>
          <cell r="Y44">
            <v>117577</v>
          </cell>
          <cell r="Z44">
            <v>119099</v>
          </cell>
          <cell r="AA44">
            <v>110136</v>
          </cell>
          <cell r="AB44">
            <v>105626</v>
          </cell>
          <cell r="AC44">
            <v>106811</v>
          </cell>
          <cell r="AD44">
            <v>106811</v>
          </cell>
          <cell r="AE44">
            <v>102979</v>
          </cell>
          <cell r="AF44">
            <v>110141</v>
          </cell>
          <cell r="AG44">
            <v>104416</v>
          </cell>
          <cell r="AH44">
            <v>107113</v>
          </cell>
          <cell r="AI44">
            <v>107113</v>
          </cell>
          <cell r="AJ44">
            <v>102833</v>
          </cell>
          <cell r="AK44">
            <v>100681</v>
          </cell>
          <cell r="AL44">
            <v>107179</v>
          </cell>
          <cell r="AM44">
            <v>105771</v>
          </cell>
          <cell r="AN44">
            <v>105771</v>
          </cell>
          <cell r="AO44">
            <v>107155</v>
          </cell>
          <cell r="AP44">
            <v>124125</v>
          </cell>
          <cell r="AQ44">
            <v>130769</v>
          </cell>
          <cell r="AR44">
            <v>135170</v>
          </cell>
          <cell r="AS44">
            <v>135170</v>
          </cell>
          <cell r="AT44">
            <v>117381</v>
          </cell>
          <cell r="AU44">
            <v>119630</v>
          </cell>
          <cell r="AV44">
            <v>111419</v>
          </cell>
          <cell r="AW44">
            <v>120174</v>
          </cell>
          <cell r="AX44">
            <v>120174</v>
          </cell>
          <cell r="AY44">
            <v>116111</v>
          </cell>
          <cell r="AZ44">
            <v>133674</v>
          </cell>
          <cell r="BA44">
            <v>134126</v>
          </cell>
          <cell r="BB44">
            <v>148651</v>
          </cell>
          <cell r="BC44">
            <v>148651</v>
          </cell>
          <cell r="BD44">
            <v>148651</v>
          </cell>
          <cell r="BE44">
            <v>148651</v>
          </cell>
          <cell r="BF44">
            <v>148651</v>
          </cell>
          <cell r="BG44">
            <v>148651</v>
          </cell>
          <cell r="BH44">
            <v>148651</v>
          </cell>
          <cell r="BI44">
            <v>148651</v>
          </cell>
          <cell r="BJ44">
            <v>148651</v>
          </cell>
          <cell r="BK44">
            <v>148651</v>
          </cell>
          <cell r="BL44">
            <v>148651</v>
          </cell>
          <cell r="BM44">
            <v>148651</v>
          </cell>
          <cell r="BN44">
            <v>148651</v>
          </cell>
          <cell r="BO44">
            <v>148651</v>
          </cell>
          <cell r="BP44">
            <v>148651</v>
          </cell>
          <cell r="BQ44">
            <v>148651</v>
          </cell>
          <cell r="BR44">
            <v>148651</v>
          </cell>
          <cell r="BZ44" t="str">
            <v>mstag:otherLiabilitiesNonOperating</v>
          </cell>
          <cell r="CA44">
            <v>3</v>
          </cell>
          <cell r="CB44" t="str">
            <v>ISO4217:USD</v>
          </cell>
          <cell r="CC44" t="b">
            <v>0</v>
          </cell>
          <cell r="CD44" t="b">
            <v>0</v>
          </cell>
        </row>
        <row r="45">
          <cell r="B45" t="str">
            <v>Tenant security deposits and prepaid rents</v>
          </cell>
          <cell r="F45">
            <v>17050</v>
          </cell>
          <cell r="G45">
            <v>18242</v>
          </cell>
          <cell r="H45">
            <v>17411</v>
          </cell>
          <cell r="I45">
            <v>18534</v>
          </cell>
          <cell r="J45">
            <v>18534</v>
          </cell>
          <cell r="K45">
            <v>22005</v>
          </cell>
          <cell r="L45">
            <v>18973</v>
          </cell>
          <cell r="M45">
            <v>33845</v>
          </cell>
          <cell r="N45">
            <v>36156</v>
          </cell>
          <cell r="O45">
            <v>36156</v>
          </cell>
          <cell r="P45">
            <v>38797</v>
          </cell>
          <cell r="Q45">
            <v>36261</v>
          </cell>
          <cell r="R45">
            <v>33629</v>
          </cell>
          <cell r="S45">
            <v>34208</v>
          </cell>
          <cell r="T45">
            <v>34208</v>
          </cell>
          <cell r="U45">
            <v>37176</v>
          </cell>
          <cell r="V45">
            <v>35223</v>
          </cell>
          <cell r="W45">
            <v>29178</v>
          </cell>
          <cell r="X45">
            <v>34644</v>
          </cell>
          <cell r="Y45">
            <v>34644</v>
          </cell>
          <cell r="Z45">
            <v>37125</v>
          </cell>
          <cell r="AA45">
            <v>28513</v>
          </cell>
          <cell r="AB45">
            <v>34425</v>
          </cell>
          <cell r="AC45">
            <v>33710</v>
          </cell>
          <cell r="AD45">
            <v>33710</v>
          </cell>
          <cell r="AE45">
            <v>39985</v>
          </cell>
          <cell r="AF45">
            <v>35626</v>
          </cell>
          <cell r="AG45">
            <v>34812</v>
          </cell>
          <cell r="AH45">
            <v>37975</v>
          </cell>
          <cell r="AI45">
            <v>37975</v>
          </cell>
          <cell r="AJ45">
            <v>43849</v>
          </cell>
          <cell r="AK45">
            <v>36899</v>
          </cell>
          <cell r="AL45">
            <v>32765</v>
          </cell>
          <cell r="AM45">
            <v>39827</v>
          </cell>
          <cell r="AN45">
            <v>39827</v>
          </cell>
          <cell r="AO45">
            <v>37984</v>
          </cell>
          <cell r="AP45">
            <v>37059</v>
          </cell>
          <cell r="AQ45">
            <v>35083</v>
          </cell>
          <cell r="AR45">
            <v>34924</v>
          </cell>
          <cell r="AS45">
            <v>34924</v>
          </cell>
          <cell r="AT45">
            <v>37062</v>
          </cell>
          <cell r="AU45">
            <v>37265</v>
          </cell>
          <cell r="AV45">
            <v>32309</v>
          </cell>
          <cell r="AW45">
            <v>32960</v>
          </cell>
          <cell r="AX45">
            <v>32960</v>
          </cell>
          <cell r="AY45">
            <v>34163</v>
          </cell>
          <cell r="AZ45">
            <v>35178</v>
          </cell>
          <cell r="BA45">
            <v>28251</v>
          </cell>
          <cell r="BB45">
            <v>36316</v>
          </cell>
          <cell r="BC45">
            <v>36316</v>
          </cell>
          <cell r="BD45">
            <v>36316</v>
          </cell>
          <cell r="BE45">
            <v>36316</v>
          </cell>
          <cell r="BF45">
            <v>36316</v>
          </cell>
          <cell r="BG45">
            <v>36316</v>
          </cell>
          <cell r="BH45">
            <v>36316</v>
          </cell>
          <cell r="BI45">
            <v>36316</v>
          </cell>
          <cell r="BJ45">
            <v>36316</v>
          </cell>
          <cell r="BK45">
            <v>36316</v>
          </cell>
          <cell r="BL45">
            <v>36316</v>
          </cell>
          <cell r="BM45">
            <v>36316</v>
          </cell>
          <cell r="BN45">
            <v>36316</v>
          </cell>
          <cell r="BO45">
            <v>36316</v>
          </cell>
          <cell r="BP45">
            <v>36316</v>
          </cell>
          <cell r="BQ45">
            <v>36316</v>
          </cell>
          <cell r="BR45">
            <v>36316</v>
          </cell>
          <cell r="BZ45" t="str">
            <v>mstag:customerAdvancesOrDeposits</v>
          </cell>
          <cell r="CA45">
            <v>3</v>
          </cell>
          <cell r="CB45" t="str">
            <v>ISO4217:USD</v>
          </cell>
          <cell r="CC45" t="b">
            <v>0</v>
          </cell>
          <cell r="CD45" t="b">
            <v>0</v>
          </cell>
        </row>
        <row r="47">
          <cell r="B47" t="str">
            <v>Minority interest</v>
          </cell>
          <cell r="F47">
            <v>107773</v>
          </cell>
          <cell r="G47">
            <v>109224</v>
          </cell>
          <cell r="H47">
            <v>108703</v>
          </cell>
          <cell r="I47">
            <v>106729</v>
          </cell>
          <cell r="J47">
            <v>106729</v>
          </cell>
          <cell r="K47">
            <v>107429</v>
          </cell>
          <cell r="L47">
            <v>109248</v>
          </cell>
          <cell r="M47">
            <v>432096</v>
          </cell>
          <cell r="N47">
            <v>433745</v>
          </cell>
          <cell r="O47">
            <v>433745</v>
          </cell>
          <cell r="P47">
            <v>437955</v>
          </cell>
          <cell r="Q47">
            <v>435551</v>
          </cell>
          <cell r="R47">
            <v>438093</v>
          </cell>
          <cell r="S47">
            <v>435317</v>
          </cell>
          <cell r="T47">
            <v>435317</v>
          </cell>
          <cell r="U47">
            <v>434449</v>
          </cell>
          <cell r="V47">
            <v>431522</v>
          </cell>
          <cell r="W47">
            <v>415489</v>
          </cell>
          <cell r="X47">
            <v>395190</v>
          </cell>
          <cell r="Y47">
            <v>395190</v>
          </cell>
          <cell r="Z47">
            <v>372353</v>
          </cell>
          <cell r="AA47">
            <v>351963</v>
          </cell>
          <cell r="AB47">
            <v>313862</v>
          </cell>
          <cell r="AC47">
            <v>308641</v>
          </cell>
          <cell r="AD47">
            <v>308641</v>
          </cell>
          <cell r="AE47">
            <v>303395</v>
          </cell>
          <cell r="AF47">
            <v>298514</v>
          </cell>
          <cell r="AG47">
            <v>294387</v>
          </cell>
          <cell r="AH47">
            <v>212794</v>
          </cell>
          <cell r="AI47">
            <v>212794</v>
          </cell>
          <cell r="AJ47">
            <v>205808</v>
          </cell>
          <cell r="AK47">
            <v>201936</v>
          </cell>
          <cell r="AL47">
            <v>200023</v>
          </cell>
          <cell r="AM47">
            <v>195113</v>
          </cell>
          <cell r="AN47">
            <v>195113</v>
          </cell>
          <cell r="AO47">
            <v>190855</v>
          </cell>
          <cell r="AP47">
            <v>188382</v>
          </cell>
          <cell r="AQ47">
            <v>201719</v>
          </cell>
          <cell r="AR47">
            <v>182566</v>
          </cell>
          <cell r="AS47">
            <v>182566</v>
          </cell>
          <cell r="AT47">
            <v>177534</v>
          </cell>
          <cell r="AU47">
            <v>170644</v>
          </cell>
          <cell r="AV47">
            <v>172230</v>
          </cell>
          <cell r="AW47">
            <v>156853</v>
          </cell>
          <cell r="AX47">
            <v>156853</v>
          </cell>
          <cell r="AY47">
            <v>116722</v>
          </cell>
          <cell r="AZ47">
            <v>114583</v>
          </cell>
          <cell r="BA47">
            <v>90524</v>
          </cell>
          <cell r="BB47">
            <v>83683</v>
          </cell>
          <cell r="BC47">
            <v>83683</v>
          </cell>
          <cell r="BD47">
            <v>79073.338418026906</v>
          </cell>
          <cell r="BE47">
            <v>74423.048787841573</v>
          </cell>
          <cell r="BF47">
            <v>69762.204895991759</v>
          </cell>
          <cell r="BG47">
            <v>64871.350285902983</v>
          </cell>
          <cell r="BH47">
            <v>64871.350285902983</v>
          </cell>
          <cell r="BI47">
            <v>59986.120845492514</v>
          </cell>
          <cell r="BJ47">
            <v>55096.672959609336</v>
          </cell>
          <cell r="BK47">
            <v>50202.984660856942</v>
          </cell>
          <cell r="BL47">
            <v>45305.033898785972</v>
          </cell>
          <cell r="BM47">
            <v>45305.033898785972</v>
          </cell>
          <cell r="BN47">
            <v>40392.987276406428</v>
          </cell>
          <cell r="BO47">
            <v>35465.828861947557</v>
          </cell>
          <cell r="BP47">
            <v>30523.525349999392</v>
          </cell>
          <cell r="BQ47">
            <v>25566.043322611702</v>
          </cell>
          <cell r="BR47">
            <v>25566.043322611702</v>
          </cell>
          <cell r="BZ47" t="str">
            <v>mstag:minorityInterestsInShareholdersEquity</v>
          </cell>
          <cell r="CA47">
            <v>3</v>
          </cell>
          <cell r="CB47" t="str">
            <v>ISO4217:USD</v>
          </cell>
          <cell r="CC47" t="b">
            <v>0</v>
          </cell>
          <cell r="CD47" t="b">
            <v>0</v>
          </cell>
        </row>
        <row r="49">
          <cell r="B49" t="str">
            <v>Preferred shares</v>
          </cell>
          <cell r="F49">
            <v>218338</v>
          </cell>
          <cell r="G49">
            <v>218338</v>
          </cell>
          <cell r="H49">
            <v>218338</v>
          </cell>
          <cell r="I49">
            <v>347798</v>
          </cell>
          <cell r="J49">
            <v>347798</v>
          </cell>
          <cell r="K49">
            <v>444317</v>
          </cell>
          <cell r="L49">
            <v>444317</v>
          </cell>
          <cell r="M49">
            <v>586817</v>
          </cell>
          <cell r="N49">
            <v>609998</v>
          </cell>
          <cell r="O49">
            <v>609998</v>
          </cell>
          <cell r="P49">
            <v>609883</v>
          </cell>
          <cell r="Q49">
            <v>609721</v>
          </cell>
          <cell r="R49">
            <v>609117</v>
          </cell>
          <cell r="S49">
            <v>608874</v>
          </cell>
          <cell r="T49">
            <v>608874</v>
          </cell>
          <cell r="U49">
            <v>683753</v>
          </cell>
          <cell r="V49">
            <v>683753</v>
          </cell>
          <cell r="W49">
            <v>608689</v>
          </cell>
          <cell r="X49">
            <v>608664</v>
          </cell>
          <cell r="Y49">
            <v>608664</v>
          </cell>
          <cell r="Z49">
            <v>608664</v>
          </cell>
          <cell r="AA49">
            <v>608664</v>
          </cell>
          <cell r="AB49">
            <v>590889</v>
          </cell>
          <cell r="AC49">
            <v>440889</v>
          </cell>
          <cell r="AD49">
            <v>440889</v>
          </cell>
          <cell r="AE49">
            <v>440869</v>
          </cell>
          <cell r="AF49">
            <v>440829</v>
          </cell>
          <cell r="AG49">
            <v>540802</v>
          </cell>
          <cell r="AH49">
            <v>540508</v>
          </cell>
          <cell r="AI49">
            <v>540508</v>
          </cell>
          <cell r="AJ49">
            <v>457250</v>
          </cell>
          <cell r="AK49">
            <v>457250</v>
          </cell>
          <cell r="AL49">
            <v>457250</v>
          </cell>
          <cell r="AM49">
            <v>657250</v>
          </cell>
          <cell r="AN49">
            <v>657250</v>
          </cell>
          <cell r="AO49">
            <v>657250</v>
          </cell>
          <cell r="AP49">
            <v>657250</v>
          </cell>
          <cell r="AQ49">
            <v>657250</v>
          </cell>
          <cell r="AR49">
            <v>657250</v>
          </cell>
          <cell r="AS49">
            <v>657250</v>
          </cell>
          <cell r="AT49">
            <v>766250</v>
          </cell>
          <cell r="AU49">
            <v>876250</v>
          </cell>
          <cell r="AV49">
            <v>876250</v>
          </cell>
          <cell r="AW49">
            <v>876250</v>
          </cell>
          <cell r="AX49">
            <v>876250</v>
          </cell>
          <cell r="AY49">
            <v>876250</v>
          </cell>
          <cell r="AZ49">
            <v>876250</v>
          </cell>
          <cell r="BA49">
            <v>876250</v>
          </cell>
          <cell r="BB49">
            <v>744000</v>
          </cell>
          <cell r="BC49">
            <v>744000</v>
          </cell>
          <cell r="BD49">
            <v>744000</v>
          </cell>
          <cell r="BE49">
            <v>744000</v>
          </cell>
          <cell r="BF49">
            <v>744000</v>
          </cell>
          <cell r="BG49">
            <v>744000</v>
          </cell>
          <cell r="BH49">
            <v>744000</v>
          </cell>
          <cell r="BI49">
            <v>744000</v>
          </cell>
          <cell r="BJ49">
            <v>744000</v>
          </cell>
          <cell r="BK49">
            <v>744000</v>
          </cell>
          <cell r="BL49">
            <v>744000</v>
          </cell>
          <cell r="BM49">
            <v>744000</v>
          </cell>
          <cell r="BN49">
            <v>744000</v>
          </cell>
          <cell r="BO49">
            <v>744000</v>
          </cell>
          <cell r="BP49">
            <v>744000</v>
          </cell>
          <cell r="BQ49">
            <v>744000</v>
          </cell>
          <cell r="BR49">
            <v>744000</v>
          </cell>
          <cell r="BZ49" t="str">
            <v>mstag:preferredEquity</v>
          </cell>
          <cell r="CA49">
            <v>3</v>
          </cell>
          <cell r="CB49" t="str">
            <v>ISO4217:USD</v>
          </cell>
          <cell r="CC49" t="b">
            <v>0</v>
          </cell>
          <cell r="CD49" t="b">
            <v>0</v>
          </cell>
        </row>
        <row r="50">
          <cell r="B50" t="str">
            <v>Common shares</v>
          </cell>
          <cell r="J50">
            <v>0</v>
          </cell>
          <cell r="N50">
            <v>1258</v>
          </cell>
          <cell r="O50">
            <v>1258</v>
          </cell>
          <cell r="P50">
            <v>1265</v>
          </cell>
          <cell r="Q50">
            <v>1268</v>
          </cell>
          <cell r="R50">
            <v>1275</v>
          </cell>
          <cell r="S50">
            <v>1279</v>
          </cell>
          <cell r="T50">
            <v>1279</v>
          </cell>
          <cell r="U50">
            <v>1288</v>
          </cell>
          <cell r="V50">
            <v>1298</v>
          </cell>
          <cell r="W50">
            <v>1302</v>
          </cell>
          <cell r="X50">
            <v>1314</v>
          </cell>
          <cell r="Y50">
            <v>1314</v>
          </cell>
          <cell r="Z50">
            <v>1331</v>
          </cell>
          <cell r="AA50">
            <v>1347</v>
          </cell>
          <cell r="AB50">
            <v>1349</v>
          </cell>
          <cell r="AC50">
            <v>1350</v>
          </cell>
          <cell r="AD50">
            <v>1350</v>
          </cell>
          <cell r="AE50">
            <v>1353</v>
          </cell>
          <cell r="AF50">
            <v>1355</v>
          </cell>
          <cell r="AG50">
            <v>1359</v>
          </cell>
          <cell r="AH50">
            <v>1366</v>
          </cell>
          <cell r="AI50">
            <v>1366</v>
          </cell>
          <cell r="AJ50">
            <v>1420</v>
          </cell>
          <cell r="AK50">
            <v>1422</v>
          </cell>
          <cell r="AL50">
            <v>1425</v>
          </cell>
          <cell r="AM50">
            <v>1429</v>
          </cell>
          <cell r="AN50">
            <v>1429</v>
          </cell>
          <cell r="AO50">
            <v>1429</v>
          </cell>
          <cell r="AP50">
            <v>1435</v>
          </cell>
          <cell r="AQ50">
            <v>1407</v>
          </cell>
          <cell r="AR50">
            <v>1347</v>
          </cell>
          <cell r="AS50">
            <v>1347</v>
          </cell>
          <cell r="AT50">
            <v>1349</v>
          </cell>
          <cell r="AU50">
            <v>1351</v>
          </cell>
          <cell r="AV50">
            <v>1352</v>
          </cell>
          <cell r="AW50">
            <v>1339</v>
          </cell>
          <cell r="AX50">
            <v>1339</v>
          </cell>
          <cell r="AY50">
            <v>1369</v>
          </cell>
          <cell r="AZ50">
            <v>1369</v>
          </cell>
          <cell r="BA50">
            <v>1386</v>
          </cell>
          <cell r="BB50">
            <v>1386</v>
          </cell>
          <cell r="BC50">
            <v>1386</v>
          </cell>
          <cell r="BD50">
            <v>1386</v>
          </cell>
          <cell r="BE50">
            <v>1386</v>
          </cell>
          <cell r="BF50">
            <v>1386</v>
          </cell>
          <cell r="BG50">
            <v>1386</v>
          </cell>
          <cell r="BH50">
            <v>1386</v>
          </cell>
          <cell r="BI50">
            <v>1386</v>
          </cell>
          <cell r="BJ50">
            <v>1386</v>
          </cell>
          <cell r="BK50">
            <v>1386</v>
          </cell>
          <cell r="BL50">
            <v>1386</v>
          </cell>
          <cell r="BM50">
            <v>1386</v>
          </cell>
          <cell r="BN50">
            <v>1386</v>
          </cell>
          <cell r="BO50">
            <v>1386</v>
          </cell>
          <cell r="BP50">
            <v>1386</v>
          </cell>
          <cell r="BQ50">
            <v>1386</v>
          </cell>
          <cell r="BR50">
            <v>1386</v>
          </cell>
          <cell r="BZ50" t="str">
            <v>mstag:commonStock</v>
          </cell>
          <cell r="CA50">
            <v>3</v>
          </cell>
          <cell r="CB50" t="str">
            <v>ISO4217:USD</v>
          </cell>
          <cell r="CC50" t="b">
            <v>0</v>
          </cell>
          <cell r="CD50" t="b">
            <v>0</v>
          </cell>
        </row>
        <row r="51">
          <cell r="B51" t="str">
            <v>Additional paid-in capital</v>
          </cell>
          <cell r="F51">
            <v>1115103</v>
          </cell>
          <cell r="G51">
            <v>1181230</v>
          </cell>
          <cell r="H51">
            <v>1215038</v>
          </cell>
          <cell r="I51">
            <v>1290313</v>
          </cell>
          <cell r="J51">
            <v>1290313</v>
          </cell>
          <cell r="K51">
            <v>1305445</v>
          </cell>
          <cell r="L51">
            <v>1375166</v>
          </cell>
          <cell r="M51">
            <v>2152763</v>
          </cell>
          <cell r="N51">
            <v>2139772</v>
          </cell>
          <cell r="O51">
            <v>2139772</v>
          </cell>
          <cell r="P51">
            <v>2151506</v>
          </cell>
          <cell r="Q51">
            <v>2157385</v>
          </cell>
          <cell r="R51">
            <v>2171737</v>
          </cell>
          <cell r="S51">
            <v>2180120</v>
          </cell>
          <cell r="T51">
            <v>2180120</v>
          </cell>
          <cell r="U51">
            <v>2196232</v>
          </cell>
          <cell r="V51">
            <v>2216885</v>
          </cell>
          <cell r="W51">
            <v>2224704</v>
          </cell>
          <cell r="X51">
            <v>2251246</v>
          </cell>
          <cell r="Y51">
            <v>2251246</v>
          </cell>
          <cell r="Z51">
            <v>2291272</v>
          </cell>
          <cell r="AA51">
            <v>2327730</v>
          </cell>
          <cell r="AB51">
            <v>2331436</v>
          </cell>
          <cell r="AC51">
            <v>2335278</v>
          </cell>
          <cell r="AD51">
            <v>2335278</v>
          </cell>
          <cell r="AE51">
            <v>2341167</v>
          </cell>
          <cell r="AF51">
            <v>2343572</v>
          </cell>
          <cell r="AG51">
            <v>2359045</v>
          </cell>
          <cell r="AH51">
            <v>2379817</v>
          </cell>
          <cell r="AI51">
            <v>2379817</v>
          </cell>
          <cell r="AJ51">
            <v>2519714</v>
          </cell>
          <cell r="AK51">
            <v>2523640</v>
          </cell>
          <cell r="AL51">
            <v>2534981</v>
          </cell>
          <cell r="AM51">
            <v>2538461</v>
          </cell>
          <cell r="AN51">
            <v>2538461</v>
          </cell>
          <cell r="AO51">
            <v>2555620</v>
          </cell>
          <cell r="AP51">
            <v>2557988</v>
          </cell>
          <cell r="AQ51">
            <v>2465999</v>
          </cell>
          <cell r="AR51">
            <v>2266204</v>
          </cell>
          <cell r="AS51">
            <v>2266204</v>
          </cell>
          <cell r="AT51">
            <v>2266703</v>
          </cell>
          <cell r="AU51">
            <v>2274912</v>
          </cell>
          <cell r="AV51">
            <v>2277659</v>
          </cell>
          <cell r="AW51">
            <v>2196398</v>
          </cell>
          <cell r="AX51">
            <v>2196398</v>
          </cell>
          <cell r="AY51">
            <v>2319643</v>
          </cell>
          <cell r="AZ51">
            <v>2322721</v>
          </cell>
          <cell r="BA51">
            <v>2378590</v>
          </cell>
          <cell r="BB51">
            <v>2632691</v>
          </cell>
          <cell r="BC51">
            <v>2632691</v>
          </cell>
          <cell r="BD51">
            <v>2632691</v>
          </cell>
          <cell r="BE51">
            <v>2632691</v>
          </cell>
          <cell r="BF51">
            <v>2632691</v>
          </cell>
          <cell r="BG51">
            <v>2632691</v>
          </cell>
          <cell r="BH51">
            <v>2632691</v>
          </cell>
          <cell r="BI51">
            <v>2632691</v>
          </cell>
          <cell r="BJ51">
            <v>2632691</v>
          </cell>
          <cell r="BK51">
            <v>2632691</v>
          </cell>
          <cell r="BL51">
            <v>2632691</v>
          </cell>
          <cell r="BM51">
            <v>2632691</v>
          </cell>
          <cell r="BN51">
            <v>2632691</v>
          </cell>
          <cell r="BO51">
            <v>2632691</v>
          </cell>
          <cell r="BP51">
            <v>2632691</v>
          </cell>
          <cell r="BQ51">
            <v>2632691</v>
          </cell>
          <cell r="BR51">
            <v>2632691</v>
          </cell>
          <cell r="BZ51" t="str">
            <v>mstag:additionalPaidInCapital</v>
          </cell>
          <cell r="CA51">
            <v>3</v>
          </cell>
          <cell r="CB51" t="str">
            <v>ISO4217:USD</v>
          </cell>
          <cell r="CC51" t="b">
            <v>0</v>
          </cell>
          <cell r="CD51" t="b">
            <v>0</v>
          </cell>
        </row>
        <row r="52">
          <cell r="B52" t="str">
            <v>Accumulated other comprehensive income (loss)</v>
          </cell>
          <cell r="J52">
            <v>0</v>
          </cell>
          <cell r="O52">
            <v>0</v>
          </cell>
          <cell r="T52">
            <v>0</v>
          </cell>
          <cell r="U52">
            <v>-638</v>
          </cell>
          <cell r="V52">
            <v>-836</v>
          </cell>
          <cell r="W52">
            <v>-240</v>
          </cell>
          <cell r="X52">
            <v>-192</v>
          </cell>
          <cell r="Y52">
            <v>-192</v>
          </cell>
          <cell r="Z52">
            <v>-144</v>
          </cell>
          <cell r="AA52">
            <v>-96</v>
          </cell>
          <cell r="AB52">
            <v>-48</v>
          </cell>
          <cell r="AC52">
            <v>-2111</v>
          </cell>
          <cell r="AD52">
            <v>-2111</v>
          </cell>
          <cell r="AE52">
            <v>-3271</v>
          </cell>
          <cell r="AF52">
            <v>-9852</v>
          </cell>
          <cell r="AG52">
            <v>0</v>
          </cell>
          <cell r="AH52">
            <v>0</v>
          </cell>
          <cell r="AI52">
            <v>0</v>
          </cell>
          <cell r="AJ52">
            <v>-118</v>
          </cell>
          <cell r="AK52">
            <v>-2465</v>
          </cell>
          <cell r="AL52">
            <v>132</v>
          </cell>
          <cell r="AM52">
            <v>-6547</v>
          </cell>
          <cell r="AN52">
            <v>-6547</v>
          </cell>
          <cell r="AO52">
            <v>-8226</v>
          </cell>
          <cell r="AP52">
            <v>-25232</v>
          </cell>
          <cell r="AQ52">
            <v>-11753</v>
          </cell>
          <cell r="AR52">
            <v>-7118</v>
          </cell>
          <cell r="AS52">
            <v>-7118</v>
          </cell>
          <cell r="AT52">
            <v>9805</v>
          </cell>
          <cell r="AU52">
            <v>20496</v>
          </cell>
          <cell r="AV52">
            <v>4840</v>
          </cell>
          <cell r="AW52">
            <v>5435</v>
          </cell>
          <cell r="AX52">
            <v>5435</v>
          </cell>
          <cell r="AY52">
            <v>5703</v>
          </cell>
          <cell r="AZ52">
            <v>16784</v>
          </cell>
          <cell r="BA52">
            <v>6053</v>
          </cell>
          <cell r="BB52">
            <v>-1279</v>
          </cell>
          <cell r="BC52">
            <v>-1279</v>
          </cell>
          <cell r="BD52">
            <v>-1279</v>
          </cell>
          <cell r="BE52">
            <v>-1279</v>
          </cell>
          <cell r="BF52">
            <v>-1279</v>
          </cell>
          <cell r="BG52">
            <v>-1279</v>
          </cell>
          <cell r="BH52">
            <v>-1279</v>
          </cell>
          <cell r="BI52">
            <v>-1279</v>
          </cell>
          <cell r="BJ52">
            <v>-1279</v>
          </cell>
          <cell r="BK52">
            <v>-1279</v>
          </cell>
          <cell r="BL52">
            <v>-1279</v>
          </cell>
          <cell r="BM52">
            <v>-1279</v>
          </cell>
          <cell r="BN52">
            <v>-1279</v>
          </cell>
          <cell r="BO52">
            <v>-1279</v>
          </cell>
          <cell r="BP52">
            <v>-1279</v>
          </cell>
          <cell r="BQ52">
            <v>-1279</v>
          </cell>
          <cell r="BR52">
            <v>-1279</v>
          </cell>
          <cell r="BZ52" t="str">
            <v>mstag:accumulatedOtherComprehensiveIncomeLossAndReserves</v>
          </cell>
          <cell r="CA52">
            <v>3</v>
          </cell>
          <cell r="CB52" t="str">
            <v>ISO4217:USD</v>
          </cell>
          <cell r="CC52" t="b">
            <v>0</v>
          </cell>
          <cell r="CD52" t="b">
            <v>0</v>
          </cell>
        </row>
        <row r="53">
          <cell r="B53" t="str">
            <v>Distributions in excess of net income</v>
          </cell>
          <cell r="F53">
            <v>-56264</v>
          </cell>
          <cell r="G53">
            <v>-58620</v>
          </cell>
          <cell r="H53">
            <v>-62725</v>
          </cell>
          <cell r="I53">
            <v>-67999</v>
          </cell>
          <cell r="J53">
            <v>-67999</v>
          </cell>
          <cell r="K53">
            <v>-69954</v>
          </cell>
          <cell r="L53">
            <v>-70521</v>
          </cell>
          <cell r="M53">
            <v>-74774</v>
          </cell>
          <cell r="N53">
            <v>-82432</v>
          </cell>
          <cell r="O53">
            <v>-82432</v>
          </cell>
          <cell r="P53">
            <v>-82666</v>
          </cell>
          <cell r="Q53">
            <v>-86515</v>
          </cell>
          <cell r="R53">
            <v>-95961</v>
          </cell>
          <cell r="S53">
            <v>-77383</v>
          </cell>
          <cell r="T53">
            <v>-77383</v>
          </cell>
          <cell r="U53">
            <v>-73772</v>
          </cell>
          <cell r="V53">
            <v>-79572</v>
          </cell>
          <cell r="W53">
            <v>-61604</v>
          </cell>
          <cell r="X53">
            <v>-76023</v>
          </cell>
          <cell r="Y53">
            <v>-76023</v>
          </cell>
          <cell r="Z53">
            <v>-90043</v>
          </cell>
          <cell r="AA53">
            <v>-101956</v>
          </cell>
          <cell r="AB53">
            <v>-124132</v>
          </cell>
          <cell r="AC53">
            <v>-159226</v>
          </cell>
          <cell r="AD53">
            <v>-159226</v>
          </cell>
          <cell r="AE53">
            <v>-183251</v>
          </cell>
          <cell r="AF53">
            <v>-210309</v>
          </cell>
          <cell r="AG53">
            <v>-242059</v>
          </cell>
          <cell r="AH53">
            <v>-254942</v>
          </cell>
          <cell r="AI53">
            <v>-254942</v>
          </cell>
          <cell r="AJ53">
            <v>-285315</v>
          </cell>
          <cell r="AK53">
            <v>-315956</v>
          </cell>
          <cell r="AL53">
            <v>-339561</v>
          </cell>
          <cell r="AM53">
            <v>-364724</v>
          </cell>
          <cell r="AN53">
            <v>-364724</v>
          </cell>
          <cell r="AO53">
            <v>-405699</v>
          </cell>
          <cell r="AP53">
            <v>-432159</v>
          </cell>
          <cell r="AQ53">
            <v>-286274</v>
          </cell>
          <cell r="AR53">
            <v>-464885</v>
          </cell>
          <cell r="AS53">
            <v>-464885</v>
          </cell>
          <cell r="AT53">
            <v>-517178</v>
          </cell>
          <cell r="AU53">
            <v>-558961</v>
          </cell>
          <cell r="AV53">
            <v>-561645</v>
          </cell>
          <cell r="AW53">
            <v>-575839</v>
          </cell>
          <cell r="AX53">
            <v>-575839</v>
          </cell>
          <cell r="AY53">
            <v>-574201</v>
          </cell>
          <cell r="AZ53">
            <v>-602391</v>
          </cell>
          <cell r="BA53">
            <v>-615200</v>
          </cell>
          <cell r="BB53">
            <v>-626765</v>
          </cell>
          <cell r="BC53">
            <v>-626765</v>
          </cell>
          <cell r="BD53">
            <v>-660209.31964892871</v>
          </cell>
          <cell r="BE53">
            <v>-692679.02659994888</v>
          </cell>
          <cell r="BF53">
            <v>-729795.92411005043</v>
          </cell>
          <cell r="BG53">
            <v>-767947.53982453479</v>
          </cell>
          <cell r="BH53">
            <v>-767947.53982453479</v>
          </cell>
          <cell r="BI53">
            <v>-799702.66830470867</v>
          </cell>
          <cell r="BJ53">
            <v>-834472.14381874783</v>
          </cell>
          <cell r="BK53">
            <v>-872024.17056529515</v>
          </cell>
          <cell r="BL53">
            <v>-912600.14814902213</v>
          </cell>
          <cell r="BM53">
            <v>-912600.14814902213</v>
          </cell>
          <cell r="BN53">
            <v>-952361.05843193189</v>
          </cell>
          <cell r="BO53">
            <v>-994352.26404989243</v>
          </cell>
          <cell r="BP53">
            <v>-1038158.8524906219</v>
          </cell>
          <cell r="BQ53">
            <v>-1083992.8532403605</v>
          </cell>
          <cell r="BR53">
            <v>-1083992.8532403605</v>
          </cell>
          <cell r="BZ53" t="str">
            <v>mstag:retainedEarnings</v>
          </cell>
          <cell r="CA53">
            <v>3</v>
          </cell>
          <cell r="CB53" t="str">
            <v>ISO4217:USD</v>
          </cell>
          <cell r="CC53" t="b">
            <v>0</v>
          </cell>
          <cell r="CD53" t="b">
            <v>0</v>
          </cell>
        </row>
        <row r="55">
          <cell r="B55" t="str">
            <v>Total Liabilities + SE</v>
          </cell>
          <cell r="F55">
            <v>2298853</v>
          </cell>
          <cell r="G55">
            <v>2530801</v>
          </cell>
          <cell r="H55">
            <v>2651009</v>
          </cell>
          <cell r="I55">
            <v>2853653</v>
          </cell>
          <cell r="J55">
            <v>2853653</v>
          </cell>
          <cell r="K55">
            <v>3068855</v>
          </cell>
          <cell r="L55">
            <v>3427712</v>
          </cell>
          <cell r="M55">
            <v>5334662</v>
          </cell>
          <cell r="N55">
            <v>5486238</v>
          </cell>
          <cell r="O55">
            <v>5486238</v>
          </cell>
          <cell r="P55">
            <v>5646440</v>
          </cell>
          <cell r="Q55">
            <v>5729836</v>
          </cell>
          <cell r="R55">
            <v>5625895</v>
          </cell>
          <cell r="S55">
            <v>5460036</v>
          </cell>
          <cell r="T55">
            <v>5460036</v>
          </cell>
          <cell r="U55">
            <v>5479442</v>
          </cell>
          <cell r="V55">
            <v>5490486</v>
          </cell>
          <cell r="W55">
            <v>5304002</v>
          </cell>
          <cell r="X55">
            <v>5330033</v>
          </cell>
          <cell r="Y55">
            <v>5330033</v>
          </cell>
          <cell r="Z55">
            <v>5243468</v>
          </cell>
          <cell r="AA55">
            <v>5235891</v>
          </cell>
          <cell r="AB55">
            <v>5299464</v>
          </cell>
          <cell r="AC55">
            <v>5348823</v>
          </cell>
          <cell r="AD55">
            <v>5348823</v>
          </cell>
          <cell r="AE55">
            <v>5381023</v>
          </cell>
          <cell r="AF55">
            <v>5430926</v>
          </cell>
          <cell r="AG55">
            <v>5554955</v>
          </cell>
          <cell r="AH55">
            <v>5561249</v>
          </cell>
          <cell r="AI55">
            <v>5561249</v>
          </cell>
          <cell r="AJ55">
            <v>5626464</v>
          </cell>
          <cell r="AK55">
            <v>5735114</v>
          </cell>
          <cell r="AL55">
            <v>5882080</v>
          </cell>
          <cell r="AM55">
            <v>5896643</v>
          </cell>
          <cell r="AN55">
            <v>5896643</v>
          </cell>
          <cell r="AO55">
            <v>5945877</v>
          </cell>
          <cell r="AP55">
            <v>6204145</v>
          </cell>
          <cell r="AQ55">
            <v>5657032</v>
          </cell>
          <cell r="AR55">
            <v>5648810</v>
          </cell>
          <cell r="AS55">
            <v>5648810</v>
          </cell>
          <cell r="AT55">
            <v>6704019</v>
          </cell>
          <cell r="AU55">
            <v>7014473</v>
          </cell>
          <cell r="AV55">
            <v>7273542</v>
          </cell>
          <cell r="AW55">
            <v>7238595</v>
          </cell>
          <cell r="AX55">
            <v>7238595</v>
          </cell>
          <cell r="AY55">
            <v>7272485</v>
          </cell>
          <cell r="AZ55">
            <v>7302888</v>
          </cell>
          <cell r="BA55">
            <v>7416842</v>
          </cell>
          <cell r="BB55">
            <v>7661981</v>
          </cell>
          <cell r="BC55">
            <v>7661981</v>
          </cell>
          <cell r="BD55">
            <v>7679978.1810251335</v>
          </cell>
          <cell r="BE55">
            <v>7866865.8060122076</v>
          </cell>
          <cell r="BF55">
            <v>8010194.1101122024</v>
          </cell>
          <cell r="BG55">
            <v>8053872.4520991808</v>
          </cell>
          <cell r="BH55">
            <v>8053872.4520991808</v>
          </cell>
          <cell r="BI55">
            <v>8092529.1684715403</v>
          </cell>
          <cell r="BJ55">
            <v>8130465.2271069596</v>
          </cell>
          <cell r="BK55">
            <v>8166700.2683340879</v>
          </cell>
          <cell r="BL55">
            <v>8201232.670310664</v>
          </cell>
          <cell r="BM55">
            <v>8201232.670310664</v>
          </cell>
          <cell r="BN55">
            <v>8246871.9786778232</v>
          </cell>
          <cell r="BO55">
            <v>8293772.4518602332</v>
          </cell>
          <cell r="BP55">
            <v>8339059.7863564836</v>
          </cell>
          <cell r="BQ55">
            <v>8382728.4127378883</v>
          </cell>
          <cell r="BR55">
            <v>8382728.4127378883</v>
          </cell>
        </row>
        <row r="57">
          <cell r="B57" t="str">
            <v>Out of Balance</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-1</v>
          </cell>
          <cell r="AX57">
            <v>-1</v>
          </cell>
          <cell r="AY57">
            <v>0</v>
          </cell>
          <cell r="AZ57">
            <v>0</v>
          </cell>
          <cell r="BA57">
            <v>0</v>
          </cell>
          <cell r="BB57">
            <v>-4.1500000283122063E-2</v>
          </cell>
          <cell r="BC57">
            <v>-4.1500000283122063E-2</v>
          </cell>
          <cell r="BD57">
            <v>-4.1499999351799488E-2</v>
          </cell>
          <cell r="BE57">
            <v>-4.1499999351799488E-2</v>
          </cell>
          <cell r="BF57">
            <v>-4.1500001214444637E-2</v>
          </cell>
          <cell r="BG57">
            <v>-4.1499999351799488E-2</v>
          </cell>
          <cell r="BH57">
            <v>-4.1499999351799488E-2</v>
          </cell>
          <cell r="BI57">
            <v>-4.1500001214444637E-2</v>
          </cell>
          <cell r="BJ57">
            <v>-4.1499998420476913E-2</v>
          </cell>
          <cell r="BK57">
            <v>-4.1499999351799488E-2</v>
          </cell>
          <cell r="BL57">
            <v>-4.1499997489154339E-2</v>
          </cell>
          <cell r="BM57">
            <v>-4.1499997489154339E-2</v>
          </cell>
          <cell r="BN57">
            <v>-4.1499999351799488E-2</v>
          </cell>
          <cell r="BO57">
            <v>-4.149999562650919E-2</v>
          </cell>
          <cell r="BP57">
            <v>-4.1500000283122063E-2</v>
          </cell>
          <cell r="BQ57">
            <v>-4.149999562650919E-2</v>
          </cell>
          <cell r="BR57">
            <v>-4.149999562650919E-2</v>
          </cell>
        </row>
        <row r="59">
          <cell r="B59" t="str">
            <v>Funding Analysis</v>
          </cell>
        </row>
        <row r="61">
          <cell r="B61" t="str">
            <v>Common Stock Offerings:</v>
          </cell>
        </row>
        <row r="62">
          <cell r="B62" t="str">
            <v>Additional Shares Issued</v>
          </cell>
          <cell r="Z62">
            <v>0</v>
          </cell>
          <cell r="AA62">
            <v>0</v>
          </cell>
          <cell r="AB62">
            <v>0</v>
          </cell>
          <cell r="AC62">
            <v>0</v>
          </cell>
          <cell r="AE62">
            <v>0</v>
          </cell>
          <cell r="AF62">
            <v>0</v>
          </cell>
          <cell r="AG62">
            <v>0</v>
          </cell>
          <cell r="AH62">
            <v>0</v>
          </cell>
          <cell r="AJ62">
            <v>0</v>
          </cell>
          <cell r="AK62">
            <v>0</v>
          </cell>
          <cell r="AL62">
            <v>0</v>
          </cell>
          <cell r="AM62">
            <v>0</v>
          </cell>
          <cell r="AN62">
            <v>0</v>
          </cell>
          <cell r="AO62">
            <v>0</v>
          </cell>
          <cell r="AP62">
            <v>0</v>
          </cell>
          <cell r="AQ62">
            <v>0</v>
          </cell>
          <cell r="AR62">
            <v>-5759.3633940503696</v>
          </cell>
          <cell r="AS62">
            <v>-5759.3633940503696</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row>
        <row r="63">
          <cell r="B63" t="str">
            <v>Stock Price - Quarterly  Compounded @</v>
          </cell>
          <cell r="C63">
            <v>2.5000000000000001E-2</v>
          </cell>
          <cell r="Z63">
            <v>26</v>
          </cell>
          <cell r="AA63">
            <v>28.95</v>
          </cell>
          <cell r="AB63">
            <v>24.62</v>
          </cell>
          <cell r="AC63">
            <v>25.45</v>
          </cell>
          <cell r="AE63">
            <v>26.98</v>
          </cell>
          <cell r="AF63">
            <v>27.55</v>
          </cell>
          <cell r="AG63">
            <v>29.2</v>
          </cell>
          <cell r="AH63">
            <v>31</v>
          </cell>
          <cell r="AJ63">
            <v>34.72</v>
          </cell>
          <cell r="AK63">
            <v>31.81</v>
          </cell>
          <cell r="AL63">
            <v>33.200000000000003</v>
          </cell>
          <cell r="AM63">
            <v>34.14</v>
          </cell>
          <cell r="AO63">
            <v>29.85</v>
          </cell>
          <cell r="AP63">
            <v>31.66</v>
          </cell>
          <cell r="AQ63">
            <v>33.880000000000003</v>
          </cell>
          <cell r="AR63">
            <v>33.4</v>
          </cell>
          <cell r="AS63">
            <v>-2.1675454012888166E-2</v>
          </cell>
          <cell r="AT63">
            <v>37.950000000000003</v>
          </cell>
          <cell r="AU63">
            <v>35.15</v>
          </cell>
          <cell r="AV63">
            <v>37.35</v>
          </cell>
          <cell r="AW63">
            <v>40.9</v>
          </cell>
          <cell r="AX63">
            <v>0.22455089820359284</v>
          </cell>
          <cell r="AY63">
            <v>43.47</v>
          </cell>
          <cell r="AZ63">
            <v>35.67</v>
          </cell>
          <cell r="BA63">
            <v>33.81</v>
          </cell>
          <cell r="BB63">
            <v>26.08</v>
          </cell>
          <cell r="BC63">
            <v>-0.36234718826405871</v>
          </cell>
          <cell r="BD63">
            <v>26.731999999999996</v>
          </cell>
          <cell r="BE63">
            <v>27.400299999999994</v>
          </cell>
          <cell r="BF63">
            <v>28.085307499999992</v>
          </cell>
          <cell r="BG63">
            <v>28.787440187499989</v>
          </cell>
          <cell r="BH63">
            <v>0.10381289062499965</v>
          </cell>
          <cell r="BI63">
            <v>29.507126192187485</v>
          </cell>
          <cell r="BJ63">
            <v>30.244804346992169</v>
          </cell>
          <cell r="BK63">
            <v>31.000924455666969</v>
          </cell>
          <cell r="BL63">
            <v>31.77594756705864</v>
          </cell>
          <cell r="BM63">
            <v>0.1038128906249995</v>
          </cell>
          <cell r="BN63">
            <v>32.570346256235105</v>
          </cell>
          <cell r="BO63">
            <v>33.384604912640981</v>
          </cell>
          <cell r="BP63">
            <v>34.219220035456999</v>
          </cell>
          <cell r="BQ63">
            <v>35.074700536343421</v>
          </cell>
          <cell r="BR63">
            <v>0.1038128906249996</v>
          </cell>
        </row>
        <row r="64">
          <cell r="B64" t="str">
            <v>Gross Proceeds</v>
          </cell>
          <cell r="Z64">
            <v>0</v>
          </cell>
          <cell r="AA64">
            <v>0</v>
          </cell>
          <cell r="AB64">
            <v>0</v>
          </cell>
          <cell r="AC64">
            <v>0</v>
          </cell>
          <cell r="AE64">
            <v>0</v>
          </cell>
          <cell r="AF64">
            <v>0</v>
          </cell>
          <cell r="AG64">
            <v>0</v>
          </cell>
          <cell r="AH64">
            <v>0</v>
          </cell>
          <cell r="AJ64">
            <v>0</v>
          </cell>
          <cell r="AK64">
            <v>0</v>
          </cell>
          <cell r="AL64">
            <v>0</v>
          </cell>
          <cell r="AM64">
            <v>0</v>
          </cell>
          <cell r="AN64">
            <v>0</v>
          </cell>
          <cell r="AO64">
            <v>0</v>
          </cell>
          <cell r="AP64">
            <v>0</v>
          </cell>
          <cell r="AQ64">
            <v>0</v>
          </cell>
          <cell r="AR64">
            <v>-192362.73736128234</v>
          </cell>
          <cell r="AS64">
            <v>-192362.73736128234</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row>
        <row r="65">
          <cell r="B65" t="str">
            <v>Issuance Costs</v>
          </cell>
          <cell r="Z65">
            <v>5.5E-2</v>
          </cell>
          <cell r="AA65">
            <v>5.5E-2</v>
          </cell>
          <cell r="AB65">
            <v>5.5E-2</v>
          </cell>
          <cell r="AC65">
            <v>5.5E-2</v>
          </cell>
          <cell r="AE65">
            <v>5.5E-2</v>
          </cell>
          <cell r="AF65">
            <v>5.5E-2</v>
          </cell>
          <cell r="AG65">
            <v>5.5E-2</v>
          </cell>
          <cell r="AH65">
            <v>5.5E-2</v>
          </cell>
          <cell r="AJ65">
            <v>5.5E-2</v>
          </cell>
          <cell r="AK65">
            <v>5.5E-2</v>
          </cell>
          <cell r="AL65">
            <v>5.5E-2</v>
          </cell>
          <cell r="AM65">
            <v>5.5E-2</v>
          </cell>
          <cell r="AO65">
            <v>5.5E-2</v>
          </cell>
          <cell r="AP65">
            <v>5.5E-2</v>
          </cell>
          <cell r="AQ65">
            <v>5.5E-2</v>
          </cell>
          <cell r="AR65">
            <v>0</v>
          </cell>
          <cell r="AT65">
            <v>5.5E-2</v>
          </cell>
          <cell r="AU65">
            <v>5.5E-2</v>
          </cell>
          <cell r="AV65">
            <v>5.5E-2</v>
          </cell>
          <cell r="AW65">
            <v>5.5E-2</v>
          </cell>
          <cell r="AY65">
            <v>5.5E-2</v>
          </cell>
          <cell r="AZ65">
            <v>5.5E-2</v>
          </cell>
          <cell r="BA65">
            <v>5.5E-2</v>
          </cell>
          <cell r="BB65">
            <v>5.5E-2</v>
          </cell>
          <cell r="BD65">
            <v>5.5E-2</v>
          </cell>
          <cell r="BE65">
            <v>5.5E-2</v>
          </cell>
          <cell r="BF65">
            <v>5.5E-2</v>
          </cell>
          <cell r="BG65">
            <v>5.5E-2</v>
          </cell>
          <cell r="BI65">
            <v>5.5E-2</v>
          </cell>
          <cell r="BJ65">
            <v>5.5E-2</v>
          </cell>
          <cell r="BK65">
            <v>5.5E-2</v>
          </cell>
          <cell r="BL65">
            <v>5.5E-2</v>
          </cell>
          <cell r="BN65">
            <v>5.5E-2</v>
          </cell>
          <cell r="BO65">
            <v>5.5E-2</v>
          </cell>
          <cell r="BP65">
            <v>5.5E-2</v>
          </cell>
          <cell r="BQ65">
            <v>5.5E-2</v>
          </cell>
        </row>
        <row r="66">
          <cell r="B66" t="str">
            <v>Net Proceeds (used to Repay Debt)</v>
          </cell>
          <cell r="Z66">
            <v>40043</v>
          </cell>
          <cell r="AA66">
            <v>36474</v>
          </cell>
          <cell r="AB66">
            <v>163923</v>
          </cell>
          <cell r="AC66">
            <v>3843</v>
          </cell>
          <cell r="AD66">
            <v>244283</v>
          </cell>
          <cell r="AE66">
            <v>5892</v>
          </cell>
          <cell r="AF66">
            <v>2407</v>
          </cell>
          <cell r="AG66">
            <v>15477</v>
          </cell>
          <cell r="AH66">
            <v>20779</v>
          </cell>
          <cell r="AI66">
            <v>44555</v>
          </cell>
          <cell r="AJ66">
            <v>139951</v>
          </cell>
          <cell r="AK66">
            <v>3928</v>
          </cell>
          <cell r="AL66">
            <v>11344</v>
          </cell>
          <cell r="AM66">
            <v>3484</v>
          </cell>
          <cell r="AN66">
            <v>158707</v>
          </cell>
          <cell r="AO66">
            <v>17159</v>
          </cell>
          <cell r="AP66">
            <v>2374</v>
          </cell>
          <cell r="AQ66">
            <v>-92017</v>
          </cell>
          <cell r="AR66">
            <v>-199855</v>
          </cell>
          <cell r="AS66">
            <v>-272339</v>
          </cell>
          <cell r="AT66">
            <v>501</v>
          </cell>
          <cell r="AU66">
            <v>8211</v>
          </cell>
          <cell r="AV66">
            <v>2748</v>
          </cell>
          <cell r="AW66">
            <v>-81274</v>
          </cell>
          <cell r="AX66">
            <v>-69814</v>
          </cell>
          <cell r="AY66">
            <v>123275</v>
          </cell>
          <cell r="AZ66">
            <v>3078</v>
          </cell>
          <cell r="BA66">
            <v>55886</v>
          </cell>
          <cell r="BB66">
            <v>254101</v>
          </cell>
          <cell r="BC66">
            <v>436340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Z66" t="str">
            <v>mstag:netIssuanceRepurchaseOfCommonStock</v>
          </cell>
          <cell r="CA66">
            <v>3</v>
          </cell>
          <cell r="CB66" t="str">
            <v>ISO4217:USD</v>
          </cell>
          <cell r="CC66" t="b">
            <v>0</v>
          </cell>
          <cell r="CD66" t="b">
            <v>0</v>
          </cell>
        </row>
        <row r="69">
          <cell r="B69" t="str">
            <v>Total Shares &amp; Units Out. (Begining)</v>
          </cell>
          <cell r="Z69">
            <v>148438</v>
          </cell>
          <cell r="AA69">
            <v>149021</v>
          </cell>
          <cell r="AB69">
            <v>149694</v>
          </cell>
          <cell r="AC69">
            <v>149869</v>
          </cell>
          <cell r="AE69">
            <v>149906</v>
          </cell>
          <cell r="AF69">
            <v>150054</v>
          </cell>
          <cell r="AG69">
            <v>150232</v>
          </cell>
          <cell r="AH69">
            <v>150481</v>
          </cell>
          <cell r="AJ69">
            <v>150705</v>
          </cell>
          <cell r="AK69">
            <v>155971</v>
          </cell>
          <cell r="AL69">
            <v>156061</v>
          </cell>
          <cell r="AM69">
            <v>156314</v>
          </cell>
          <cell r="AO69">
            <v>156940</v>
          </cell>
          <cell r="AP69">
            <v>156967</v>
          </cell>
          <cell r="AQ69">
            <v>157003</v>
          </cell>
          <cell r="AR69">
            <v>154083</v>
          </cell>
          <cell r="AT69">
            <v>148095</v>
          </cell>
          <cell r="AU69">
            <v>148248</v>
          </cell>
          <cell r="AV69">
            <v>148297</v>
          </cell>
          <cell r="AW69">
            <v>148368</v>
          </cell>
          <cell r="AY69">
            <v>146328</v>
          </cell>
          <cell r="AZ69">
            <v>146688</v>
          </cell>
          <cell r="BA69">
            <v>146714</v>
          </cell>
          <cell r="BB69">
            <v>146688</v>
          </cell>
          <cell r="BD69">
            <v>154066</v>
          </cell>
          <cell r="BE69">
            <v>155225.23000000001</v>
          </cell>
          <cell r="BF69">
            <v>156696.02230000001</v>
          </cell>
          <cell r="BG69">
            <v>158181.52252300002</v>
          </cell>
          <cell r="BI69">
            <v>159681.87774823004</v>
          </cell>
          <cell r="BJ69">
            <v>161197.23652571233</v>
          </cell>
          <cell r="BK69">
            <v>162727.74889096947</v>
          </cell>
          <cell r="BL69">
            <v>164273.56637987916</v>
          </cell>
          <cell r="BN69">
            <v>165834.84204367796</v>
          </cell>
          <cell r="BO69">
            <v>167411.73046411475</v>
          </cell>
          <cell r="BP69">
            <v>169004.3877687559</v>
          </cell>
          <cell r="BQ69">
            <v>170612.97164644345</v>
          </cell>
        </row>
        <row r="70">
          <cell r="B70" t="str">
            <v>Additional Shares Issued</v>
          </cell>
          <cell r="Z70">
            <v>0</v>
          </cell>
          <cell r="AA70">
            <v>0</v>
          </cell>
          <cell r="AB70">
            <v>0</v>
          </cell>
          <cell r="AC70">
            <v>0</v>
          </cell>
          <cell r="AE70">
            <v>0</v>
          </cell>
          <cell r="AF70">
            <v>0</v>
          </cell>
          <cell r="AG70">
            <v>0</v>
          </cell>
          <cell r="AH70">
            <v>0</v>
          </cell>
          <cell r="AJ70">
            <v>0</v>
          </cell>
          <cell r="AK70">
            <v>0</v>
          </cell>
          <cell r="AL70">
            <v>0</v>
          </cell>
          <cell r="AM70">
            <v>0</v>
          </cell>
          <cell r="AO70">
            <v>0</v>
          </cell>
          <cell r="AP70">
            <v>0</v>
          </cell>
          <cell r="AQ70">
            <v>0</v>
          </cell>
          <cell r="AR70">
            <v>-5759.3633940503696</v>
          </cell>
          <cell r="AT70">
            <v>0</v>
          </cell>
          <cell r="AU70">
            <v>0</v>
          </cell>
          <cell r="AV70">
            <v>0</v>
          </cell>
          <cell r="AW70">
            <v>0</v>
          </cell>
          <cell r="AY70">
            <v>0</v>
          </cell>
          <cell r="AZ70">
            <v>0</v>
          </cell>
          <cell r="BA70">
            <v>0</v>
          </cell>
          <cell r="BB70">
            <v>0</v>
          </cell>
          <cell r="BD70">
            <v>0</v>
          </cell>
          <cell r="BE70">
            <v>0</v>
          </cell>
          <cell r="BF70">
            <v>0</v>
          </cell>
          <cell r="BG70">
            <v>0</v>
          </cell>
          <cell r="BI70">
            <v>0</v>
          </cell>
          <cell r="BJ70">
            <v>0</v>
          </cell>
          <cell r="BK70">
            <v>0</v>
          </cell>
          <cell r="BL70">
            <v>0</v>
          </cell>
          <cell r="BN70">
            <v>0</v>
          </cell>
          <cell r="BO70">
            <v>0</v>
          </cell>
          <cell r="BP70">
            <v>0</v>
          </cell>
          <cell r="BQ70">
            <v>0</v>
          </cell>
        </row>
        <row r="71">
          <cell r="B71" t="str">
            <v>Weighting</v>
          </cell>
          <cell r="Z71">
            <v>0.5</v>
          </cell>
          <cell r="AA71">
            <v>0.5</v>
          </cell>
          <cell r="AB71">
            <v>0.5</v>
          </cell>
          <cell r="AC71">
            <v>0.5</v>
          </cell>
          <cell r="AE71">
            <v>0.5</v>
          </cell>
          <cell r="AF71">
            <v>0.5</v>
          </cell>
          <cell r="AG71">
            <v>0.5</v>
          </cell>
          <cell r="AH71">
            <v>0.5</v>
          </cell>
          <cell r="AJ71">
            <v>0.5</v>
          </cell>
          <cell r="AK71">
            <v>0.5</v>
          </cell>
          <cell r="AL71">
            <v>0.5</v>
          </cell>
          <cell r="AM71">
            <v>0.5</v>
          </cell>
          <cell r="AO71">
            <v>0.5</v>
          </cell>
          <cell r="AP71">
            <v>0.5</v>
          </cell>
          <cell r="AQ71">
            <v>0.5</v>
          </cell>
          <cell r="AR71">
            <v>0.5</v>
          </cell>
          <cell r="AT71">
            <v>0.5</v>
          </cell>
          <cell r="AU71">
            <v>0.5</v>
          </cell>
          <cell r="AV71">
            <v>0.5</v>
          </cell>
          <cell r="AW71">
            <v>0.5</v>
          </cell>
          <cell r="AY71">
            <v>0.5</v>
          </cell>
          <cell r="AZ71">
            <v>0.5</v>
          </cell>
          <cell r="BA71">
            <v>0.5</v>
          </cell>
          <cell r="BB71">
            <v>0.5</v>
          </cell>
          <cell r="BD71">
            <v>0.5</v>
          </cell>
          <cell r="BE71">
            <v>0.5</v>
          </cell>
          <cell r="BF71">
            <v>0.5</v>
          </cell>
          <cell r="BG71">
            <v>0.5</v>
          </cell>
          <cell r="BI71">
            <v>0.5</v>
          </cell>
          <cell r="BJ71">
            <v>0.5</v>
          </cell>
          <cell r="BK71">
            <v>0.5</v>
          </cell>
          <cell r="BL71">
            <v>0.5</v>
          </cell>
          <cell r="BN71">
            <v>0.5</v>
          </cell>
          <cell r="BO71">
            <v>0.5</v>
          </cell>
          <cell r="BP71">
            <v>0.5</v>
          </cell>
          <cell r="BQ71">
            <v>0.5</v>
          </cell>
        </row>
        <row r="72">
          <cell r="B72" t="str">
            <v>Weighted Shares Issued</v>
          </cell>
          <cell r="Z72">
            <v>0</v>
          </cell>
          <cell r="AA72">
            <v>0</v>
          </cell>
          <cell r="AB72">
            <v>0</v>
          </cell>
          <cell r="AC72">
            <v>0</v>
          </cell>
          <cell r="AE72">
            <v>0</v>
          </cell>
          <cell r="AF72">
            <v>0</v>
          </cell>
          <cell r="AG72">
            <v>0</v>
          </cell>
          <cell r="AH72">
            <v>0</v>
          </cell>
          <cell r="AJ72">
            <v>0</v>
          </cell>
          <cell r="AK72">
            <v>0</v>
          </cell>
          <cell r="AL72">
            <v>0</v>
          </cell>
          <cell r="AM72">
            <v>0</v>
          </cell>
          <cell r="AO72">
            <v>0</v>
          </cell>
          <cell r="AP72">
            <v>0</v>
          </cell>
          <cell r="AQ72">
            <v>0</v>
          </cell>
          <cell r="AR72">
            <v>-2879.6816970251848</v>
          </cell>
          <cell r="AT72">
            <v>0</v>
          </cell>
          <cell r="AU72">
            <v>0</v>
          </cell>
          <cell r="AV72">
            <v>0</v>
          </cell>
          <cell r="AW72">
            <v>0</v>
          </cell>
          <cell r="AY72">
            <v>0</v>
          </cell>
          <cell r="AZ72">
            <v>0</v>
          </cell>
          <cell r="BA72">
            <v>0</v>
          </cell>
          <cell r="BB72">
            <v>0</v>
          </cell>
          <cell r="BD72">
            <v>0</v>
          </cell>
          <cell r="BE72">
            <v>0</v>
          </cell>
          <cell r="BF72">
            <v>0</v>
          </cell>
          <cell r="BG72">
            <v>0</v>
          </cell>
          <cell r="BI72">
            <v>0</v>
          </cell>
          <cell r="BJ72">
            <v>0</v>
          </cell>
          <cell r="BK72">
            <v>0</v>
          </cell>
          <cell r="BL72">
            <v>0</v>
          </cell>
          <cell r="BN72">
            <v>0</v>
          </cell>
          <cell r="BO72">
            <v>0</v>
          </cell>
          <cell r="BP72">
            <v>0</v>
          </cell>
          <cell r="BQ72">
            <v>0</v>
          </cell>
        </row>
        <row r="73">
          <cell r="B73" t="str">
            <v>Weighted Avg. Shares &amp; Units Out.</v>
          </cell>
          <cell r="Z73">
            <v>157492</v>
          </cell>
          <cell r="AA73">
            <v>149021</v>
          </cell>
          <cell r="AB73">
            <v>157405</v>
          </cell>
          <cell r="AC73">
            <v>155700</v>
          </cell>
          <cell r="AE73">
            <v>149906</v>
          </cell>
          <cell r="AF73">
            <v>150054</v>
          </cell>
          <cell r="AG73">
            <v>150232</v>
          </cell>
          <cell r="AH73">
            <v>150481</v>
          </cell>
          <cell r="AJ73">
            <v>150705</v>
          </cell>
          <cell r="AK73">
            <v>155971</v>
          </cell>
          <cell r="AL73">
            <v>156061</v>
          </cell>
          <cell r="AM73">
            <v>156314</v>
          </cell>
          <cell r="AO73">
            <v>156940</v>
          </cell>
          <cell r="AP73">
            <v>156967</v>
          </cell>
          <cell r="AQ73">
            <v>157003</v>
          </cell>
          <cell r="AR73">
            <v>151203.3183029748</v>
          </cell>
          <cell r="AT73">
            <v>148095</v>
          </cell>
          <cell r="AU73">
            <v>148248</v>
          </cell>
          <cell r="AV73">
            <v>148297</v>
          </cell>
          <cell r="AW73">
            <v>148368</v>
          </cell>
          <cell r="AY73">
            <v>146328</v>
          </cell>
          <cell r="AZ73">
            <v>146688</v>
          </cell>
          <cell r="BA73">
            <v>146714</v>
          </cell>
          <cell r="BB73">
            <v>146688</v>
          </cell>
          <cell r="BD73">
            <v>154066</v>
          </cell>
          <cell r="BE73">
            <v>155225.23000000001</v>
          </cell>
          <cell r="BF73">
            <v>156696.02230000001</v>
          </cell>
          <cell r="BG73">
            <v>158181.52252300002</v>
          </cell>
          <cell r="BI73">
            <v>159681.87774823004</v>
          </cell>
          <cell r="BJ73">
            <v>161197.23652571233</v>
          </cell>
          <cell r="BK73">
            <v>162727.74889096947</v>
          </cell>
          <cell r="BL73">
            <v>164273.56637987916</v>
          </cell>
          <cell r="BN73">
            <v>165834.84204367796</v>
          </cell>
          <cell r="BO73">
            <v>167411.73046411475</v>
          </cell>
          <cell r="BP73">
            <v>169004.3877687559</v>
          </cell>
          <cell r="BQ73">
            <v>170612.97164644345</v>
          </cell>
        </row>
        <row r="74">
          <cell r="B74" t="str">
            <v>Total Shares &amp; Units Out. (Ending)</v>
          </cell>
          <cell r="Z74">
            <v>149021</v>
          </cell>
          <cell r="AA74">
            <v>149694</v>
          </cell>
          <cell r="AB74">
            <v>149869</v>
          </cell>
          <cell r="AC74">
            <v>149906</v>
          </cell>
          <cell r="AE74">
            <v>150054</v>
          </cell>
          <cell r="AF74">
            <v>150232</v>
          </cell>
          <cell r="AG74">
            <v>150481</v>
          </cell>
          <cell r="AH74">
            <v>150705</v>
          </cell>
          <cell r="AJ74">
            <v>155971</v>
          </cell>
          <cell r="AK74">
            <v>156061</v>
          </cell>
          <cell r="AL74">
            <v>156314</v>
          </cell>
          <cell r="AM74">
            <v>156940</v>
          </cell>
          <cell r="AO74">
            <v>156967</v>
          </cell>
          <cell r="AP74">
            <v>157003</v>
          </cell>
          <cell r="AQ74">
            <v>154083</v>
          </cell>
          <cell r="AR74">
            <v>148095</v>
          </cell>
          <cell r="AT74">
            <v>148248</v>
          </cell>
          <cell r="AU74">
            <v>148297</v>
          </cell>
          <cell r="AV74">
            <v>148368</v>
          </cell>
          <cell r="AW74">
            <v>146328</v>
          </cell>
          <cell r="AY74">
            <v>146688</v>
          </cell>
          <cell r="AZ74">
            <v>146714</v>
          </cell>
          <cell r="BA74">
            <v>146688</v>
          </cell>
          <cell r="BB74">
            <v>154066</v>
          </cell>
          <cell r="BD74">
            <v>155225.23000000001</v>
          </cell>
          <cell r="BE74">
            <v>156696.02230000001</v>
          </cell>
          <cell r="BF74">
            <v>158181.52252300002</v>
          </cell>
          <cell r="BG74">
            <v>159681.87774823004</v>
          </cell>
          <cell r="BI74">
            <v>161197.23652571233</v>
          </cell>
          <cell r="BJ74">
            <v>162727.74889096947</v>
          </cell>
          <cell r="BK74">
            <v>164273.56637987916</v>
          </cell>
          <cell r="BL74">
            <v>165834.84204367796</v>
          </cell>
          <cell r="BN74">
            <v>167411.73046411475</v>
          </cell>
          <cell r="BO74">
            <v>169004.3877687559</v>
          </cell>
          <cell r="BP74">
            <v>170612.97164644345</v>
          </cell>
          <cell r="BQ74">
            <v>172237.64136290789</v>
          </cell>
        </row>
        <row r="76">
          <cell r="B76" t="str">
            <v>Uses of Cash:</v>
          </cell>
        </row>
        <row r="77">
          <cell r="B77" t="str">
            <v xml:space="preserve">  Acquisitions</v>
          </cell>
          <cell r="BD77">
            <v>25000</v>
          </cell>
          <cell r="BE77">
            <v>25000</v>
          </cell>
          <cell r="BF77">
            <v>25000</v>
          </cell>
          <cell r="BG77">
            <v>25000</v>
          </cell>
          <cell r="BI77">
            <v>50000</v>
          </cell>
          <cell r="BJ77">
            <v>50000</v>
          </cell>
          <cell r="BK77">
            <v>50000</v>
          </cell>
          <cell r="BL77">
            <v>50000</v>
          </cell>
          <cell r="BN77">
            <v>37500</v>
          </cell>
          <cell r="BO77">
            <v>37500</v>
          </cell>
          <cell r="BP77">
            <v>37500</v>
          </cell>
          <cell r="BQ77">
            <v>37500</v>
          </cell>
        </row>
        <row r="78">
          <cell r="B78" t="str">
            <v xml:space="preserve">  Equity repurchase</v>
          </cell>
        </row>
        <row r="79">
          <cell r="B79" t="str">
            <v xml:space="preserve">  Developments - Core</v>
          </cell>
          <cell r="BD79">
            <v>149335.66250000001</v>
          </cell>
          <cell r="BE79">
            <v>231851.14</v>
          </cell>
          <cell r="BF79">
            <v>198615.46599999999</v>
          </cell>
          <cell r="BG79">
            <v>100000</v>
          </cell>
          <cell r="BI79">
            <v>100000</v>
          </cell>
          <cell r="BJ79">
            <v>100000</v>
          </cell>
          <cell r="BK79">
            <v>100000</v>
          </cell>
          <cell r="BL79">
            <v>100000</v>
          </cell>
          <cell r="BN79">
            <v>125000</v>
          </cell>
          <cell r="BO79">
            <v>125000</v>
          </cell>
          <cell r="BP79">
            <v>125000</v>
          </cell>
          <cell r="BQ79">
            <v>125000</v>
          </cell>
        </row>
        <row r="80">
          <cell r="B80" t="str">
            <v xml:space="preserve">  Developments - Build to Suit</v>
          </cell>
          <cell r="BD80">
            <v>34877.589</v>
          </cell>
          <cell r="BE80">
            <v>85708.107999999993</v>
          </cell>
          <cell r="BF80">
            <v>78373.892999999996</v>
          </cell>
          <cell r="BG80">
            <v>78373.892999999996</v>
          </cell>
          <cell r="BI80">
            <v>128373.893</v>
          </cell>
          <cell r="BJ80">
            <v>128373.893</v>
          </cell>
          <cell r="BK80">
            <v>128373.893</v>
          </cell>
          <cell r="BL80">
            <v>128373.893</v>
          </cell>
          <cell r="BN80">
            <v>128373.893</v>
          </cell>
          <cell r="BO80">
            <v>128373.893</v>
          </cell>
          <cell r="BP80">
            <v>128373.893</v>
          </cell>
          <cell r="BQ80">
            <v>128373.893</v>
          </cell>
        </row>
        <row r="81">
          <cell r="B81" t="str">
            <v xml:space="preserve">  Dispositions - Core</v>
          </cell>
          <cell r="BD81">
            <v>-62500</v>
          </cell>
          <cell r="BE81">
            <v>-62500</v>
          </cell>
          <cell r="BF81">
            <v>-62500</v>
          </cell>
          <cell r="BG81">
            <v>-62500</v>
          </cell>
          <cell r="BI81">
            <v>-87500</v>
          </cell>
          <cell r="BJ81">
            <v>-87500</v>
          </cell>
          <cell r="BK81">
            <v>-87500</v>
          </cell>
          <cell r="BL81">
            <v>-87500</v>
          </cell>
          <cell r="BN81">
            <v>-87500</v>
          </cell>
          <cell r="BO81">
            <v>-87500</v>
          </cell>
          <cell r="BP81">
            <v>-87500</v>
          </cell>
          <cell r="BQ81">
            <v>-87500</v>
          </cell>
        </row>
        <row r="82">
          <cell r="B82" t="str">
            <v xml:space="preserve">  Dispositions - Build to Suit</v>
          </cell>
          <cell r="BD82">
            <v>-61600.000000000007</v>
          </cell>
          <cell r="BE82">
            <v>-61600.000000000007</v>
          </cell>
          <cell r="BF82">
            <v>-61600.000000000007</v>
          </cell>
          <cell r="BG82">
            <v>-61600.000000000007</v>
          </cell>
          <cell r="BI82">
            <v>-127124.99999999999</v>
          </cell>
          <cell r="BJ82">
            <v>-126000.00000000001</v>
          </cell>
          <cell r="BK82">
            <v>-126000.00000000001</v>
          </cell>
          <cell r="BL82">
            <v>-126000.00000000001</v>
          </cell>
          <cell r="BN82">
            <v>-129374.99999999999</v>
          </cell>
          <cell r="BO82">
            <v>-126000.00000000001</v>
          </cell>
          <cell r="BP82">
            <v>-126000.00000000001</v>
          </cell>
          <cell r="BQ82">
            <v>-126000.00000000001</v>
          </cell>
        </row>
        <row r="83">
          <cell r="B83" t="str">
            <v>Net Funding Requirements</v>
          </cell>
          <cell r="BD83">
            <v>85113.251500000013</v>
          </cell>
          <cell r="BE83">
            <v>218459.24800000002</v>
          </cell>
          <cell r="BF83">
            <v>177889.359</v>
          </cell>
          <cell r="BG83">
            <v>79273.892999999982</v>
          </cell>
          <cell r="BI83">
            <v>63748.892999999996</v>
          </cell>
          <cell r="BJ83">
            <v>64873.892999999967</v>
          </cell>
          <cell r="BK83">
            <v>64873.892999999967</v>
          </cell>
          <cell r="BL83">
            <v>64873.892999999967</v>
          </cell>
          <cell r="BN83">
            <v>73998.892999999996</v>
          </cell>
          <cell r="BO83">
            <v>77373.892999999967</v>
          </cell>
          <cell r="BP83">
            <v>77373.892999999967</v>
          </cell>
          <cell r="BQ83">
            <v>77373.892999999967</v>
          </cell>
        </row>
        <row r="85">
          <cell r="B85" t="str">
            <v>Sources of Cash:</v>
          </cell>
        </row>
        <row r="86">
          <cell r="B86" t="str">
            <v xml:space="preserve">  Beginning Cash</v>
          </cell>
          <cell r="BD86">
            <v>48011.958500000037</v>
          </cell>
          <cell r="BE86">
            <v>10000.000000000015</v>
          </cell>
          <cell r="BF86">
            <v>10000.000000000015</v>
          </cell>
          <cell r="BG86">
            <v>10000.000000000015</v>
          </cell>
          <cell r="BI86">
            <v>9999.9999999999727</v>
          </cell>
          <cell r="BJ86">
            <v>10000.000000000031</v>
          </cell>
          <cell r="BK86">
            <v>9999.9999999999891</v>
          </cell>
          <cell r="BL86">
            <v>10000.00000000002</v>
          </cell>
          <cell r="BN86">
            <v>9999.9999999999782</v>
          </cell>
          <cell r="BO86">
            <v>10000.000000000082</v>
          </cell>
          <cell r="BP86">
            <v>9999.9999999999673</v>
          </cell>
          <cell r="BQ86">
            <v>9999.9999999999691</v>
          </cell>
        </row>
        <row r="87">
          <cell r="B87" t="str">
            <v xml:space="preserve">  Retained Cash</v>
          </cell>
          <cell r="BD87">
            <v>-7560.6671749261568</v>
          </cell>
          <cell r="BE87">
            <v>-4092.2293920391658</v>
          </cell>
          <cell r="BF87">
            <v>-5753.588787848521</v>
          </cell>
          <cell r="BG87">
            <v>-5954.6285996905626</v>
          </cell>
          <cell r="BI87">
            <v>-10078.337425321251</v>
          </cell>
          <cell r="BJ87">
            <v>-11258.711607939926</v>
          </cell>
          <cell r="BK87">
            <v>-12351.916230804241</v>
          </cell>
          <cell r="BL87">
            <v>-13684.884776114179</v>
          </cell>
          <cell r="BN87">
            <v>-14858.936652242452</v>
          </cell>
          <cell r="BO87">
            <v>-14982.42835673761</v>
          </cell>
          <cell r="BP87">
            <v>-15191.976872380079</v>
          </cell>
          <cell r="BQ87">
            <v>-15608.255067819393</v>
          </cell>
        </row>
        <row r="88">
          <cell r="B88" t="str">
            <v xml:space="preserve">  Common Equity Issuance</v>
          </cell>
          <cell r="BD88">
            <v>0</v>
          </cell>
          <cell r="BE88">
            <v>0</v>
          </cell>
          <cell r="BF88">
            <v>0</v>
          </cell>
          <cell r="BG88">
            <v>0</v>
          </cell>
          <cell r="BI88">
            <v>0</v>
          </cell>
          <cell r="BJ88">
            <v>0</v>
          </cell>
          <cell r="BK88">
            <v>0</v>
          </cell>
          <cell r="BL88">
            <v>0</v>
          </cell>
          <cell r="BN88">
            <v>0</v>
          </cell>
          <cell r="BO88">
            <v>0</v>
          </cell>
          <cell r="BP88">
            <v>0</v>
          </cell>
          <cell r="BQ88">
            <v>0</v>
          </cell>
        </row>
        <row r="89">
          <cell r="B89" t="str">
            <v xml:space="preserve">  Issuance of Preferred Stock</v>
          </cell>
          <cell r="BD89">
            <v>0</v>
          </cell>
          <cell r="BE89">
            <v>0</v>
          </cell>
          <cell r="BF89">
            <v>0</v>
          </cell>
          <cell r="BG89">
            <v>0</v>
          </cell>
          <cell r="BI89">
            <v>0</v>
          </cell>
          <cell r="BJ89">
            <v>0</v>
          </cell>
          <cell r="BK89">
            <v>0</v>
          </cell>
          <cell r="BL89">
            <v>0</v>
          </cell>
          <cell r="BN89">
            <v>0</v>
          </cell>
          <cell r="BO89">
            <v>0</v>
          </cell>
          <cell r="BP89">
            <v>0</v>
          </cell>
          <cell r="BQ89">
            <v>0</v>
          </cell>
        </row>
        <row r="90">
          <cell r="B90" t="str">
            <v xml:space="preserve">  Issuance of Debt</v>
          </cell>
          <cell r="BB90">
            <v>112852</v>
          </cell>
          <cell r="BD90">
            <v>54661.960174926135</v>
          </cell>
          <cell r="BE90">
            <v>222551.47739203917</v>
          </cell>
          <cell r="BF90">
            <v>183642.9477878485</v>
          </cell>
          <cell r="BG90">
            <v>85228.521599690532</v>
          </cell>
          <cell r="BI90">
            <v>73827.230425321279</v>
          </cell>
          <cell r="BJ90">
            <v>76132.604607939866</v>
          </cell>
          <cell r="BK90">
            <v>77225.809230804225</v>
          </cell>
          <cell r="BL90">
            <v>78558.777776114119</v>
          </cell>
          <cell r="BN90">
            <v>88857.829652242464</v>
          </cell>
          <cell r="BO90">
            <v>92356.321356737491</v>
          </cell>
          <cell r="BP90">
            <v>92565.869872380077</v>
          </cell>
          <cell r="BQ90">
            <v>92982.148067819391</v>
          </cell>
        </row>
        <row r="91">
          <cell r="B91" t="str">
            <v>Actual Cash</v>
          </cell>
          <cell r="AJ91">
            <v>11899</v>
          </cell>
          <cell r="AK91">
            <v>10791</v>
          </cell>
          <cell r="AL91">
            <v>0</v>
          </cell>
          <cell r="AM91">
            <v>5589</v>
          </cell>
          <cell r="AO91">
            <v>3679</v>
          </cell>
          <cell r="AP91">
            <v>6487</v>
          </cell>
          <cell r="AQ91">
            <v>124867</v>
          </cell>
          <cell r="AR91">
            <v>26732</v>
          </cell>
          <cell r="AT91">
            <v>0</v>
          </cell>
          <cell r="AU91">
            <v>7039</v>
          </cell>
          <cell r="AV91">
            <v>25000</v>
          </cell>
          <cell r="AW91">
            <v>68484</v>
          </cell>
          <cell r="AY91">
            <v>9034</v>
          </cell>
          <cell r="AZ91">
            <v>45456</v>
          </cell>
          <cell r="BA91">
            <v>18424</v>
          </cell>
          <cell r="BB91">
            <v>48012</v>
          </cell>
          <cell r="BD91">
            <v>10000</v>
          </cell>
          <cell r="BE91">
            <v>10000</v>
          </cell>
          <cell r="BF91">
            <v>10000</v>
          </cell>
          <cell r="BG91">
            <v>10000</v>
          </cell>
          <cell r="BI91">
            <v>10000</v>
          </cell>
          <cell r="BJ91">
            <v>10000</v>
          </cell>
          <cell r="BK91">
            <v>10000</v>
          </cell>
          <cell r="BL91">
            <v>10000</v>
          </cell>
          <cell r="BN91">
            <v>10000</v>
          </cell>
          <cell r="BO91">
            <v>10000</v>
          </cell>
          <cell r="BP91">
            <v>10000</v>
          </cell>
          <cell r="BQ91">
            <v>10000</v>
          </cell>
        </row>
        <row r="93">
          <cell r="B93" t="str">
            <v>Cash from CFS (Check)</v>
          </cell>
          <cell r="AJ93">
            <v>11899</v>
          </cell>
          <cell r="AK93">
            <v>10791</v>
          </cell>
          <cell r="AL93">
            <v>0</v>
          </cell>
          <cell r="AM93">
            <v>5589</v>
          </cell>
          <cell r="AO93">
            <v>3679</v>
          </cell>
          <cell r="AP93">
            <v>6487</v>
          </cell>
          <cell r="AQ93">
            <v>124867</v>
          </cell>
          <cell r="AR93">
            <v>26732</v>
          </cell>
          <cell r="AT93">
            <v>0</v>
          </cell>
          <cell r="AU93">
            <v>7039</v>
          </cell>
          <cell r="AV93">
            <v>25000</v>
          </cell>
          <cell r="AW93">
            <v>68483</v>
          </cell>
          <cell r="AY93">
            <v>9492</v>
          </cell>
          <cell r="AZ93">
            <v>45456</v>
          </cell>
          <cell r="BA93">
            <v>18424</v>
          </cell>
          <cell r="BB93">
            <v>48011.958500000037</v>
          </cell>
          <cell r="BD93">
            <v>10000.000000000015</v>
          </cell>
          <cell r="BE93">
            <v>10000.000000000015</v>
          </cell>
          <cell r="BF93">
            <v>10000.000000000015</v>
          </cell>
          <cell r="BG93">
            <v>9999.9999999999727</v>
          </cell>
          <cell r="BI93">
            <v>10000.000000000031</v>
          </cell>
          <cell r="BJ93">
            <v>9999.9999999999891</v>
          </cell>
          <cell r="BK93">
            <v>10000.00000000002</v>
          </cell>
          <cell r="BL93">
            <v>9999.9999999999782</v>
          </cell>
          <cell r="BN93">
            <v>10000.000000000082</v>
          </cell>
          <cell r="BO93">
            <v>9999.9999999999673</v>
          </cell>
          <cell r="BP93">
            <v>9999.9999999999691</v>
          </cell>
          <cell r="BQ93">
            <v>9999.9999999999854</v>
          </cell>
        </row>
        <row r="95">
          <cell r="B95" t="str">
            <v>Incremental Interest Expense Computation</v>
          </cell>
        </row>
        <row r="96">
          <cell r="B96" t="str">
            <v>Issuance of Debt</v>
          </cell>
          <cell r="BD96">
            <v>54661.960174926135</v>
          </cell>
          <cell r="BE96">
            <v>222551.47739203917</v>
          </cell>
          <cell r="BF96">
            <v>183642.9477878485</v>
          </cell>
          <cell r="BG96">
            <v>85228.521599690532</v>
          </cell>
          <cell r="BI96">
            <v>73827.230425321279</v>
          </cell>
          <cell r="BJ96">
            <v>76132.604607939866</v>
          </cell>
          <cell r="BK96">
            <v>77225.809230804225</v>
          </cell>
          <cell r="BL96">
            <v>78558.777776114119</v>
          </cell>
          <cell r="BN96">
            <v>88857.829652242464</v>
          </cell>
          <cell r="BO96">
            <v>92356.321356737491</v>
          </cell>
          <cell r="BP96">
            <v>92565.869872380077</v>
          </cell>
          <cell r="BQ96">
            <v>92982.148067819391</v>
          </cell>
        </row>
        <row r="98">
          <cell r="B98" t="str">
            <v>Fixed Component</v>
          </cell>
        </row>
        <row r="99">
          <cell r="B99" t="str">
            <v xml:space="preserve">  % Fixed Rate Debt (if funding req is positive)</v>
          </cell>
          <cell r="BD99">
            <v>0.6</v>
          </cell>
          <cell r="BE99">
            <v>0.6</v>
          </cell>
          <cell r="BF99">
            <v>0.6</v>
          </cell>
          <cell r="BG99">
            <v>0.6</v>
          </cell>
          <cell r="BI99">
            <v>0.6</v>
          </cell>
          <cell r="BJ99">
            <v>0.6</v>
          </cell>
          <cell r="BK99">
            <v>0.6</v>
          </cell>
          <cell r="BL99">
            <v>0.6</v>
          </cell>
          <cell r="BN99">
            <v>0.6</v>
          </cell>
          <cell r="BO99">
            <v>0.6</v>
          </cell>
          <cell r="BP99">
            <v>0.6</v>
          </cell>
          <cell r="BQ99">
            <v>0.6</v>
          </cell>
        </row>
        <row r="100">
          <cell r="B100" t="str">
            <v xml:space="preserve">  % Fixed Rate Debt (if funding req is negative)</v>
          </cell>
          <cell r="BD100">
            <v>0.19999999999999996</v>
          </cell>
          <cell r="BE100">
            <v>0.19999999999999996</v>
          </cell>
          <cell r="BF100">
            <v>0.19999999999999996</v>
          </cell>
          <cell r="BG100">
            <v>0.19999999999999996</v>
          </cell>
          <cell r="BI100">
            <v>0.19999999999999996</v>
          </cell>
          <cell r="BJ100">
            <v>0.19999999999999996</v>
          </cell>
          <cell r="BK100">
            <v>0.19999999999999996</v>
          </cell>
          <cell r="BL100">
            <v>0.19999999999999996</v>
          </cell>
          <cell r="BN100">
            <v>0.19999999999999996</v>
          </cell>
          <cell r="BO100">
            <v>0.19999999999999996</v>
          </cell>
          <cell r="BP100">
            <v>0.19999999999999996</v>
          </cell>
          <cell r="BQ100">
            <v>0.19999999999999996</v>
          </cell>
        </row>
        <row r="101">
          <cell r="B101" t="str">
            <v xml:space="preserve">  Issuance of Fixed Rate Debt</v>
          </cell>
          <cell r="BD101">
            <v>32797.176104955681</v>
          </cell>
          <cell r="BE101">
            <v>133530.88643522351</v>
          </cell>
          <cell r="BF101">
            <v>110185.76867270911</v>
          </cell>
          <cell r="BG101">
            <v>51137.112959814316</v>
          </cell>
          <cell r="BI101">
            <v>44296.338255192764</v>
          </cell>
          <cell r="BJ101">
            <v>45679.562764763919</v>
          </cell>
          <cell r="BK101">
            <v>46335.485538482535</v>
          </cell>
          <cell r="BL101">
            <v>47135.266665668474</v>
          </cell>
          <cell r="BN101">
            <v>53314.697791345476</v>
          </cell>
          <cell r="BO101">
            <v>55413.792814042492</v>
          </cell>
          <cell r="BP101">
            <v>55539.521923428045</v>
          </cell>
          <cell r="BQ101">
            <v>55789.288840691632</v>
          </cell>
        </row>
        <row r="102">
          <cell r="B102" t="str">
            <v xml:space="preserve">  10-Year Treasury</v>
          </cell>
          <cell r="Z102">
            <v>5.2370000000000007E-2</v>
          </cell>
          <cell r="AA102">
            <v>5.1264999999999998E-2</v>
          </cell>
          <cell r="AB102">
            <v>4.2010000000000006E-2</v>
          </cell>
          <cell r="AC102">
            <v>3.7094999999999996E-2</v>
          </cell>
          <cell r="AE102">
            <v>3.8219999999999997E-2</v>
          </cell>
          <cell r="AF102">
            <v>3.6769999999999997E-2</v>
          </cell>
          <cell r="AG102">
            <v>3.7354999999999999E-2</v>
          </cell>
          <cell r="AH102">
            <v>4.1009999999999998E-2</v>
          </cell>
          <cell r="AJ102">
            <v>4.0495000000000003E-2</v>
          </cell>
          <cell r="AK102">
            <v>4.2279999999999998E-2</v>
          </cell>
          <cell r="AL102">
            <v>4.3685000000000002E-2</v>
          </cell>
          <cell r="AM102">
            <v>4.1674999999999997E-2</v>
          </cell>
          <cell r="AO102">
            <v>4.3554999999999996E-2</v>
          </cell>
          <cell r="AP102">
            <v>4.2375000000000003E-2</v>
          </cell>
          <cell r="AQ102">
            <v>4.3400000000000001E-2</v>
          </cell>
          <cell r="AR102">
            <v>4.3959999999999999E-2</v>
          </cell>
          <cell r="AT102">
            <v>4.6240000000000003E-2</v>
          </cell>
          <cell r="AU102">
            <v>4.9954999999999999E-2</v>
          </cell>
          <cell r="AV102">
            <v>4.8860000000000001E-2</v>
          </cell>
          <cell r="AW102">
            <v>4.6704999999999997E-2</v>
          </cell>
          <cell r="AY102">
            <v>4.6789999999999998E-2</v>
          </cell>
          <cell r="AZ102">
            <v>4.8420000000000005E-2</v>
          </cell>
          <cell r="BA102">
            <v>4.777E-2</v>
          </cell>
          <cell r="BB102">
            <v>4.2764999999999997E-2</v>
          </cell>
          <cell r="BD102">
            <v>3.9914999999999999E-2</v>
          </cell>
          <cell r="BE102">
            <v>3.9914999999999999E-2</v>
          </cell>
          <cell r="BF102">
            <v>3.9914999999999999E-2</v>
          </cell>
          <cell r="BG102">
            <v>3.9914999999999999E-2</v>
          </cell>
          <cell r="BI102">
            <v>4.1915000000000001E-2</v>
          </cell>
          <cell r="BJ102">
            <v>4.3915000000000003E-2</v>
          </cell>
          <cell r="BK102">
            <v>4.5915000000000004E-2</v>
          </cell>
          <cell r="BL102">
            <v>4.7915000000000006E-2</v>
          </cell>
          <cell r="BN102">
            <v>4.9915000000000008E-2</v>
          </cell>
          <cell r="BO102">
            <v>5.191500000000001E-2</v>
          </cell>
          <cell r="BP102">
            <v>5.3915000000000012E-2</v>
          </cell>
          <cell r="BQ102">
            <v>5.5915000000000013E-2</v>
          </cell>
        </row>
        <row r="103">
          <cell r="B103" t="str">
            <v xml:space="preserve">  Spread On Treasury</v>
          </cell>
          <cell r="Z103">
            <v>175</v>
          </cell>
          <cell r="AA103">
            <v>175</v>
          </cell>
          <cell r="AB103">
            <v>175</v>
          </cell>
          <cell r="AC103">
            <v>175</v>
          </cell>
          <cell r="AE103">
            <v>175</v>
          </cell>
          <cell r="AF103">
            <v>175</v>
          </cell>
          <cell r="AG103">
            <v>175</v>
          </cell>
          <cell r="AH103">
            <v>175</v>
          </cell>
          <cell r="AJ103">
            <v>175</v>
          </cell>
          <cell r="AK103">
            <v>175</v>
          </cell>
          <cell r="AL103">
            <v>175</v>
          </cell>
          <cell r="AM103">
            <v>175</v>
          </cell>
          <cell r="AO103">
            <v>175</v>
          </cell>
          <cell r="AP103">
            <v>175</v>
          </cell>
          <cell r="AQ103">
            <v>175</v>
          </cell>
          <cell r="AR103">
            <v>175</v>
          </cell>
          <cell r="AT103">
            <v>175</v>
          </cell>
          <cell r="AU103">
            <v>175</v>
          </cell>
          <cell r="AV103">
            <v>175</v>
          </cell>
          <cell r="AW103">
            <v>175</v>
          </cell>
          <cell r="AY103">
            <v>175</v>
          </cell>
          <cell r="AZ103">
            <v>175</v>
          </cell>
          <cell r="BA103">
            <v>175</v>
          </cell>
          <cell r="BB103">
            <v>162.5</v>
          </cell>
          <cell r="BD103">
            <v>162.5</v>
          </cell>
          <cell r="BE103">
            <v>162.5</v>
          </cell>
          <cell r="BF103">
            <v>162.5</v>
          </cell>
          <cell r="BG103">
            <v>162.5</v>
          </cell>
          <cell r="BI103">
            <v>162.5</v>
          </cell>
          <cell r="BJ103">
            <v>162.5</v>
          </cell>
          <cell r="BK103">
            <v>162.5</v>
          </cell>
          <cell r="BL103">
            <v>162.5</v>
          </cell>
          <cell r="BN103">
            <v>162.5</v>
          </cell>
          <cell r="BO103">
            <v>162.5</v>
          </cell>
          <cell r="BP103">
            <v>162.5</v>
          </cell>
          <cell r="BQ103">
            <v>162.5</v>
          </cell>
        </row>
        <row r="104">
          <cell r="B104" t="str">
            <v xml:space="preserve"> Annual Weighted Avg. Fixed Interest Rate</v>
          </cell>
          <cell r="Z104">
            <v>6.9870000000000015E-2</v>
          </cell>
          <cell r="AA104">
            <v>6.8764999999999993E-2</v>
          </cell>
          <cell r="AB104">
            <v>5.9510000000000007E-2</v>
          </cell>
          <cell r="AC104">
            <v>5.4594999999999998E-2</v>
          </cell>
          <cell r="AE104">
            <v>5.5719999999999999E-2</v>
          </cell>
          <cell r="AF104">
            <v>5.4269999999999999E-2</v>
          </cell>
          <cell r="AG104">
            <v>5.4855000000000001E-2</v>
          </cell>
          <cell r="AH104">
            <v>5.851E-2</v>
          </cell>
          <cell r="AJ104">
            <v>5.7995000000000005E-2</v>
          </cell>
          <cell r="AK104">
            <v>5.978E-2</v>
          </cell>
          <cell r="AL104">
            <v>6.1185000000000003E-2</v>
          </cell>
          <cell r="AM104">
            <v>5.9174999999999998E-2</v>
          </cell>
          <cell r="AO104">
            <v>6.1054999999999998E-2</v>
          </cell>
          <cell r="AP104">
            <v>5.9875000000000005E-2</v>
          </cell>
          <cell r="AQ104">
            <v>6.0900000000000003E-2</v>
          </cell>
          <cell r="AR104">
            <v>6.1460000000000001E-2</v>
          </cell>
          <cell r="AT104">
            <v>6.3740000000000005E-2</v>
          </cell>
          <cell r="AU104">
            <v>6.7455000000000001E-2</v>
          </cell>
          <cell r="AV104">
            <v>6.6360000000000002E-2</v>
          </cell>
          <cell r="AW104">
            <v>6.4204999999999998E-2</v>
          </cell>
          <cell r="AY104">
            <v>6.429E-2</v>
          </cell>
          <cell r="AZ104">
            <v>6.5920000000000006E-2</v>
          </cell>
          <cell r="BA104">
            <v>6.5269999999999995E-2</v>
          </cell>
          <cell r="BB104">
            <v>5.9014999999999998E-2</v>
          </cell>
          <cell r="BD104">
            <v>5.6165E-2</v>
          </cell>
          <cell r="BE104">
            <v>5.6165E-2</v>
          </cell>
          <cell r="BF104">
            <v>5.6165E-2</v>
          </cell>
          <cell r="BG104">
            <v>5.6165E-2</v>
          </cell>
          <cell r="BI104">
            <v>5.8165000000000001E-2</v>
          </cell>
          <cell r="BJ104">
            <v>6.0165000000000003E-2</v>
          </cell>
          <cell r="BK104">
            <v>6.2165000000000005E-2</v>
          </cell>
          <cell r="BL104">
            <v>6.4165E-2</v>
          </cell>
          <cell r="BN104">
            <v>6.6165000000000002E-2</v>
          </cell>
          <cell r="BO104">
            <v>6.8165000000000003E-2</v>
          </cell>
          <cell r="BP104">
            <v>7.0165000000000005E-2</v>
          </cell>
          <cell r="BQ104">
            <v>7.2165000000000007E-2</v>
          </cell>
        </row>
        <row r="105">
          <cell r="B105" t="str">
            <v>Quarterly Fixed Interest Expense</v>
          </cell>
          <cell r="AY105">
            <v>0</v>
          </cell>
          <cell r="AZ105">
            <v>0</v>
          </cell>
          <cell r="BA105">
            <v>0</v>
          </cell>
          <cell r="BB105">
            <v>0</v>
          </cell>
          <cell r="BD105">
            <v>460.51334898370897</v>
          </cell>
          <cell r="BE105">
            <v>1874.9405591585821</v>
          </cell>
          <cell r="BF105">
            <v>1547.1459243756767</v>
          </cell>
          <cell r="BG105">
            <v>718.02898734699272</v>
          </cell>
          <cell r="BI105">
            <v>644.1241286533218</v>
          </cell>
          <cell r="BJ105">
            <v>687.07772343550539</v>
          </cell>
          <cell r="BK105">
            <v>720.11136462494176</v>
          </cell>
          <cell r="BL105">
            <v>756.10859640065439</v>
          </cell>
          <cell r="BN105">
            <v>881.89174484109333</v>
          </cell>
          <cell r="BO105">
            <v>944.32029679230163</v>
          </cell>
          <cell r="BP105">
            <v>974.23263893933222</v>
          </cell>
          <cell r="BQ105">
            <v>1006.5085072971279</v>
          </cell>
        </row>
        <row r="107">
          <cell r="B107" t="str">
            <v>Variable Component</v>
          </cell>
        </row>
        <row r="108">
          <cell r="B108" t="str">
            <v>Previous Quarter Variable Debt</v>
          </cell>
          <cell r="AZ108">
            <v>330000</v>
          </cell>
          <cell r="BA108">
            <v>440000</v>
          </cell>
          <cell r="BB108">
            <v>304224</v>
          </cell>
          <cell r="BD108">
            <v>508141</v>
          </cell>
          <cell r="BE108">
            <v>530005.78406997048</v>
          </cell>
          <cell r="BF108">
            <v>619026.37502678612</v>
          </cell>
          <cell r="BG108">
            <v>692483.55414192553</v>
          </cell>
          <cell r="BI108">
            <v>726574.9627818017</v>
          </cell>
          <cell r="BJ108">
            <v>756105.85495193023</v>
          </cell>
          <cell r="BK108">
            <v>786558.89679510612</v>
          </cell>
          <cell r="BL108">
            <v>817449.22048742778</v>
          </cell>
          <cell r="BN108">
            <v>848872.73159787338</v>
          </cell>
          <cell r="BO108">
            <v>884415.86345877033</v>
          </cell>
          <cell r="BP108">
            <v>921358.39200146531</v>
          </cell>
          <cell r="BQ108">
            <v>958384.73995041731</v>
          </cell>
        </row>
        <row r="109">
          <cell r="B109" t="str">
            <v xml:space="preserve">  % Variable Rate Debt (if issuance of debt is positive)</v>
          </cell>
          <cell r="AZ109">
            <v>0.4</v>
          </cell>
          <cell r="BA109">
            <v>0.4</v>
          </cell>
          <cell r="BB109">
            <v>0.4</v>
          </cell>
          <cell r="BD109">
            <v>0.4</v>
          </cell>
          <cell r="BE109">
            <v>0.4</v>
          </cell>
          <cell r="BF109">
            <v>0.4</v>
          </cell>
          <cell r="BG109">
            <v>0.4</v>
          </cell>
          <cell r="BI109">
            <v>0.4</v>
          </cell>
          <cell r="BJ109">
            <v>0.4</v>
          </cell>
          <cell r="BK109">
            <v>0.4</v>
          </cell>
          <cell r="BL109">
            <v>0.4</v>
          </cell>
          <cell r="BN109">
            <v>0.4</v>
          </cell>
          <cell r="BO109">
            <v>0.4</v>
          </cell>
          <cell r="BP109">
            <v>0.4</v>
          </cell>
          <cell r="BQ109">
            <v>0.4</v>
          </cell>
        </row>
        <row r="110">
          <cell r="B110" t="str">
            <v xml:space="preserve">  % Variable Rate Debt (if issuance of debt is negative)</v>
          </cell>
          <cell r="AZ110">
            <v>0.8</v>
          </cell>
          <cell r="BA110">
            <v>0.8</v>
          </cell>
          <cell r="BB110">
            <v>0.8</v>
          </cell>
          <cell r="BD110">
            <v>0.8</v>
          </cell>
          <cell r="BE110">
            <v>0.8</v>
          </cell>
          <cell r="BF110">
            <v>0.8</v>
          </cell>
          <cell r="BG110">
            <v>0.8</v>
          </cell>
          <cell r="BI110">
            <v>0.8</v>
          </cell>
          <cell r="BJ110">
            <v>0.8</v>
          </cell>
          <cell r="BK110">
            <v>0.8</v>
          </cell>
          <cell r="BL110">
            <v>0.8</v>
          </cell>
          <cell r="BN110">
            <v>0.8</v>
          </cell>
          <cell r="BO110">
            <v>0.8</v>
          </cell>
          <cell r="BP110">
            <v>0.8</v>
          </cell>
          <cell r="BQ110">
            <v>0.8</v>
          </cell>
        </row>
        <row r="111">
          <cell r="B111" t="str">
            <v xml:space="preserve">  Issuance of Variable Rate Debt</v>
          </cell>
          <cell r="AZ111">
            <v>0</v>
          </cell>
          <cell r="BA111">
            <v>0</v>
          </cell>
          <cell r="BB111">
            <v>45140.800000000003</v>
          </cell>
          <cell r="BD111">
            <v>21864.784069970454</v>
          </cell>
          <cell r="BE111">
            <v>89020.590956815679</v>
          </cell>
          <cell r="BF111">
            <v>73457.179115139399</v>
          </cell>
          <cell r="BG111">
            <v>34091.408639876216</v>
          </cell>
          <cell r="BI111">
            <v>29530.892170128514</v>
          </cell>
          <cell r="BJ111">
            <v>30453.041843175946</v>
          </cell>
          <cell r="BK111">
            <v>30890.32369232169</v>
          </cell>
          <cell r="BL111">
            <v>31423.511110445648</v>
          </cell>
          <cell r="BN111">
            <v>35543.131860896989</v>
          </cell>
          <cell r="BO111">
            <v>36942.528542694999</v>
          </cell>
          <cell r="BP111">
            <v>37026.347948952032</v>
          </cell>
          <cell r="BQ111">
            <v>37192.859227127759</v>
          </cell>
        </row>
        <row r="112">
          <cell r="B112" t="str">
            <v xml:space="preserve">  LIBOR</v>
          </cell>
          <cell r="Z112">
            <v>1.8765E-2</v>
          </cell>
          <cell r="AA112">
            <v>1.8595E-2</v>
          </cell>
          <cell r="AB112">
            <v>1.8250000000000002E-2</v>
          </cell>
          <cell r="AC112">
            <v>1.5949999999999999E-2</v>
          </cell>
          <cell r="AE112">
            <v>1.3399999999999999E-2</v>
          </cell>
          <cell r="AF112">
            <v>1.21E-2</v>
          </cell>
          <cell r="AG112">
            <v>1.1200000000000002E-2</v>
          </cell>
          <cell r="AH112">
            <v>1.1200000000000002E-2</v>
          </cell>
          <cell r="AJ112">
            <v>1.1049999999999999E-2</v>
          </cell>
          <cell r="AK112">
            <v>1.23E-2</v>
          </cell>
          <cell r="AL112">
            <v>1.6049999999999998E-2</v>
          </cell>
          <cell r="AM112">
            <v>2.12E-2</v>
          </cell>
          <cell r="AO112">
            <v>2.6349999999999998E-2</v>
          </cell>
          <cell r="AP112">
            <v>3.1050000000000001E-2</v>
          </cell>
          <cell r="AQ112">
            <v>3.8600000000000002E-2</v>
          </cell>
          <cell r="AR112">
            <v>4.3900000000000002E-2</v>
          </cell>
          <cell r="AT112">
            <v>4.6099999999999995E-2</v>
          </cell>
          <cell r="AU112">
            <v>5.0799999999999998E-2</v>
          </cell>
          <cell r="AV112">
            <v>5.3249999999999999E-2</v>
          </cell>
          <cell r="AW112">
            <v>5.3200000000000004E-2</v>
          </cell>
          <cell r="AY112">
            <v>5.3200000000000004E-2</v>
          </cell>
          <cell r="AZ112">
            <v>5.3200000000000004E-2</v>
          </cell>
          <cell r="BA112">
            <v>5.40695E-2</v>
          </cell>
          <cell r="BB112">
            <v>5.04695E-2</v>
          </cell>
          <cell r="BD112">
            <v>4.2750000000000003E-2</v>
          </cell>
          <cell r="BE112">
            <v>4.2750000000000003E-2</v>
          </cell>
          <cell r="BF112">
            <v>4.2750000000000003E-2</v>
          </cell>
          <cell r="BG112">
            <v>4.2750000000000003E-2</v>
          </cell>
          <cell r="BI112">
            <v>4.2750000000000003E-2</v>
          </cell>
          <cell r="BJ112">
            <v>4.2750000000000003E-2</v>
          </cell>
          <cell r="BK112">
            <v>4.2750000000000003E-2</v>
          </cell>
          <cell r="BL112">
            <v>4.2750000000000003E-2</v>
          </cell>
          <cell r="BN112">
            <v>4.2750000000000003E-2</v>
          </cell>
          <cell r="BO112">
            <v>4.2750000000000003E-2</v>
          </cell>
          <cell r="BP112">
            <v>4.2750000000000003E-2</v>
          </cell>
          <cell r="BQ112">
            <v>4.2750000000000003E-2</v>
          </cell>
        </row>
        <row r="113">
          <cell r="B113" t="str">
            <v xml:space="preserve">  LIBOR Spread (in basis points)</v>
          </cell>
          <cell r="Z113">
            <v>150</v>
          </cell>
          <cell r="AA113">
            <v>150</v>
          </cell>
          <cell r="AB113">
            <v>150</v>
          </cell>
          <cell r="AC113">
            <v>150</v>
          </cell>
          <cell r="AE113">
            <v>150</v>
          </cell>
          <cell r="AF113">
            <v>150</v>
          </cell>
          <cell r="AG113">
            <v>150</v>
          </cell>
          <cell r="AH113">
            <v>150</v>
          </cell>
          <cell r="AJ113">
            <v>150</v>
          </cell>
          <cell r="AK113">
            <v>150</v>
          </cell>
          <cell r="AL113">
            <v>150</v>
          </cell>
          <cell r="AM113">
            <v>150</v>
          </cell>
          <cell r="AO113">
            <v>100</v>
          </cell>
          <cell r="AP113">
            <v>100</v>
          </cell>
          <cell r="AQ113">
            <v>100</v>
          </cell>
          <cell r="AR113">
            <v>100</v>
          </cell>
          <cell r="AT113">
            <v>100</v>
          </cell>
          <cell r="AU113">
            <v>100</v>
          </cell>
          <cell r="AV113">
            <v>100</v>
          </cell>
          <cell r="AW113">
            <v>100</v>
          </cell>
          <cell r="AY113">
            <v>100</v>
          </cell>
          <cell r="AZ113">
            <v>100</v>
          </cell>
          <cell r="BA113">
            <v>100</v>
          </cell>
          <cell r="BB113">
            <v>70</v>
          </cell>
          <cell r="BD113">
            <v>70</v>
          </cell>
          <cell r="BE113">
            <v>70</v>
          </cell>
          <cell r="BF113">
            <v>70</v>
          </cell>
          <cell r="BG113">
            <v>70</v>
          </cell>
          <cell r="BI113">
            <v>70</v>
          </cell>
          <cell r="BJ113">
            <v>70</v>
          </cell>
          <cell r="BK113">
            <v>70</v>
          </cell>
          <cell r="BL113">
            <v>70</v>
          </cell>
          <cell r="BN113">
            <v>70</v>
          </cell>
          <cell r="BO113">
            <v>70</v>
          </cell>
          <cell r="BP113">
            <v>70</v>
          </cell>
          <cell r="BQ113">
            <v>70</v>
          </cell>
        </row>
        <row r="114">
          <cell r="B114" t="str">
            <v xml:space="preserve">  Assumed Variable Interest Rate</v>
          </cell>
          <cell r="Z114">
            <v>3.3765000000000003E-2</v>
          </cell>
          <cell r="AA114">
            <v>3.3595E-2</v>
          </cell>
          <cell r="AB114">
            <v>3.3250000000000002E-2</v>
          </cell>
          <cell r="AC114">
            <v>3.0949999999999998E-2</v>
          </cell>
          <cell r="AE114">
            <v>2.8399999999999998E-2</v>
          </cell>
          <cell r="AF114">
            <v>2.7099999999999999E-2</v>
          </cell>
          <cell r="AG114">
            <v>2.6200000000000001E-2</v>
          </cell>
          <cell r="AH114">
            <v>2.6200000000000001E-2</v>
          </cell>
          <cell r="AJ114">
            <v>2.6049999999999997E-2</v>
          </cell>
          <cell r="AK114">
            <v>2.7299999999999998E-2</v>
          </cell>
          <cell r="AL114">
            <v>3.1049999999999998E-2</v>
          </cell>
          <cell r="AM114">
            <v>3.6199999999999996E-2</v>
          </cell>
          <cell r="AO114">
            <v>3.635E-2</v>
          </cell>
          <cell r="AP114">
            <v>4.1050000000000003E-2</v>
          </cell>
          <cell r="AQ114">
            <v>4.8600000000000004E-2</v>
          </cell>
          <cell r="AR114">
            <v>5.3900000000000003E-2</v>
          </cell>
          <cell r="AT114">
            <v>5.6099999999999997E-2</v>
          </cell>
          <cell r="AU114">
            <v>6.08E-2</v>
          </cell>
          <cell r="AV114">
            <v>6.3250000000000001E-2</v>
          </cell>
          <cell r="AW114">
            <v>6.3200000000000006E-2</v>
          </cell>
          <cell r="AY114">
            <v>6.3200000000000006E-2</v>
          </cell>
          <cell r="AZ114">
            <v>6.3200000000000006E-2</v>
          </cell>
          <cell r="BA114">
            <v>6.4069500000000001E-2</v>
          </cell>
          <cell r="BB114">
            <v>5.74695E-2</v>
          </cell>
          <cell r="BD114">
            <v>4.9750000000000003E-2</v>
          </cell>
          <cell r="BE114">
            <v>4.9750000000000003E-2</v>
          </cell>
          <cell r="BF114">
            <v>4.9750000000000003E-2</v>
          </cell>
          <cell r="BG114">
            <v>4.9750000000000003E-2</v>
          </cell>
          <cell r="BI114">
            <v>4.9750000000000003E-2</v>
          </cell>
          <cell r="BJ114">
            <v>4.9750000000000003E-2</v>
          </cell>
          <cell r="BK114">
            <v>4.9750000000000003E-2</v>
          </cell>
          <cell r="BL114">
            <v>4.9750000000000003E-2</v>
          </cell>
          <cell r="BN114">
            <v>4.9750000000000003E-2</v>
          </cell>
          <cell r="BO114">
            <v>4.9750000000000003E-2</v>
          </cell>
          <cell r="BP114">
            <v>4.9750000000000003E-2</v>
          </cell>
          <cell r="BQ114">
            <v>4.9750000000000003E-2</v>
          </cell>
        </row>
        <row r="115">
          <cell r="B115" t="str">
            <v>Quarterly Variable Interest Expense</v>
          </cell>
          <cell r="AY115">
            <v>0</v>
          </cell>
          <cell r="AZ115">
            <v>0</v>
          </cell>
          <cell r="BA115">
            <v>0</v>
          </cell>
          <cell r="BB115">
            <v>648.55480140000009</v>
          </cell>
          <cell r="BD115">
            <v>271.94325187025754</v>
          </cell>
          <cell r="BE115">
            <v>1107.193600025395</v>
          </cell>
          <cell r="BF115">
            <v>913.62366524454637</v>
          </cell>
          <cell r="BG115">
            <v>424.01189495846046</v>
          </cell>
          <cell r="BI115">
            <v>367.29047136597342</v>
          </cell>
          <cell r="BJ115">
            <v>378.75970792450084</v>
          </cell>
          <cell r="BK115">
            <v>384.19840092325103</v>
          </cell>
          <cell r="BL115">
            <v>390.82991943616776</v>
          </cell>
          <cell r="BN115">
            <v>442.06770251990633</v>
          </cell>
          <cell r="BO115">
            <v>459.47269874976905</v>
          </cell>
          <cell r="BP115">
            <v>460.51520261509091</v>
          </cell>
          <cell r="BQ115">
            <v>462.58618663740151</v>
          </cell>
        </row>
        <row r="117">
          <cell r="B117" t="str">
            <v>Weighting of Interest Expense</v>
          </cell>
          <cell r="BD117">
            <v>0.5</v>
          </cell>
          <cell r="BE117">
            <v>0.5</v>
          </cell>
          <cell r="BF117">
            <v>0.5</v>
          </cell>
          <cell r="BG117">
            <v>0.5</v>
          </cell>
          <cell r="BI117">
            <v>0.5</v>
          </cell>
          <cell r="BJ117">
            <v>0.5</v>
          </cell>
          <cell r="BK117">
            <v>0.5</v>
          </cell>
          <cell r="BL117">
            <v>0.5</v>
          </cell>
          <cell r="BN117">
            <v>0.5</v>
          </cell>
          <cell r="BO117">
            <v>0.5</v>
          </cell>
          <cell r="BP117">
            <v>0.5</v>
          </cell>
          <cell r="BQ117">
            <v>0.5</v>
          </cell>
        </row>
        <row r="119">
          <cell r="B119" t="str">
            <v>Incremental  Interest Expense</v>
          </cell>
          <cell r="BD119">
            <v>366.22830042698325</v>
          </cell>
          <cell r="BE119">
            <v>1857.2953800189719</v>
          </cell>
          <cell r="BF119">
            <v>2721.4518744021002</v>
          </cell>
          <cell r="BG119">
            <v>1801.4052359628381</v>
          </cell>
          <cell r="BI119">
            <v>1076.7277411623741</v>
          </cell>
          <cell r="BJ119">
            <v>1038.6260156896506</v>
          </cell>
          <cell r="BK119">
            <v>1085.0735984540995</v>
          </cell>
          <cell r="BL119">
            <v>1125.6241406925076</v>
          </cell>
          <cell r="BN119">
            <v>1235.4489815989109</v>
          </cell>
          <cell r="BO119">
            <v>1363.876221451535</v>
          </cell>
          <cell r="BP119">
            <v>1419.2704185482469</v>
          </cell>
          <cell r="BQ119">
            <v>1451.9212677444762</v>
          </cell>
        </row>
        <row r="120">
          <cell r="B120" t="str">
            <v>Remaining Incremental Interest Expense</v>
          </cell>
          <cell r="BD120">
            <v>366.22830042698325</v>
          </cell>
          <cell r="BE120">
            <v>1491.0670795919887</v>
          </cell>
          <cell r="BF120">
            <v>1230.3847948101115</v>
          </cell>
          <cell r="BG120">
            <v>571.02044115272656</v>
          </cell>
          <cell r="BI120">
            <v>505.70730000964761</v>
          </cell>
          <cell r="BJ120">
            <v>532.91871568000306</v>
          </cell>
          <cell r="BK120">
            <v>552.15488277409645</v>
          </cell>
          <cell r="BL120">
            <v>573.46925791841113</v>
          </cell>
          <cell r="BN120">
            <v>661.97972368049977</v>
          </cell>
          <cell r="BO120">
            <v>701.89649777103534</v>
          </cell>
          <cell r="BP120">
            <v>717.37392077721154</v>
          </cell>
          <cell r="BQ120">
            <v>734.54734696726473</v>
          </cell>
        </row>
        <row r="123">
          <cell r="B123" t="str">
            <v>DEPRECIATION SCHEDULE</v>
          </cell>
        </row>
        <row r="124">
          <cell r="B124" t="str">
            <v xml:space="preserve">Prior Quarter Gross BV of Assets </v>
          </cell>
          <cell r="Z124">
            <v>4081974</v>
          </cell>
          <cell r="AA124">
            <v>4108407</v>
          </cell>
          <cell r="AB124">
            <v>4137102</v>
          </cell>
          <cell r="AC124">
            <v>4237360</v>
          </cell>
          <cell r="AD124">
            <v>4237360</v>
          </cell>
          <cell r="AE124">
            <v>4291679</v>
          </cell>
          <cell r="AF124">
            <v>4333799</v>
          </cell>
          <cell r="AG124">
            <v>4439560</v>
          </cell>
          <cell r="AH124">
            <v>4452624</v>
          </cell>
          <cell r="AI124">
            <v>4452624</v>
          </cell>
          <cell r="AJ124">
            <v>4534277</v>
          </cell>
          <cell r="AK124">
            <v>4564660</v>
          </cell>
          <cell r="AL124">
            <v>4665019</v>
          </cell>
          <cell r="AM124">
            <v>4666715</v>
          </cell>
          <cell r="AN124">
            <v>4666715</v>
          </cell>
          <cell r="AO124">
            <v>4705531</v>
          </cell>
          <cell r="AP124">
            <v>4873739</v>
          </cell>
          <cell r="AQ124">
            <v>4087883</v>
          </cell>
          <cell r="AR124">
            <v>4156456</v>
          </cell>
          <cell r="AS124">
            <v>4156456</v>
          </cell>
          <cell r="AT124">
            <v>4873916</v>
          </cell>
          <cell r="AU124">
            <v>5064832</v>
          </cell>
          <cell r="AV124">
            <v>5102702</v>
          </cell>
          <cell r="AW124">
            <v>4739097</v>
          </cell>
          <cell r="AX124">
            <v>4739097</v>
          </cell>
          <cell r="AY124">
            <v>4265873</v>
          </cell>
          <cell r="AZ124">
            <v>4300018</v>
          </cell>
          <cell r="BA124">
            <v>4493009</v>
          </cell>
          <cell r="BB124">
            <v>4592052</v>
          </cell>
          <cell r="BC124">
            <v>4592052</v>
          </cell>
          <cell r="BD124">
            <v>4715217.9926522924</v>
          </cell>
          <cell r="BE124">
            <v>4973058.4854964698</v>
          </cell>
          <cell r="BF124">
            <v>5190674.20499851</v>
          </cell>
          <cell r="BG124">
            <v>5310400.7425736785</v>
          </cell>
          <cell r="BH124">
            <v>5310400.7425736785</v>
          </cell>
          <cell r="BI124">
            <v>5424841.5633154875</v>
          </cell>
          <cell r="BJ124">
            <v>5540369.8480547136</v>
          </cell>
          <cell r="BK124">
            <v>5656007.4129154198</v>
          </cell>
          <cell r="BL124">
            <v>5771754.8261620309</v>
          </cell>
          <cell r="BM124">
            <v>5771754.8261620309</v>
          </cell>
          <cell r="BN124">
            <v>5900016.7552920319</v>
          </cell>
          <cell r="BO124">
            <v>6031536.8819888458</v>
          </cell>
          <cell r="BP124">
            <v>6163447.3145696595</v>
          </cell>
          <cell r="BQ124">
            <v>6295748.9142519487</v>
          </cell>
          <cell r="BR124">
            <v>6295748.9142519487</v>
          </cell>
        </row>
        <row r="125">
          <cell r="B125" t="str">
            <v>Avg Life</v>
          </cell>
          <cell r="Z125">
            <v>24.069945986744344</v>
          </cell>
          <cell r="AA125">
            <v>23.814231467051243</v>
          </cell>
          <cell r="AB125">
            <v>22.866588831698984</v>
          </cell>
          <cell r="AC125">
            <v>23.415374893750279</v>
          </cell>
          <cell r="AD125">
            <v>23.751145186335403</v>
          </cell>
          <cell r="AE125">
            <v>22.372306102320895</v>
          </cell>
          <cell r="AF125">
            <v>23.164351702653345</v>
          </cell>
          <cell r="AG125">
            <v>22.771857285242636</v>
          </cell>
          <cell r="AH125">
            <v>20.824396732613909</v>
          </cell>
          <cell r="AI125">
            <v>22.449125854475973</v>
          </cell>
          <cell r="AJ125">
            <v>21.471818972437784</v>
          </cell>
          <cell r="AK125">
            <v>22.186468574438202</v>
          </cell>
          <cell r="AL125">
            <v>18.775690839259848</v>
          </cell>
          <cell r="AM125">
            <v>19.069573640242606</v>
          </cell>
          <cell r="AN125">
            <v>20.422272522303469</v>
          </cell>
          <cell r="AO125">
            <v>18.632399484700045</v>
          </cell>
          <cell r="AP125">
            <v>18.771398673752529</v>
          </cell>
          <cell r="AQ125">
            <v>18.29051759327292</v>
          </cell>
          <cell r="AR125">
            <v>17.425765991984985</v>
          </cell>
          <cell r="AS125">
            <v>17.794093479431204</v>
          </cell>
          <cell r="AT125">
            <v>18.767295126939</v>
          </cell>
          <cell r="AU125">
            <v>19.311138917818226</v>
          </cell>
          <cell r="AV125">
            <v>19.892032648844925</v>
          </cell>
          <cell r="AW125">
            <v>19.754714973906061</v>
          </cell>
          <cell r="AX125">
            <v>19.565080770964741</v>
          </cell>
          <cell r="AY125">
            <v>16.617033761939208</v>
          </cell>
          <cell r="AZ125">
            <v>16.237301533142258</v>
          </cell>
          <cell r="BA125">
            <v>15.269701379530709</v>
          </cell>
          <cell r="BB125">
            <v>16.412773514279106</v>
          </cell>
          <cell r="BC125">
            <v>16.185264230230484</v>
          </cell>
          <cell r="BD125">
            <v>16.185264230230484</v>
          </cell>
          <cell r="BE125">
            <v>16.185264230230484</v>
          </cell>
          <cell r="BF125">
            <v>16.185264230230484</v>
          </cell>
          <cell r="BG125">
            <v>16.185264230230484</v>
          </cell>
          <cell r="BH125">
            <v>16.353976626448393</v>
          </cell>
          <cell r="BI125">
            <v>16.353976626448393</v>
          </cell>
          <cell r="BJ125">
            <v>16.353976626448393</v>
          </cell>
          <cell r="BK125">
            <v>16.353976626448393</v>
          </cell>
          <cell r="BL125">
            <v>16.353976626448393</v>
          </cell>
          <cell r="BM125">
            <v>16.455351339638892</v>
          </cell>
          <cell r="BN125">
            <v>16.455351339638892</v>
          </cell>
          <cell r="BO125">
            <v>16.455351339638892</v>
          </cell>
          <cell r="BP125">
            <v>16.455351339638892</v>
          </cell>
          <cell r="BQ125">
            <v>16.455351339638892</v>
          </cell>
          <cell r="BR125">
            <v>16.562249921341088</v>
          </cell>
        </row>
        <row r="126">
          <cell r="B126" t="str">
            <v>Current Depreciation</v>
          </cell>
          <cell r="Z126">
            <v>42397</v>
          </cell>
          <cell r="AA126">
            <v>42991</v>
          </cell>
          <cell r="AB126">
            <v>45074</v>
          </cell>
          <cell r="AC126">
            <v>44706</v>
          </cell>
          <cell r="AD126">
            <v>175168</v>
          </cell>
          <cell r="AE126">
            <v>47654</v>
          </cell>
          <cell r="AF126">
            <v>46545</v>
          </cell>
          <cell r="AG126">
            <v>48159</v>
          </cell>
          <cell r="AH126">
            <v>53376</v>
          </cell>
          <cell r="AI126">
            <v>195734</v>
          </cell>
          <cell r="AJ126">
            <v>52318</v>
          </cell>
          <cell r="AK126">
            <v>51264</v>
          </cell>
          <cell r="AL126">
            <v>61447</v>
          </cell>
          <cell r="AM126">
            <v>61169</v>
          </cell>
          <cell r="AN126">
            <v>226198</v>
          </cell>
          <cell r="AO126">
            <v>62876</v>
          </cell>
          <cell r="AP126">
            <v>63789</v>
          </cell>
          <cell r="AQ126">
            <v>61245</v>
          </cell>
          <cell r="AR126">
            <v>59139</v>
          </cell>
          <cell r="AS126">
            <v>247049</v>
          </cell>
          <cell r="AT126">
            <v>60147</v>
          </cell>
          <cell r="AU126">
            <v>64333</v>
          </cell>
          <cell r="AV126">
            <v>63892</v>
          </cell>
          <cell r="AW126">
            <v>62275</v>
          </cell>
          <cell r="AX126">
            <v>250647</v>
          </cell>
          <cell r="AY126">
            <v>67739</v>
          </cell>
          <cell r="AZ126">
            <v>65943</v>
          </cell>
          <cell r="BA126">
            <v>71981</v>
          </cell>
          <cell r="BB126">
            <v>69192</v>
          </cell>
          <cell r="BC126">
            <v>274855</v>
          </cell>
          <cell r="BD126">
            <v>72831.958835823505</v>
          </cell>
          <cell r="BE126">
            <v>76814.601460257589</v>
          </cell>
          <cell r="BF126">
            <v>80175.926249376294</v>
          </cell>
          <cell r="BG126">
            <v>82025.240166531046</v>
          </cell>
          <cell r="BH126">
            <v>311847.72671198845</v>
          </cell>
          <cell r="BI126">
            <v>82928.477996938484</v>
          </cell>
          <cell r="BJ126">
            <v>84694.535992771576</v>
          </cell>
          <cell r="BK126">
            <v>86462.264532166868</v>
          </cell>
          <cell r="BL126">
            <v>88231.672302070059</v>
          </cell>
          <cell r="BM126">
            <v>342316.95082394703</v>
          </cell>
          <cell r="BN126">
            <v>89636.748458229922</v>
          </cell>
          <cell r="BO126">
            <v>91634.884565782937</v>
          </cell>
          <cell r="BP126">
            <v>93638.95044469033</v>
          </cell>
          <cell r="BQ126">
            <v>95648.959179107187</v>
          </cell>
          <cell r="BR126">
            <v>370559.54264781042</v>
          </cell>
        </row>
        <row r="129">
          <cell r="B129" t="str">
            <v>Total Debt</v>
          </cell>
          <cell r="F129">
            <v>803898</v>
          </cell>
          <cell r="G129">
            <v>953584</v>
          </cell>
          <cell r="H129">
            <v>1027045</v>
          </cell>
          <cell r="I129">
            <v>1007317</v>
          </cell>
          <cell r="K129">
            <v>1113560</v>
          </cell>
          <cell r="L129">
            <v>1390556</v>
          </cell>
          <cell r="M129">
            <v>1964857</v>
          </cell>
          <cell r="N129">
            <v>2113476</v>
          </cell>
          <cell r="P129">
            <v>2276447</v>
          </cell>
          <cell r="Q129">
            <v>2349696</v>
          </cell>
          <cell r="R129">
            <v>2200765</v>
          </cell>
          <cell r="S129">
            <v>1973215</v>
          </cell>
          <cell r="U129">
            <v>1926189</v>
          </cell>
          <cell r="V129">
            <v>1903770</v>
          </cell>
          <cell r="W129">
            <v>1763950</v>
          </cell>
          <cell r="X129">
            <v>1814856</v>
          </cell>
          <cell r="Z129">
            <v>1737787</v>
          </cell>
          <cell r="AA129">
            <v>1735217</v>
          </cell>
          <cell r="AB129">
            <v>1864109</v>
          </cell>
          <cell r="AC129">
            <v>2106285</v>
          </cell>
          <cell r="AE129">
            <v>2181635</v>
          </cell>
          <cell r="AF129">
            <v>2234877</v>
          </cell>
          <cell r="AG129">
            <v>2256552</v>
          </cell>
          <cell r="AH129">
            <v>2335536</v>
          </cell>
          <cell r="AJ129">
            <v>2402670</v>
          </cell>
          <cell r="AK129">
            <v>2529674</v>
          </cell>
          <cell r="AL129">
            <v>2659629</v>
          </cell>
          <cell r="AM129">
            <v>2518704</v>
          </cell>
          <cell r="AO129">
            <v>2623753</v>
          </cell>
          <cell r="AP129">
            <v>2875508</v>
          </cell>
          <cell r="AQ129">
            <v>2219304</v>
          </cell>
          <cell r="AR129">
            <v>2600651</v>
          </cell>
          <cell r="AT129">
            <v>3621649</v>
          </cell>
          <cell r="AU129">
            <v>3833934</v>
          </cell>
          <cell r="AV129">
            <v>4075683</v>
          </cell>
          <cell r="AW129">
            <v>4109154</v>
          </cell>
          <cell r="AY129">
            <v>4121320</v>
          </cell>
          <cell r="AZ129">
            <v>4104747</v>
          </cell>
          <cell r="BA129">
            <v>4165682</v>
          </cell>
          <cell r="BB129">
            <v>4278534</v>
          </cell>
          <cell r="BD129">
            <v>4333195.9601749266</v>
          </cell>
          <cell r="BE129">
            <v>4555747.4375669649</v>
          </cell>
          <cell r="BF129">
            <v>4739390.3853548132</v>
          </cell>
          <cell r="BG129">
            <v>4824618.9069545036</v>
          </cell>
          <cell r="BI129">
            <v>4898446.1373798251</v>
          </cell>
          <cell r="BJ129">
            <v>4974578.7419877648</v>
          </cell>
          <cell r="BK129">
            <v>5051804.5512185693</v>
          </cell>
          <cell r="BL129">
            <v>5130363.328994683</v>
          </cell>
          <cell r="BN129">
            <v>5219221.1586469254</v>
          </cell>
          <cell r="BO129">
            <v>5311577.4800036624</v>
          </cell>
          <cell r="BP129">
            <v>5404143.3498760434</v>
          </cell>
          <cell r="BQ129">
            <v>5497125.4979438623</v>
          </cell>
        </row>
        <row r="130">
          <cell r="B130" t="str">
            <v>Shares and OP units</v>
          </cell>
          <cell r="F130">
            <v>89086</v>
          </cell>
          <cell r="G130">
            <v>91821</v>
          </cell>
          <cell r="H130">
            <v>93409</v>
          </cell>
          <cell r="I130">
            <v>96853</v>
          </cell>
          <cell r="K130">
            <v>97554</v>
          </cell>
          <cell r="L130">
            <v>98673</v>
          </cell>
          <cell r="M130">
            <v>144099</v>
          </cell>
          <cell r="N130">
            <v>144803</v>
          </cell>
          <cell r="P130">
            <v>145651</v>
          </cell>
          <cell r="Q130">
            <v>145840</v>
          </cell>
          <cell r="R130">
            <v>146489</v>
          </cell>
          <cell r="S130">
            <v>146911</v>
          </cell>
          <cell r="U130">
            <v>147639</v>
          </cell>
          <cell r="V130">
            <v>148554</v>
          </cell>
          <cell r="W130">
            <v>148193</v>
          </cell>
          <cell r="X130">
            <v>148438</v>
          </cell>
          <cell r="Z130">
            <v>149021</v>
          </cell>
          <cell r="AA130">
            <v>149694</v>
          </cell>
          <cell r="AB130">
            <v>149869</v>
          </cell>
          <cell r="AC130">
            <v>149906</v>
          </cell>
          <cell r="AE130">
            <v>150054</v>
          </cell>
          <cell r="AF130">
            <v>150232</v>
          </cell>
          <cell r="AG130">
            <v>150481</v>
          </cell>
          <cell r="AH130">
            <v>150705</v>
          </cell>
          <cell r="AJ130">
            <v>155971</v>
          </cell>
          <cell r="AK130">
            <v>156061</v>
          </cell>
          <cell r="AL130">
            <v>156314</v>
          </cell>
          <cell r="AM130">
            <v>156490</v>
          </cell>
          <cell r="AO130">
            <v>156967</v>
          </cell>
          <cell r="AP130">
            <v>157003</v>
          </cell>
          <cell r="AQ130">
            <v>154083</v>
          </cell>
          <cell r="AR130">
            <v>148095</v>
          </cell>
          <cell r="AT130">
            <v>148248</v>
          </cell>
          <cell r="AU130">
            <v>148297</v>
          </cell>
          <cell r="AV130">
            <v>148368</v>
          </cell>
          <cell r="AW130">
            <v>146328</v>
          </cell>
          <cell r="AY130">
            <v>146688</v>
          </cell>
          <cell r="AZ130">
            <v>146714</v>
          </cell>
          <cell r="BA130">
            <v>146688</v>
          </cell>
          <cell r="BB130">
            <v>154066</v>
          </cell>
          <cell r="BD130">
            <v>154066</v>
          </cell>
          <cell r="BE130">
            <v>154066</v>
          </cell>
          <cell r="BF130">
            <v>154066</v>
          </cell>
          <cell r="BG130">
            <v>154066</v>
          </cell>
          <cell r="BI130">
            <v>154066</v>
          </cell>
          <cell r="BJ130">
            <v>154066</v>
          </cell>
          <cell r="BK130">
            <v>154066</v>
          </cell>
          <cell r="BL130">
            <v>154066</v>
          </cell>
          <cell r="BN130">
            <v>154066</v>
          </cell>
          <cell r="BO130">
            <v>154066</v>
          </cell>
          <cell r="BP130">
            <v>154066</v>
          </cell>
          <cell r="BQ130">
            <v>154066</v>
          </cell>
        </row>
        <row r="131">
          <cell r="B131" t="str">
            <v>Share Price</v>
          </cell>
          <cell r="Z131">
            <v>26</v>
          </cell>
          <cell r="AA131">
            <v>28.95</v>
          </cell>
          <cell r="AB131">
            <v>24.62</v>
          </cell>
          <cell r="AC131">
            <v>25.45</v>
          </cell>
          <cell r="AE131">
            <v>26.98</v>
          </cell>
          <cell r="AF131">
            <v>27.55</v>
          </cell>
          <cell r="AG131">
            <v>29.2</v>
          </cell>
          <cell r="AH131">
            <v>31</v>
          </cell>
          <cell r="AJ131">
            <v>34.72</v>
          </cell>
          <cell r="AK131">
            <v>31.81</v>
          </cell>
          <cell r="AL131">
            <v>33.200000000000003</v>
          </cell>
          <cell r="AM131">
            <v>34.14</v>
          </cell>
          <cell r="AO131">
            <v>29.85</v>
          </cell>
          <cell r="AP131">
            <v>31.66</v>
          </cell>
          <cell r="AQ131">
            <v>33.880000000000003</v>
          </cell>
          <cell r="AR131">
            <v>33.4</v>
          </cell>
          <cell r="AT131">
            <v>37.950000000000003</v>
          </cell>
          <cell r="AU131">
            <v>35.15</v>
          </cell>
          <cell r="AV131">
            <v>37.35</v>
          </cell>
          <cell r="AW131">
            <v>40.9</v>
          </cell>
          <cell r="AY131">
            <v>43.47</v>
          </cell>
          <cell r="AZ131">
            <v>35.67</v>
          </cell>
          <cell r="BA131">
            <v>33.81</v>
          </cell>
          <cell r="BB131">
            <v>26.08</v>
          </cell>
          <cell r="BD131">
            <v>26.731999999999996</v>
          </cell>
          <cell r="BE131">
            <v>27.400299999999994</v>
          </cell>
          <cell r="BF131">
            <v>28.085307499999992</v>
          </cell>
          <cell r="BG131">
            <v>28.787440187499989</v>
          </cell>
          <cell r="BI131">
            <v>29.507126192187485</v>
          </cell>
          <cell r="BJ131">
            <v>30.244804346992169</v>
          </cell>
          <cell r="BK131">
            <v>31.000924455666969</v>
          </cell>
          <cell r="BL131">
            <v>31.77594756705864</v>
          </cell>
          <cell r="BN131">
            <v>32.570346256235105</v>
          </cell>
          <cell r="BO131">
            <v>33.384604912640981</v>
          </cell>
          <cell r="BP131">
            <v>34.219220035456999</v>
          </cell>
          <cell r="BQ131">
            <v>35.074700536343421</v>
          </cell>
        </row>
        <row r="132">
          <cell r="B132" t="str">
            <v>Common Equity Market Cap</v>
          </cell>
          <cell r="Z132">
            <v>3874546</v>
          </cell>
          <cell r="AA132">
            <v>4333641.3</v>
          </cell>
          <cell r="AB132">
            <v>3689774.7800000003</v>
          </cell>
          <cell r="AC132">
            <v>3815107.6999999997</v>
          </cell>
          <cell r="AE132">
            <v>4048456.92</v>
          </cell>
          <cell r="AF132">
            <v>4138891.6</v>
          </cell>
          <cell r="AG132">
            <v>4394045.2</v>
          </cell>
          <cell r="AH132">
            <v>4671855</v>
          </cell>
          <cell r="AJ132">
            <v>5415313.1200000001</v>
          </cell>
          <cell r="AK132">
            <v>4964300.41</v>
          </cell>
          <cell r="AL132">
            <v>5189624.8000000007</v>
          </cell>
          <cell r="AM132">
            <v>5342568.5999999996</v>
          </cell>
          <cell r="AO132">
            <v>4685464.95</v>
          </cell>
          <cell r="AP132">
            <v>4970714.9800000004</v>
          </cell>
          <cell r="AQ132">
            <v>5220332.04</v>
          </cell>
          <cell r="AR132">
            <v>4946373</v>
          </cell>
          <cell r="AT132">
            <v>5626011.6000000006</v>
          </cell>
          <cell r="AU132">
            <v>5212639.55</v>
          </cell>
          <cell r="AV132">
            <v>5541544.7999999998</v>
          </cell>
          <cell r="AW132">
            <v>5984815.2000000002</v>
          </cell>
          <cell r="AY132">
            <v>6376527.3599999994</v>
          </cell>
          <cell r="AZ132">
            <v>5233288.38</v>
          </cell>
          <cell r="BA132">
            <v>4959521.28</v>
          </cell>
          <cell r="BB132">
            <v>4018041.28</v>
          </cell>
          <cell r="BD132">
            <v>4118492.3119999995</v>
          </cell>
          <cell r="BE132">
            <v>4221454.6197999995</v>
          </cell>
          <cell r="BF132">
            <v>4326990.9852949986</v>
          </cell>
          <cell r="BG132">
            <v>4435165.7599273734</v>
          </cell>
          <cell r="BI132">
            <v>4546044.9039255567</v>
          </cell>
          <cell r="BJ132">
            <v>4659696.0265236953</v>
          </cell>
          <cell r="BK132">
            <v>4776188.4271867871</v>
          </cell>
          <cell r="BL132">
            <v>4895593.1378664561</v>
          </cell>
          <cell r="BN132">
            <v>5017982.9663131181</v>
          </cell>
          <cell r="BO132">
            <v>5143432.5404709456</v>
          </cell>
          <cell r="BP132">
            <v>5272018.3539827177</v>
          </cell>
          <cell r="BQ132">
            <v>5403818.8128322857</v>
          </cell>
        </row>
        <row r="133">
          <cell r="B133" t="str">
            <v>Preferred</v>
          </cell>
          <cell r="F133">
            <v>225000</v>
          </cell>
          <cell r="G133">
            <v>225000</v>
          </cell>
          <cell r="H133">
            <v>225000</v>
          </cell>
          <cell r="I133">
            <v>225000</v>
          </cell>
          <cell r="K133">
            <v>325000</v>
          </cell>
          <cell r="L133">
            <v>325000</v>
          </cell>
          <cell r="M133">
            <v>575000</v>
          </cell>
          <cell r="N133">
            <v>575000</v>
          </cell>
          <cell r="P133">
            <v>575000</v>
          </cell>
          <cell r="Q133">
            <v>575000</v>
          </cell>
          <cell r="R133">
            <v>575000</v>
          </cell>
          <cell r="S133">
            <v>575000</v>
          </cell>
          <cell r="U133">
            <v>575000</v>
          </cell>
          <cell r="V133">
            <v>575000</v>
          </cell>
          <cell r="W133">
            <v>575000</v>
          </cell>
          <cell r="X133">
            <v>575000</v>
          </cell>
          <cell r="Z133">
            <v>575000</v>
          </cell>
          <cell r="AA133">
            <v>575000</v>
          </cell>
          <cell r="AB133">
            <v>522000</v>
          </cell>
          <cell r="AC133">
            <v>372250</v>
          </cell>
          <cell r="AE133">
            <v>372250</v>
          </cell>
          <cell r="AF133">
            <v>372250</v>
          </cell>
          <cell r="AG133">
            <v>472250</v>
          </cell>
          <cell r="AH133">
            <v>407250</v>
          </cell>
          <cell r="AJ133">
            <v>457250</v>
          </cell>
          <cell r="AK133">
            <v>457250</v>
          </cell>
          <cell r="AL133">
            <v>457250</v>
          </cell>
          <cell r="AM133">
            <v>657250</v>
          </cell>
          <cell r="AO133">
            <v>657250</v>
          </cell>
          <cell r="AP133">
            <v>657250</v>
          </cell>
          <cell r="AQ133">
            <v>657250</v>
          </cell>
          <cell r="AR133">
            <v>657250</v>
          </cell>
          <cell r="AT133">
            <v>766250</v>
          </cell>
          <cell r="AU133">
            <v>876250</v>
          </cell>
          <cell r="AV133">
            <v>876250</v>
          </cell>
          <cell r="AW133">
            <v>876250</v>
          </cell>
          <cell r="AY133">
            <v>876250</v>
          </cell>
          <cell r="AZ133">
            <v>876250</v>
          </cell>
          <cell r="BA133">
            <v>757250</v>
          </cell>
          <cell r="BB133">
            <v>876250</v>
          </cell>
          <cell r="BD133">
            <v>876250</v>
          </cell>
          <cell r="BE133">
            <v>876250</v>
          </cell>
          <cell r="BF133">
            <v>876250</v>
          </cell>
          <cell r="BG133">
            <v>876250</v>
          </cell>
          <cell r="BI133">
            <v>876250</v>
          </cell>
          <cell r="BJ133">
            <v>876250</v>
          </cell>
          <cell r="BK133">
            <v>876250</v>
          </cell>
          <cell r="BL133">
            <v>876250</v>
          </cell>
          <cell r="BN133">
            <v>876250</v>
          </cell>
          <cell r="BO133">
            <v>876250</v>
          </cell>
          <cell r="BP133">
            <v>876250</v>
          </cell>
          <cell r="BQ133">
            <v>876250</v>
          </cell>
          <cell r="BZ133" t="str">
            <v>mstag:marketValueOfPreferredEquity</v>
          </cell>
          <cell r="CA133">
            <v>3</v>
          </cell>
          <cell r="CB133" t="str">
            <v>ISO4217:USD</v>
          </cell>
          <cell r="CC133" t="b">
            <v>0</v>
          </cell>
          <cell r="CD133" t="b">
            <v>0</v>
          </cell>
        </row>
        <row r="135">
          <cell r="B135" t="str">
            <v>Share of JV Debt</v>
          </cell>
          <cell r="F135">
            <v>52424</v>
          </cell>
          <cell r="G135">
            <v>52424</v>
          </cell>
          <cell r="H135">
            <v>52424</v>
          </cell>
          <cell r="I135">
            <v>52424</v>
          </cell>
          <cell r="K135">
            <v>69675</v>
          </cell>
          <cell r="L135">
            <v>64827</v>
          </cell>
          <cell r="M135">
            <v>65526</v>
          </cell>
          <cell r="N135">
            <v>66066</v>
          </cell>
          <cell r="P135">
            <v>66642</v>
          </cell>
          <cell r="Q135">
            <v>66772</v>
          </cell>
          <cell r="R135">
            <v>66771</v>
          </cell>
          <cell r="S135">
            <v>223353</v>
          </cell>
          <cell r="U135">
            <v>224344</v>
          </cell>
          <cell r="V135">
            <v>287190</v>
          </cell>
          <cell r="W135">
            <v>286665</v>
          </cell>
          <cell r="X135">
            <v>286400</v>
          </cell>
          <cell r="Z135">
            <v>281269</v>
          </cell>
          <cell r="AA135">
            <v>280704</v>
          </cell>
          <cell r="AB135">
            <v>280033</v>
          </cell>
          <cell r="AC135">
            <v>279755</v>
          </cell>
          <cell r="AE135">
            <v>278904</v>
          </cell>
          <cell r="AF135">
            <v>278918</v>
          </cell>
          <cell r="AG135">
            <v>278997</v>
          </cell>
          <cell r="AH135">
            <v>278732</v>
          </cell>
          <cell r="AJ135">
            <v>280232</v>
          </cell>
          <cell r="AK135">
            <v>274070</v>
          </cell>
          <cell r="AL135">
            <v>273749</v>
          </cell>
          <cell r="AM135">
            <v>274708</v>
          </cell>
          <cell r="AO135">
            <v>274002</v>
          </cell>
          <cell r="AP135">
            <v>256338</v>
          </cell>
          <cell r="AQ135">
            <v>247625</v>
          </cell>
          <cell r="AR135">
            <v>247434</v>
          </cell>
          <cell r="AT135">
            <v>213212</v>
          </cell>
          <cell r="AU135">
            <v>213979</v>
          </cell>
          <cell r="AV135">
            <v>202967</v>
          </cell>
          <cell r="AW135">
            <v>174172</v>
          </cell>
          <cell r="AY135">
            <v>271068</v>
          </cell>
          <cell r="AZ135">
            <v>306051</v>
          </cell>
          <cell r="BA135">
            <v>318262</v>
          </cell>
          <cell r="BB135">
            <v>324268</v>
          </cell>
          <cell r="BD135">
            <v>324268</v>
          </cell>
          <cell r="BE135">
            <v>324268</v>
          </cell>
          <cell r="BF135">
            <v>324268</v>
          </cell>
          <cell r="BG135">
            <v>324268</v>
          </cell>
          <cell r="BI135">
            <v>324268</v>
          </cell>
          <cell r="BJ135">
            <v>324268</v>
          </cell>
          <cell r="BK135">
            <v>324268</v>
          </cell>
          <cell r="BL135">
            <v>324268</v>
          </cell>
          <cell r="BN135">
            <v>324268</v>
          </cell>
          <cell r="BO135">
            <v>324268</v>
          </cell>
          <cell r="BP135">
            <v>324268</v>
          </cell>
          <cell r="BQ135">
            <v>324268</v>
          </cell>
          <cell r="BZ135" t="str">
            <v>mstag:netFinancialObligationsOfEntitiesConsolidatedUsingTheEquityMethodIncludedInMajorityEv</v>
          </cell>
          <cell r="CA135">
            <v>3</v>
          </cell>
          <cell r="CB135" t="str">
            <v>ISO4217:USD</v>
          </cell>
          <cell r="CC135" t="b">
            <v>0</v>
          </cell>
          <cell r="CD135" t="b">
            <v>0</v>
          </cell>
        </row>
        <row r="137">
          <cell r="B137" t="str">
            <v>EBITDA</v>
          </cell>
          <cell r="Z137">
            <v>132638</v>
          </cell>
          <cell r="AA137">
            <v>131355</v>
          </cell>
          <cell r="AB137">
            <v>126668</v>
          </cell>
          <cell r="AC137">
            <v>126691</v>
          </cell>
          <cell r="AE137">
            <v>119747</v>
          </cell>
          <cell r="AF137">
            <v>127238</v>
          </cell>
          <cell r="AG137">
            <v>129150</v>
          </cell>
          <cell r="AH137">
            <v>136496</v>
          </cell>
          <cell r="AJ137">
            <v>123245</v>
          </cell>
          <cell r="AK137">
            <v>128520</v>
          </cell>
          <cell r="AL137">
            <v>131046</v>
          </cell>
          <cell r="AM137">
            <v>143332</v>
          </cell>
          <cell r="AO137">
            <v>132432</v>
          </cell>
          <cell r="AP137">
            <v>145751</v>
          </cell>
          <cell r="AQ137">
            <v>120598</v>
          </cell>
          <cell r="AR137">
            <v>120567</v>
          </cell>
          <cell r="AT137">
            <v>123031</v>
          </cell>
          <cell r="AU137">
            <v>138161</v>
          </cell>
          <cell r="AV137">
            <v>146333</v>
          </cell>
          <cell r="AW137">
            <v>176023</v>
          </cell>
          <cell r="AY137">
            <v>132735</v>
          </cell>
          <cell r="AZ137">
            <v>133882</v>
          </cell>
          <cell r="BA137">
            <v>137085</v>
          </cell>
          <cell r="BB137">
            <v>162042</v>
          </cell>
          <cell r="BD137">
            <v>145088.1079919539</v>
          </cell>
          <cell r="BE137">
            <v>152667.19058085358</v>
          </cell>
          <cell r="BF137">
            <v>154831.02718884891</v>
          </cell>
          <cell r="BG137">
            <v>158974.46089314867</v>
          </cell>
          <cell r="BI137">
            <v>164567.45033025744</v>
          </cell>
          <cell r="BJ137">
            <v>165100.55909797517</v>
          </cell>
          <cell r="BK137">
            <v>165920.97056781343</v>
          </cell>
          <cell r="BL137">
            <v>166549.67460473889</v>
          </cell>
          <cell r="BN137">
            <v>170789.3258837981</v>
          </cell>
          <cell r="BO137">
            <v>172714.62773908276</v>
          </cell>
          <cell r="BP137">
            <v>175123.87498529413</v>
          </cell>
          <cell r="BQ137">
            <v>177367.47202449775</v>
          </cell>
        </row>
        <row r="138">
          <cell r="B138" t="str">
            <v>Net Operating Income</v>
          </cell>
          <cell r="Z138">
            <v>124360</v>
          </cell>
          <cell r="AA138">
            <v>130968</v>
          </cell>
          <cell r="AB138">
            <v>129989</v>
          </cell>
          <cell r="AC138">
            <v>127108</v>
          </cell>
          <cell r="AE138">
            <v>123966</v>
          </cell>
          <cell r="AF138">
            <v>127436</v>
          </cell>
          <cell r="AG138">
            <v>129571</v>
          </cell>
          <cell r="AH138">
            <v>131997</v>
          </cell>
          <cell r="AJ138">
            <v>129526</v>
          </cell>
          <cell r="AK138">
            <v>129515</v>
          </cell>
          <cell r="AL138">
            <v>131597</v>
          </cell>
          <cell r="AM138">
            <v>137482</v>
          </cell>
          <cell r="AO138">
            <v>129093</v>
          </cell>
          <cell r="AP138">
            <v>139768</v>
          </cell>
          <cell r="AQ138">
            <v>113852</v>
          </cell>
          <cell r="AR138">
            <v>123500</v>
          </cell>
          <cell r="AT138">
            <v>132528</v>
          </cell>
          <cell r="AU138">
            <v>141650</v>
          </cell>
          <cell r="AV138">
            <v>142586</v>
          </cell>
          <cell r="AW138">
            <v>149468</v>
          </cell>
          <cell r="AY138">
            <v>139268</v>
          </cell>
          <cell r="AZ138">
            <v>132470</v>
          </cell>
          <cell r="BA138">
            <v>133631</v>
          </cell>
          <cell r="BB138">
            <v>146029</v>
          </cell>
          <cell r="BD138">
            <v>140328.56982685116</v>
          </cell>
          <cell r="BE138">
            <v>148478.12099771103</v>
          </cell>
          <cell r="BF138">
            <v>150595.19280623234</v>
          </cell>
          <cell r="BG138">
            <v>155050.49786461919</v>
          </cell>
          <cell r="BI138">
            <v>154161.21570924687</v>
          </cell>
          <cell r="BJ138">
            <v>154828.10906479514</v>
          </cell>
          <cell r="BK138">
            <v>155498.47524246687</v>
          </cell>
          <cell r="BL138">
            <v>156172.32737207616</v>
          </cell>
          <cell r="BN138">
            <v>158400.73962520089</v>
          </cell>
          <cell r="BO138">
            <v>160789.7603659739</v>
          </cell>
          <cell r="BP138">
            <v>163184.04635356713</v>
          </cell>
          <cell r="BQ138">
            <v>165583.61537945337</v>
          </cell>
        </row>
        <row r="139">
          <cell r="B139" t="str">
            <v>Interest Expense</v>
          </cell>
          <cell r="Z139">
            <v>27720</v>
          </cell>
          <cell r="AA139">
            <v>27918</v>
          </cell>
          <cell r="AB139">
            <v>29797</v>
          </cell>
          <cell r="AC139">
            <v>32391</v>
          </cell>
          <cell r="AE139">
            <v>32713</v>
          </cell>
          <cell r="AF139">
            <v>34767</v>
          </cell>
          <cell r="AG139">
            <v>31469</v>
          </cell>
          <cell r="AH139">
            <v>31715</v>
          </cell>
          <cell r="AJ139">
            <v>33222</v>
          </cell>
          <cell r="AK139">
            <v>32682</v>
          </cell>
          <cell r="AL139">
            <v>34423</v>
          </cell>
          <cell r="AM139">
            <v>35658</v>
          </cell>
          <cell r="AO139">
            <v>35226</v>
          </cell>
          <cell r="AP139">
            <v>35921</v>
          </cell>
          <cell r="AQ139">
            <v>31522</v>
          </cell>
          <cell r="AR139">
            <v>30807</v>
          </cell>
          <cell r="AT139">
            <v>38655</v>
          </cell>
          <cell r="AU139">
            <v>45467</v>
          </cell>
          <cell r="AV139">
            <v>50173</v>
          </cell>
          <cell r="AW139">
            <v>49302</v>
          </cell>
          <cell r="AY139">
            <v>45704</v>
          </cell>
          <cell r="AZ139">
            <v>39207</v>
          </cell>
          <cell r="BA139">
            <v>42390</v>
          </cell>
          <cell r="BB139">
            <v>43643</v>
          </cell>
          <cell r="BD139">
            <v>44009.228300426985</v>
          </cell>
          <cell r="BE139">
            <v>45866.523680445956</v>
          </cell>
          <cell r="BF139">
            <v>48587.975554848053</v>
          </cell>
          <cell r="BG139">
            <v>50389.380790810894</v>
          </cell>
          <cell r="BI139">
            <v>51466.108531973267</v>
          </cell>
          <cell r="BJ139">
            <v>52504.73454766292</v>
          </cell>
          <cell r="BK139">
            <v>53589.808146117022</v>
          </cell>
          <cell r="BL139">
            <v>54715.432286809533</v>
          </cell>
          <cell r="BN139">
            <v>55950.881268408441</v>
          </cell>
          <cell r="BO139">
            <v>57314.757489859978</v>
          </cell>
          <cell r="BP139">
            <v>58734.027908408221</v>
          </cell>
          <cell r="BQ139">
            <v>60185.949176152695</v>
          </cell>
        </row>
        <row r="141">
          <cell r="B141" t="str">
            <v>Total Market Capitalization</v>
          </cell>
          <cell r="Z141">
            <v>6468602</v>
          </cell>
          <cell r="AA141">
            <v>6924562.2999999998</v>
          </cell>
          <cell r="AB141">
            <v>6355916.7800000003</v>
          </cell>
          <cell r="AC141">
            <v>6573397.6999999993</v>
          </cell>
          <cell r="AE141">
            <v>6881245.9199999999</v>
          </cell>
          <cell r="AF141">
            <v>7024936.5999999996</v>
          </cell>
          <cell r="AG141">
            <v>7401844.2000000002</v>
          </cell>
          <cell r="AH141">
            <v>7693373</v>
          </cell>
          <cell r="AJ141">
            <v>8555465.120000001</v>
          </cell>
          <cell r="AK141">
            <v>8225294.4100000001</v>
          </cell>
          <cell r="AL141">
            <v>8580252.8000000007</v>
          </cell>
          <cell r="AM141">
            <v>8793230.5999999996</v>
          </cell>
          <cell r="AO141">
            <v>8240469.9500000002</v>
          </cell>
          <cell r="AP141">
            <v>8759810.9800000004</v>
          </cell>
          <cell r="AQ141">
            <v>8344511.04</v>
          </cell>
          <cell r="AR141">
            <v>8451708</v>
          </cell>
          <cell r="AT141">
            <v>10227122.600000001</v>
          </cell>
          <cell r="AU141">
            <v>10136802.550000001</v>
          </cell>
          <cell r="AV141">
            <v>10696444.800000001</v>
          </cell>
          <cell r="AW141">
            <v>11144391.199999999</v>
          </cell>
          <cell r="AY141">
            <v>11645165.359999999</v>
          </cell>
          <cell r="AZ141">
            <v>10520336.379999999</v>
          </cell>
          <cell r="BA141">
            <v>10200715.280000001</v>
          </cell>
          <cell r="BB141">
            <v>9497093.2799999993</v>
          </cell>
          <cell r="BD141">
            <v>9652206.2721749265</v>
          </cell>
          <cell r="BE141">
            <v>9977720.0573669635</v>
          </cell>
          <cell r="BF141">
            <v>10266899.370649811</v>
          </cell>
          <cell r="BG141">
            <v>10460302.666881878</v>
          </cell>
          <cell r="BI141">
            <v>10645009.041305382</v>
          </cell>
          <cell r="BJ141">
            <v>10834792.768511459</v>
          </cell>
          <cell r="BK141">
            <v>11028510.978405356</v>
          </cell>
          <cell r="BL141">
            <v>11226474.46686114</v>
          </cell>
          <cell r="BN141">
            <v>11437722.124960043</v>
          </cell>
          <cell r="BO141">
            <v>11655528.020474609</v>
          </cell>
          <cell r="BP141">
            <v>11876679.703858761</v>
          </cell>
          <cell r="BQ141">
            <v>12101462.310776148</v>
          </cell>
        </row>
        <row r="142">
          <cell r="B142" t="str">
            <v>- Cash</v>
          </cell>
          <cell r="Z142">
            <v>-13510</v>
          </cell>
          <cell r="AA142">
            <v>-2505</v>
          </cell>
          <cell r="AB142">
            <v>-43037</v>
          </cell>
          <cell r="AC142">
            <v>-17414</v>
          </cell>
          <cell r="AE142">
            <v>-12509</v>
          </cell>
          <cell r="AF142">
            <v>-11671</v>
          </cell>
          <cell r="AG142">
            <v>-931</v>
          </cell>
          <cell r="AH142">
            <v>-12632</v>
          </cell>
          <cell r="AJ142">
            <v>-11899</v>
          </cell>
          <cell r="AK142">
            <v>-10791</v>
          </cell>
          <cell r="AL142">
            <v>0</v>
          </cell>
          <cell r="AM142">
            <v>-5589</v>
          </cell>
          <cell r="AO142">
            <v>-3679</v>
          </cell>
          <cell r="AP142">
            <v>-6487</v>
          </cell>
          <cell r="AQ142">
            <v>-124867</v>
          </cell>
          <cell r="AR142">
            <v>-26732</v>
          </cell>
          <cell r="AT142">
            <v>0</v>
          </cell>
          <cell r="AU142">
            <v>-7039</v>
          </cell>
          <cell r="AV142">
            <v>-25000</v>
          </cell>
          <cell r="AW142">
            <v>-68483</v>
          </cell>
          <cell r="AY142">
            <v>-9492</v>
          </cell>
          <cell r="AZ142">
            <v>-45456</v>
          </cell>
          <cell r="BA142">
            <v>-18424</v>
          </cell>
          <cell r="BB142">
            <v>-48011.958500000037</v>
          </cell>
          <cell r="BD142">
            <v>-10000.000000000015</v>
          </cell>
          <cell r="BE142">
            <v>-10000.000000000015</v>
          </cell>
          <cell r="BF142">
            <v>-10000.000000000015</v>
          </cell>
          <cell r="BG142">
            <v>-9999.9999999999727</v>
          </cell>
          <cell r="BI142">
            <v>-10000.000000000031</v>
          </cell>
          <cell r="BJ142">
            <v>-9999.9999999999891</v>
          </cell>
          <cell r="BK142">
            <v>-10000.00000000002</v>
          </cell>
          <cell r="BL142">
            <v>-9999.9999999999782</v>
          </cell>
          <cell r="BN142">
            <v>-10000.000000000082</v>
          </cell>
          <cell r="BO142">
            <v>-9999.9999999999673</v>
          </cell>
          <cell r="BP142">
            <v>-9999.9999999999691</v>
          </cell>
          <cell r="BQ142">
            <v>-9999.9999999999854</v>
          </cell>
        </row>
        <row r="143">
          <cell r="B143" t="str">
            <v>Enterprise Value</v>
          </cell>
          <cell r="Z143">
            <v>6455092</v>
          </cell>
          <cell r="AA143">
            <v>6922057.2999999998</v>
          </cell>
          <cell r="AB143">
            <v>6312879.7800000003</v>
          </cell>
          <cell r="AC143">
            <v>6555983.6999999993</v>
          </cell>
          <cell r="AE143">
            <v>6868736.9199999999</v>
          </cell>
          <cell r="AF143">
            <v>7013265.5999999996</v>
          </cell>
          <cell r="AG143">
            <v>7400913.2000000002</v>
          </cell>
          <cell r="AH143">
            <v>7680741</v>
          </cell>
          <cell r="AJ143">
            <v>8543566.120000001</v>
          </cell>
          <cell r="AK143">
            <v>8214503.4100000001</v>
          </cell>
          <cell r="AL143">
            <v>8580252.8000000007</v>
          </cell>
          <cell r="AM143">
            <v>8787641.5999999996</v>
          </cell>
          <cell r="AO143">
            <v>8236790.9500000002</v>
          </cell>
          <cell r="AP143">
            <v>8753323.9800000004</v>
          </cell>
          <cell r="AQ143">
            <v>8219644.04</v>
          </cell>
          <cell r="AR143">
            <v>8424976</v>
          </cell>
          <cell r="AT143">
            <v>10227122.600000001</v>
          </cell>
          <cell r="AU143">
            <v>10129763.550000001</v>
          </cell>
          <cell r="AV143">
            <v>10671444.800000001</v>
          </cell>
          <cell r="AW143">
            <v>11075908.199999999</v>
          </cell>
          <cell r="AY143">
            <v>11635673.359999999</v>
          </cell>
          <cell r="AZ143">
            <v>10474880.379999999</v>
          </cell>
          <cell r="BA143">
            <v>10182291.280000001</v>
          </cell>
          <cell r="BB143">
            <v>9449081.3214999996</v>
          </cell>
          <cell r="BD143">
            <v>9642206.2721749265</v>
          </cell>
          <cell r="BE143">
            <v>9967720.0573669635</v>
          </cell>
          <cell r="BF143">
            <v>10256899.370649811</v>
          </cell>
          <cell r="BG143">
            <v>10450302.666881878</v>
          </cell>
          <cell r="BI143">
            <v>10635009.041305382</v>
          </cell>
          <cell r="BJ143">
            <v>10824792.768511459</v>
          </cell>
          <cell r="BK143">
            <v>11018510.978405356</v>
          </cell>
          <cell r="BL143">
            <v>11216474.46686114</v>
          </cell>
          <cell r="BN143">
            <v>11427722.124960043</v>
          </cell>
          <cell r="BO143">
            <v>11645528.020474609</v>
          </cell>
          <cell r="BP143">
            <v>11866679.703858761</v>
          </cell>
          <cell r="BQ143">
            <v>12091462.310776148</v>
          </cell>
        </row>
        <row r="145">
          <cell r="B145" t="str">
            <v>Enterprise Value to EBITDA</v>
          </cell>
          <cell r="Z145">
            <v>12.166747086053771</v>
          </cell>
          <cell r="AA145">
            <v>13.174331582353165</v>
          </cell>
          <cell r="AB145">
            <v>12.459499992105346</v>
          </cell>
          <cell r="AC145">
            <v>12.936956255771916</v>
          </cell>
          <cell r="AE145">
            <v>14.340102299013754</v>
          </cell>
          <cell r="AF145">
            <v>13.779817350162686</v>
          </cell>
          <cell r="AG145">
            <v>14.326196670538135</v>
          </cell>
          <cell r="AH145">
            <v>14.067703449185323</v>
          </cell>
          <cell r="AJ145">
            <v>17.330451783033798</v>
          </cell>
          <cell r="AK145">
            <v>15.979037134298164</v>
          </cell>
          <cell r="AL145">
            <v>16.36878042824657</v>
          </cell>
          <cell r="AM145">
            <v>15.327424441157591</v>
          </cell>
          <cell r="AO145">
            <v>15.549094912860941</v>
          </cell>
          <cell r="AP145">
            <v>15.014174825558658</v>
          </cell>
          <cell r="AQ145">
            <v>17.039345677374417</v>
          </cell>
          <cell r="AR145">
            <v>17.469489993115861</v>
          </cell>
          <cell r="AT145">
            <v>20.781596914598762</v>
          </cell>
          <cell r="AU145">
            <v>18.329636348173509</v>
          </cell>
          <cell r="AV145">
            <v>18.231439251570052</v>
          </cell>
          <cell r="AW145">
            <v>15.730768422308447</v>
          </cell>
          <cell r="AY145">
            <v>21.915232154292386</v>
          </cell>
          <cell r="AZ145">
            <v>19.559911675953451</v>
          </cell>
          <cell r="BA145">
            <v>18.569302403618195</v>
          </cell>
          <cell r="BB145">
            <v>14.578136102831364</v>
          </cell>
          <cell r="BD145">
            <v>16.614397977933606</v>
          </cell>
          <cell r="BE145">
            <v>16.322629668239017</v>
          </cell>
          <cell r="BF145">
            <v>16.561440489152364</v>
          </cell>
          <cell r="BG145">
            <v>16.433933174187374</v>
          </cell>
          <cell r="BI145">
            <v>16.156003237521787</v>
          </cell>
          <cell r="BJ145">
            <v>16.391211555630971</v>
          </cell>
          <cell r="BK145">
            <v>16.602046957503163</v>
          </cell>
          <cell r="BL145">
            <v>16.836530142554231</v>
          </cell>
          <cell r="BN145">
            <v>16.727804951837641</v>
          </cell>
          <cell r="BO145">
            <v>16.856603538623439</v>
          </cell>
          <cell r="BP145">
            <v>16.940408189424851</v>
          </cell>
          <cell r="BQ145">
            <v>17.042953497564216</v>
          </cell>
        </row>
        <row r="146">
          <cell r="B146" t="str">
            <v>Enterprise Value to NOI</v>
          </cell>
          <cell r="Z146">
            <v>12.976624316500482</v>
          </cell>
          <cell r="AA146">
            <v>13.213260681998657</v>
          </cell>
          <cell r="AB146">
            <v>12.141180753756087</v>
          </cell>
          <cell r="AC146">
            <v>12.894514310664945</v>
          </cell>
          <cell r="AE146">
            <v>13.852058064307956</v>
          </cell>
          <cell r="AF146">
            <v>13.758407357418625</v>
          </cell>
          <cell r="AG146">
            <v>14.279648223753773</v>
          </cell>
          <cell r="AH146">
            <v>14.547188572467556</v>
          </cell>
          <cell r="AJ146">
            <v>16.490060142365241</v>
          </cell>
          <cell r="AK146">
            <v>15.856278056595761</v>
          </cell>
          <cell r="AL146">
            <v>16.30024392653328</v>
          </cell>
          <cell r="AM146">
            <v>15.979622059615076</v>
          </cell>
          <cell r="AO146">
            <v>15.951273403670223</v>
          </cell>
          <cell r="AP146">
            <v>15.656881367695039</v>
          </cell>
          <cell r="AQ146">
            <v>18.048967167902187</v>
          </cell>
          <cell r="AR146">
            <v>17.054607287449393</v>
          </cell>
          <cell r="AT146">
            <v>19.292380855366417</v>
          </cell>
          <cell r="AU146">
            <v>17.878156636074834</v>
          </cell>
          <cell r="AV146">
            <v>18.710541006830965</v>
          </cell>
          <cell r="AW146">
            <v>18.525550954050363</v>
          </cell>
          <cell r="AY146">
            <v>20.887198351380071</v>
          </cell>
          <cell r="AZ146">
            <v>19.768401109685211</v>
          </cell>
          <cell r="BA146">
            <v>19.04926865772164</v>
          </cell>
          <cell r="BB146">
            <v>16.176720585465901</v>
          </cell>
          <cell r="BD146">
            <v>17.177910179075202</v>
          </cell>
          <cell r="BE146">
            <v>16.783146214385059</v>
          </cell>
          <cell r="BF146">
            <v>17.02726889803041</v>
          </cell>
          <cell r="BG146">
            <v>16.849837328491613</v>
          </cell>
          <cell r="BI146">
            <v>17.246570404198419</v>
          </cell>
          <cell r="BJ146">
            <v>17.478726624474426</v>
          </cell>
          <cell r="BK146">
            <v>17.714821578192851</v>
          </cell>
          <cell r="BL146">
            <v>17.955284805576031</v>
          </cell>
          <cell r="BN146">
            <v>18.036093379361247</v>
          </cell>
          <cell r="BO146">
            <v>18.106762510821895</v>
          </cell>
          <cell r="BP146">
            <v>18.179901726035613</v>
          </cell>
          <cell r="BQ146">
            <v>18.255825437600226</v>
          </cell>
        </row>
        <row r="147">
          <cell r="B147" t="str">
            <v>Interest Coverage Ratio - EBITDA</v>
          </cell>
          <cell r="Z147">
            <v>4.7849206349206348</v>
          </cell>
          <cell r="AA147">
            <v>4.7050290135396517</v>
          </cell>
          <cell r="AB147">
            <v>4.2510319830855456</v>
          </cell>
          <cell r="AC147">
            <v>3.9113025223055788</v>
          </cell>
          <cell r="AE147">
            <v>3.6605325100113104</v>
          </cell>
          <cell r="AF147">
            <v>3.6597348059941899</v>
          </cell>
          <cell r="AG147">
            <v>4.1040388954208904</v>
          </cell>
          <cell r="AH147">
            <v>4.3038309947974147</v>
          </cell>
          <cell r="AJ147">
            <v>3.7097405333814941</v>
          </cell>
          <cell r="AK147">
            <v>3.9324398751606391</v>
          </cell>
          <cell r="AL147">
            <v>3.8069314121372337</v>
          </cell>
          <cell r="AM147">
            <v>4.019630938358854</v>
          </cell>
          <cell r="AO147">
            <v>3.7594958269460057</v>
          </cell>
          <cell r="AP147">
            <v>4.0575429414548596</v>
          </cell>
          <cell r="AQ147">
            <v>3.8258359241164901</v>
          </cell>
          <cell r="AR147">
            <v>3.9136235271204596</v>
          </cell>
          <cell r="AT147">
            <v>3.1827965334368127</v>
          </cell>
          <cell r="AU147">
            <v>3.0387093936261462</v>
          </cell>
          <cell r="AV147">
            <v>2.9165686723935185</v>
          </cell>
          <cell r="AW147">
            <v>3.5703014076508053</v>
          </cell>
          <cell r="AY147">
            <v>2.9042315771048486</v>
          </cell>
          <cell r="AZ147">
            <v>3.4147473665416892</v>
          </cell>
          <cell r="BA147">
            <v>3.2338995046001417</v>
          </cell>
          <cell r="BB147">
            <v>3.7128978301216691</v>
          </cell>
          <cell r="BD147">
            <v>3.2967655556583852</v>
          </cell>
          <cell r="BE147">
            <v>3.3285101710452807</v>
          </cell>
          <cell r="BF147">
            <v>3.1866120253162111</v>
          </cell>
          <cell r="BG147">
            <v>3.1549199136445742</v>
          </cell>
          <cell r="BI147">
            <v>3.1975887632541733</v>
          </cell>
          <cell r="BJ147">
            <v>3.1444889783815522</v>
          </cell>
          <cell r="BK147">
            <v>3.0961292138873917</v>
          </cell>
          <cell r="BL147">
            <v>3.0439250435181098</v>
          </cell>
          <cell r="BN147">
            <v>3.0524867886259894</v>
          </cell>
          <cell r="BO147">
            <v>3.0134407838965229</v>
          </cell>
          <cell r="BP147">
            <v>2.9816425200462682</v>
          </cell>
          <cell r="BQ147">
            <v>2.9469913568261137</v>
          </cell>
        </row>
        <row r="150">
          <cell r="B150" t="str">
            <v>MW</v>
          </cell>
        </row>
        <row r="151">
          <cell r="B151" t="str">
            <v xml:space="preserve">  Market Value of Minority Interest</v>
          </cell>
          <cell r="Z151">
            <v>435188</v>
          </cell>
          <cell r="AA151">
            <v>437550.3</v>
          </cell>
          <cell r="AB151">
            <v>369103.04000000004</v>
          </cell>
          <cell r="AC151">
            <v>380706.55</v>
          </cell>
          <cell r="AD151">
            <v>380706.55</v>
          </cell>
          <cell r="AE151">
            <v>399357.96</v>
          </cell>
          <cell r="AF151">
            <v>406500.25</v>
          </cell>
          <cell r="AG151">
            <v>428276.39999999997</v>
          </cell>
          <cell r="AH151">
            <v>450213</v>
          </cell>
          <cell r="AI151">
            <v>450213</v>
          </cell>
          <cell r="AJ151">
            <v>487677.12</v>
          </cell>
          <cell r="AK151">
            <v>443463.20999999996</v>
          </cell>
          <cell r="AL151">
            <v>462741.60000000003</v>
          </cell>
          <cell r="AM151">
            <v>467171.76</v>
          </cell>
          <cell r="AN151">
            <v>467171.76</v>
          </cell>
          <cell r="AO151">
            <v>413661.30000000005</v>
          </cell>
          <cell r="AP151">
            <v>427599.96</v>
          </cell>
          <cell r="AQ151">
            <v>455584.36000000004</v>
          </cell>
          <cell r="AR151">
            <v>447526.6</v>
          </cell>
          <cell r="AS151">
            <v>447526.6</v>
          </cell>
          <cell r="AT151">
            <v>508302.30000000005</v>
          </cell>
          <cell r="AU151">
            <v>467635.6</v>
          </cell>
          <cell r="AV151">
            <v>493430.85000000003</v>
          </cell>
          <cell r="AW151">
            <v>525115.1</v>
          </cell>
          <cell r="AX151">
            <v>525115.1</v>
          </cell>
          <cell r="AY151">
            <v>422919.63</v>
          </cell>
          <cell r="AZ151">
            <v>348923.94</v>
          </cell>
          <cell r="BA151">
            <v>310240.56</v>
          </cell>
          <cell r="BB151">
            <v>212447.68</v>
          </cell>
          <cell r="BC151">
            <v>212447.68</v>
          </cell>
          <cell r="BD151">
            <v>217758.87199999997</v>
          </cell>
          <cell r="BE151">
            <v>223202.84379999994</v>
          </cell>
          <cell r="BF151">
            <v>228782.91489499994</v>
          </cell>
          <cell r="BG151">
            <v>234502.4877673749</v>
          </cell>
          <cell r="BH151">
            <v>234502.4877673749</v>
          </cell>
          <cell r="BI151">
            <v>240365.04996155924</v>
          </cell>
          <cell r="BJ151">
            <v>246374.17621059821</v>
          </cell>
          <cell r="BK151">
            <v>252533.53061586313</v>
          </cell>
          <cell r="BL151">
            <v>258846.8688812597</v>
          </cell>
          <cell r="BM151">
            <v>258846.8688812597</v>
          </cell>
          <cell r="BN151">
            <v>265318.04060329119</v>
          </cell>
          <cell r="BO151">
            <v>271950.99161837343</v>
          </cell>
          <cell r="BP151">
            <v>278749.76640883269</v>
          </cell>
          <cell r="BQ151">
            <v>285718.51056905353</v>
          </cell>
          <cell r="BR151">
            <v>285718.51056905353</v>
          </cell>
          <cell r="BZ151" t="str">
            <v>mstag:marketValueOfMinorityInterestsInShareholdersEquity</v>
          </cell>
          <cell r="CA151">
            <v>3</v>
          </cell>
          <cell r="CB151" t="str">
            <v>ISO4217:USD</v>
          </cell>
          <cell r="CC151" t="b">
            <v>0</v>
          </cell>
          <cell r="CD151" t="b">
            <v>0</v>
          </cell>
        </row>
        <row r="152">
          <cell r="B152" t="str">
            <v xml:space="preserve">  Share to be used for Majority EV</v>
          </cell>
          <cell r="Z152">
            <v>1</v>
          </cell>
          <cell r="AA152">
            <v>1</v>
          </cell>
          <cell r="AB152">
            <v>1</v>
          </cell>
          <cell r="AC152">
            <v>1</v>
          </cell>
          <cell r="AD152">
            <v>1</v>
          </cell>
          <cell r="AE152">
            <v>1</v>
          </cell>
          <cell r="AF152">
            <v>1</v>
          </cell>
          <cell r="AG152">
            <v>1</v>
          </cell>
          <cell r="AH152">
            <v>1</v>
          </cell>
          <cell r="AI152">
            <v>1</v>
          </cell>
          <cell r="AJ152">
            <v>1</v>
          </cell>
          <cell r="AK152">
            <v>1</v>
          </cell>
          <cell r="AL152">
            <v>1</v>
          </cell>
          <cell r="AM152">
            <v>1</v>
          </cell>
          <cell r="AN152">
            <v>1</v>
          </cell>
          <cell r="AO152">
            <v>1</v>
          </cell>
          <cell r="AP152">
            <v>1</v>
          </cell>
          <cell r="AQ152">
            <v>1</v>
          </cell>
          <cell r="AR152">
            <v>1</v>
          </cell>
          <cell r="AS152">
            <v>1</v>
          </cell>
          <cell r="AT152">
            <v>1</v>
          </cell>
          <cell r="AU152">
            <v>1</v>
          </cell>
          <cell r="AV152">
            <v>1</v>
          </cell>
          <cell r="AW152">
            <v>1</v>
          </cell>
          <cell r="AX152">
            <v>1</v>
          </cell>
          <cell r="AY152">
            <v>1</v>
          </cell>
          <cell r="AZ152">
            <v>1</v>
          </cell>
          <cell r="BA152">
            <v>1</v>
          </cell>
          <cell r="BB152">
            <v>1</v>
          </cell>
          <cell r="BC152">
            <v>1</v>
          </cell>
          <cell r="BD152">
            <v>1</v>
          </cell>
          <cell r="BE152">
            <v>1</v>
          </cell>
          <cell r="BF152">
            <v>1</v>
          </cell>
          <cell r="BG152">
            <v>1</v>
          </cell>
          <cell r="BH152">
            <v>1</v>
          </cell>
          <cell r="BI152">
            <v>1</v>
          </cell>
          <cell r="BJ152">
            <v>1</v>
          </cell>
          <cell r="BK152">
            <v>1</v>
          </cell>
          <cell r="BL152">
            <v>1</v>
          </cell>
          <cell r="BM152">
            <v>1</v>
          </cell>
          <cell r="BN152">
            <v>1</v>
          </cell>
          <cell r="BO152">
            <v>1</v>
          </cell>
          <cell r="BP152">
            <v>1</v>
          </cell>
          <cell r="BQ152">
            <v>1</v>
          </cell>
          <cell r="BR152">
            <v>1</v>
          </cell>
          <cell r="BZ152" t="str">
            <v>mstag:majorityShareOfEntitiesConsolidatedUsingTheEquityMethodIncludedInMajorityEvPercent</v>
          </cell>
          <cell r="CA152">
            <v>0</v>
          </cell>
          <cell r="CB152" t="str">
            <v>ms_eqr_gcim_Decimal:ms_eqr_gcim_decimal</v>
          </cell>
          <cell r="CC152" t="b">
            <v>0</v>
          </cell>
          <cell r="CD152" t="b">
            <v>0</v>
          </cell>
        </row>
        <row r="154">
          <cell r="A154" t="str">
            <v>Historical Debt Yields</v>
          </cell>
        </row>
        <row r="155">
          <cell r="B155" t="str">
            <v>30-Day LIBOR</v>
          </cell>
          <cell r="I155">
            <v>1.8740000000000001</v>
          </cell>
          <cell r="N155">
            <v>1.8740000000000001</v>
          </cell>
          <cell r="S155">
            <v>1.8740000000000001</v>
          </cell>
          <cell r="X155">
            <v>1.8740000000000001</v>
          </cell>
          <cell r="Z155">
            <v>1.879</v>
          </cell>
          <cell r="AA155">
            <v>1.84</v>
          </cell>
          <cell r="AB155">
            <v>1.81</v>
          </cell>
          <cell r="AC155">
            <v>1.38</v>
          </cell>
          <cell r="AE155">
            <v>1.3</v>
          </cell>
          <cell r="AF155">
            <v>1.1200000000000001</v>
          </cell>
          <cell r="AG155">
            <v>1.1200000000000001</v>
          </cell>
          <cell r="AH155">
            <v>1.1200000000000001</v>
          </cell>
          <cell r="AJ155">
            <v>1.0900000000000001</v>
          </cell>
          <cell r="AK155">
            <v>1.37</v>
          </cell>
          <cell r="AL155">
            <v>1.84</v>
          </cell>
          <cell r="AM155">
            <v>2.4</v>
          </cell>
          <cell r="AO155">
            <v>2.87</v>
          </cell>
          <cell r="AP155">
            <v>3.34</v>
          </cell>
          <cell r="AQ155">
            <v>3.86</v>
          </cell>
          <cell r="AR155">
            <v>4.3899999999999997</v>
          </cell>
          <cell r="AT155">
            <v>4.83</v>
          </cell>
          <cell r="AU155">
            <v>5.33</v>
          </cell>
          <cell r="AV155">
            <v>5.32</v>
          </cell>
          <cell r="AW155">
            <v>5.32</v>
          </cell>
          <cell r="AY155">
            <v>5.32</v>
          </cell>
          <cell r="AZ155">
            <v>5.32</v>
          </cell>
          <cell r="BA155">
            <v>5.4939</v>
          </cell>
          <cell r="BB155">
            <v>4.5999999999999996</v>
          </cell>
          <cell r="BD155">
            <v>3.95</v>
          </cell>
        </row>
        <row r="156">
          <cell r="B156" t="str">
            <v>10-Year Treasury</v>
          </cell>
          <cell r="I156">
            <v>50.24</v>
          </cell>
          <cell r="N156">
            <v>50.24</v>
          </cell>
          <cell r="S156">
            <v>50.24</v>
          </cell>
          <cell r="X156">
            <v>50.24</v>
          </cell>
          <cell r="Z156">
            <v>54.5</v>
          </cell>
          <cell r="AA156">
            <v>48.03</v>
          </cell>
          <cell r="AB156">
            <v>35.99</v>
          </cell>
          <cell r="AC156">
            <v>38.200000000000003</v>
          </cell>
          <cell r="AE156">
            <v>38.24</v>
          </cell>
          <cell r="AF156">
            <v>35.299999999999997</v>
          </cell>
          <cell r="AG156">
            <v>39.409999999999997</v>
          </cell>
          <cell r="AH156">
            <v>42.61</v>
          </cell>
          <cell r="AJ156">
            <v>38.380000000000003</v>
          </cell>
          <cell r="AK156">
            <v>46.18</v>
          </cell>
          <cell r="AL156">
            <v>41.19</v>
          </cell>
          <cell r="AM156">
            <v>42.16</v>
          </cell>
          <cell r="AO156">
            <v>44.95</v>
          </cell>
          <cell r="AP156">
            <v>39.799999999999997</v>
          </cell>
          <cell r="AQ156">
            <v>43.4</v>
          </cell>
          <cell r="AR156">
            <v>43.96</v>
          </cell>
          <cell r="AT156">
            <v>48.52</v>
          </cell>
          <cell r="AU156">
            <v>51.39</v>
          </cell>
          <cell r="AV156">
            <v>46.33</v>
          </cell>
          <cell r="AW156">
            <v>47.08</v>
          </cell>
          <cell r="AY156">
            <v>46.5</v>
          </cell>
          <cell r="AZ156">
            <v>50.34</v>
          </cell>
          <cell r="BA156">
            <v>45.2</v>
          </cell>
          <cell r="BB156">
            <v>40.33</v>
          </cell>
          <cell r="BD156">
            <v>39.5</v>
          </cell>
        </row>
      </sheetData>
      <sheetData sheetId="11" refreshError="1">
        <row r="1">
          <cell r="BM1" t="str">
            <v>ElementName</v>
          </cell>
          <cell r="BN1" t="str">
            <v>ScaleOverride</v>
          </cell>
          <cell r="BO1" t="str">
            <v>UnitOverride</v>
          </cell>
          <cell r="BP1" t="str">
            <v>ReverseSign</v>
          </cell>
          <cell r="BQ1" t="str">
            <v>IsDrivingAssumption</v>
          </cell>
          <cell r="BR1" t="str">
            <v>SegmentID</v>
          </cell>
        </row>
        <row r="2">
          <cell r="B2" t="str">
            <v>Duke Realty Corporation</v>
          </cell>
          <cell r="R2" t="str">
            <v>Do not erase</v>
          </cell>
          <cell r="S2">
            <v>35972</v>
          </cell>
        </row>
        <row r="3">
          <cell r="B3" t="str">
            <v>Cash Flow Statement</v>
          </cell>
          <cell r="S3">
            <v>61152</v>
          </cell>
        </row>
        <row r="4">
          <cell r="B4" t="str">
            <v>(Dollars In Thousands, Except Per-Share)</v>
          </cell>
        </row>
        <row r="6">
          <cell r="D6">
            <v>2001</v>
          </cell>
          <cell r="I6">
            <v>2002</v>
          </cell>
          <cell r="N6">
            <v>2003</v>
          </cell>
          <cell r="S6">
            <v>2004</v>
          </cell>
          <cell r="X6">
            <v>2005</v>
          </cell>
          <cell r="AC6">
            <v>2006</v>
          </cell>
          <cell r="AH6">
            <v>2007</v>
          </cell>
          <cell r="AM6">
            <v>2008</v>
          </cell>
          <cell r="AR6">
            <v>2009</v>
          </cell>
          <cell r="AW6">
            <v>2010</v>
          </cell>
        </row>
        <row r="7">
          <cell r="D7" t="str">
            <v>1QA</v>
          </cell>
          <cell r="E7" t="str">
            <v>2QA</v>
          </cell>
          <cell r="F7" t="str">
            <v>3QA</v>
          </cell>
          <cell r="G7" t="str">
            <v>4QA</v>
          </cell>
          <cell r="H7" t="str">
            <v>2001A</v>
          </cell>
          <cell r="I7" t="str">
            <v>1QA</v>
          </cell>
          <cell r="J7" t="str">
            <v>2QA</v>
          </cell>
          <cell r="K7" t="str">
            <v>3QA</v>
          </cell>
          <cell r="L7" t="str">
            <v>4QA</v>
          </cell>
          <cell r="M7" t="str">
            <v>2002A</v>
          </cell>
          <cell r="N7" t="str">
            <v>1QA</v>
          </cell>
          <cell r="O7" t="str">
            <v>2QA</v>
          </cell>
          <cell r="P7" t="str">
            <v>3QA</v>
          </cell>
          <cell r="Q7" t="str">
            <v>4QA</v>
          </cell>
          <cell r="R7" t="str">
            <v>2003A</v>
          </cell>
          <cell r="S7" t="str">
            <v>1QA</v>
          </cell>
          <cell r="T7" t="str">
            <v>2QA</v>
          </cell>
          <cell r="U7" t="str">
            <v>3QA</v>
          </cell>
          <cell r="V7" t="str">
            <v>4QA</v>
          </cell>
          <cell r="W7" t="str">
            <v>2004</v>
          </cell>
          <cell r="X7" t="str">
            <v>1QA</v>
          </cell>
          <cell r="Y7" t="str">
            <v>2QA</v>
          </cell>
          <cell r="Z7" t="str">
            <v>3QA</v>
          </cell>
          <cell r="AA7" t="str">
            <v>4QA</v>
          </cell>
          <cell r="AB7" t="str">
            <v>2005A</v>
          </cell>
          <cell r="AC7" t="str">
            <v>1QA</v>
          </cell>
          <cell r="AD7" t="str">
            <v>2QA</v>
          </cell>
          <cell r="AE7" t="str">
            <v>3QA</v>
          </cell>
          <cell r="AF7" t="str">
            <v>4QA</v>
          </cell>
          <cell r="AG7" t="str">
            <v>2006A</v>
          </cell>
          <cell r="AH7" t="str">
            <v>1QA</v>
          </cell>
          <cell r="AI7" t="str">
            <v>2QA</v>
          </cell>
          <cell r="AJ7" t="str">
            <v>3QA</v>
          </cell>
          <cell r="AK7" t="str">
            <v>4QE</v>
          </cell>
          <cell r="AL7" t="str">
            <v>2007E</v>
          </cell>
          <cell r="AM7" t="str">
            <v>1QE</v>
          </cell>
          <cell r="AN7" t="str">
            <v>2QE</v>
          </cell>
          <cell r="AO7" t="str">
            <v>3QE</v>
          </cell>
          <cell r="AP7" t="str">
            <v>4QE</v>
          </cell>
          <cell r="AQ7" t="str">
            <v>2008E</v>
          </cell>
          <cell r="AR7" t="str">
            <v>1QE</v>
          </cell>
          <cell r="AS7" t="str">
            <v>2QE</v>
          </cell>
          <cell r="AT7" t="str">
            <v>3QE</v>
          </cell>
          <cell r="AU7" t="str">
            <v>4QE</v>
          </cell>
          <cell r="AV7" t="str">
            <v>2009E</v>
          </cell>
          <cell r="AW7" t="str">
            <v>1QE</v>
          </cell>
          <cell r="AX7" t="str">
            <v>2QE</v>
          </cell>
          <cell r="AY7" t="str">
            <v>3QE</v>
          </cell>
          <cell r="AZ7" t="str">
            <v>4QE</v>
          </cell>
          <cell r="BA7" t="str">
            <v>2010E</v>
          </cell>
        </row>
        <row r="8">
          <cell r="I8" t="str">
            <v>2002-Q1</v>
          </cell>
          <cell r="J8" t="str">
            <v>2002-Q2</v>
          </cell>
          <cell r="K8" t="str">
            <v>2002-Q3</v>
          </cell>
          <cell r="L8" t="str">
            <v>2002-Q4</v>
          </cell>
          <cell r="M8" t="str">
            <v>2002-FY</v>
          </cell>
          <cell r="N8" t="str">
            <v>2003-Q1</v>
          </cell>
          <cell r="O8" t="str">
            <v>2003-Q2</v>
          </cell>
          <cell r="P8" t="str">
            <v>2003-Q3</v>
          </cell>
          <cell r="Q8" t="str">
            <v>2003-Q4</v>
          </cell>
          <cell r="R8" t="str">
            <v>2003-FY</v>
          </cell>
          <cell r="S8" t="str">
            <v>2004-Q1</v>
          </cell>
          <cell r="T8" t="str">
            <v>2004-Q2</v>
          </cell>
          <cell r="U8" t="str">
            <v>2004-Q3</v>
          </cell>
          <cell r="V8" t="str">
            <v>2004-Q4</v>
          </cell>
          <cell r="W8" t="str">
            <v>2004-FY</v>
          </cell>
          <cell r="X8" t="str">
            <v>2005-Q1</v>
          </cell>
          <cell r="Y8" t="str">
            <v>2005-Q2</v>
          </cell>
          <cell r="Z8" t="str">
            <v>2005-Q3</v>
          </cell>
          <cell r="AA8" t="str">
            <v>2005-Q4</v>
          </cell>
          <cell r="AB8" t="str">
            <v>2005-FY</v>
          </cell>
          <cell r="AC8" t="str">
            <v>2006-Q1</v>
          </cell>
          <cell r="AD8" t="str">
            <v>2006-Q2</v>
          </cell>
          <cell r="AE8" t="str">
            <v>2006-Q3</v>
          </cell>
          <cell r="AF8" t="str">
            <v>2006-Q4</v>
          </cell>
          <cell r="AG8" t="str">
            <v>2006-FY</v>
          </cell>
          <cell r="AH8" t="str">
            <v>2007-Q1</v>
          </cell>
          <cell r="AI8" t="str">
            <v>2007-Q2</v>
          </cell>
          <cell r="AJ8" t="str">
            <v>2007-Q3</v>
          </cell>
          <cell r="AK8" t="str">
            <v>2007-Q4</v>
          </cell>
          <cell r="AL8" t="str">
            <v>2007-FY</v>
          </cell>
          <cell r="AM8" t="str">
            <v>2008-Q1</v>
          </cell>
          <cell r="AN8" t="str">
            <v>2008-Q2</v>
          </cell>
          <cell r="AO8" t="str">
            <v>2008-Q3</v>
          </cell>
          <cell r="AP8" t="str">
            <v>2008-Q4</v>
          </cell>
          <cell r="AQ8" t="str">
            <v>2008-FY</v>
          </cell>
          <cell r="AR8" t="str">
            <v>2009-Q1</v>
          </cell>
          <cell r="AS8" t="str">
            <v>2009-Q2</v>
          </cell>
          <cell r="AT8" t="str">
            <v>2009-Q3</v>
          </cell>
          <cell r="AU8" t="str">
            <v>2009-Q4</v>
          </cell>
          <cell r="AV8" t="str">
            <v>2009-FY</v>
          </cell>
          <cell r="AW8" t="str">
            <v>2010-Q1</v>
          </cell>
          <cell r="AX8" t="str">
            <v>2010-Q2</v>
          </cell>
          <cell r="AY8" t="str">
            <v>2010-Q3</v>
          </cell>
          <cell r="AZ8" t="str">
            <v>2010-Q4</v>
          </cell>
          <cell r="BA8" t="str">
            <v>2010-FY</v>
          </cell>
        </row>
        <row r="10">
          <cell r="B10" t="str">
            <v>Net income</v>
          </cell>
          <cell r="I10">
            <v>57386</v>
          </cell>
          <cell r="J10">
            <v>60635</v>
          </cell>
          <cell r="K10">
            <v>50925</v>
          </cell>
          <cell r="L10">
            <v>37379</v>
          </cell>
          <cell r="M10">
            <v>206325</v>
          </cell>
          <cell r="N10">
            <v>46229</v>
          </cell>
          <cell r="O10">
            <v>43290</v>
          </cell>
          <cell r="P10">
            <v>49600</v>
          </cell>
          <cell r="Q10">
            <v>60113</v>
          </cell>
          <cell r="R10">
            <v>199232</v>
          </cell>
          <cell r="S10">
            <v>44100</v>
          </cell>
          <cell r="T10">
            <v>43148</v>
          </cell>
          <cell r="U10">
            <v>50847</v>
          </cell>
          <cell r="V10">
            <v>50606</v>
          </cell>
          <cell r="W10">
            <v>188701</v>
          </cell>
          <cell r="X10">
            <v>37101</v>
          </cell>
          <cell r="Y10">
            <v>51919</v>
          </cell>
          <cell r="Z10">
            <v>224967</v>
          </cell>
          <cell r="AA10">
            <v>41675</v>
          </cell>
          <cell r="AB10">
            <v>355662</v>
          </cell>
          <cell r="AC10">
            <v>26793</v>
          </cell>
          <cell r="AD10">
            <v>34972</v>
          </cell>
          <cell r="AE10">
            <v>76960</v>
          </cell>
          <cell r="AF10">
            <v>65422</v>
          </cell>
          <cell r="AG10">
            <v>204147</v>
          </cell>
          <cell r="AH10">
            <v>83789</v>
          </cell>
          <cell r="AI10">
            <v>52302</v>
          </cell>
          <cell r="AJ10">
            <v>68614</v>
          </cell>
          <cell r="AK10">
            <v>74762</v>
          </cell>
          <cell r="AL10">
            <v>279467</v>
          </cell>
          <cell r="AM10">
            <v>49766.710751071369</v>
          </cell>
          <cell r="AN10">
            <v>51447.303752979853</v>
          </cell>
          <cell r="AO10">
            <v>47513.153300938415</v>
          </cell>
          <cell r="AP10">
            <v>47198.605604666103</v>
          </cell>
          <cell r="AQ10">
            <v>195925.77340965573</v>
          </cell>
          <cell r="AR10">
            <v>54322.46505216795</v>
          </cell>
          <cell r="AS10">
            <v>52042.763953626156</v>
          </cell>
          <cell r="AT10">
            <v>50002.205115794655</v>
          </cell>
          <cell r="AU10">
            <v>47727.666597238363</v>
          </cell>
          <cell r="AV10">
            <v>204095.10071882713</v>
          </cell>
          <cell r="AW10">
            <v>49299.640339865342</v>
          </cell>
          <cell r="AX10">
            <v>47833.820511042228</v>
          </cell>
          <cell r="AY10">
            <v>46790.557949563357</v>
          </cell>
          <cell r="AZ10">
            <v>45542.987104457061</v>
          </cell>
          <cell r="BA10">
            <v>189467.00590492797</v>
          </cell>
          <cell r="BM10" t="str">
            <v>mstag:netIncomeReported</v>
          </cell>
          <cell r="BN10">
            <v>3</v>
          </cell>
          <cell r="BO10" t="str">
            <v>ISO4217:USD</v>
          </cell>
          <cell r="BP10" t="b">
            <v>0</v>
          </cell>
          <cell r="BQ10" t="b">
            <v>0</v>
          </cell>
        </row>
        <row r="11">
          <cell r="B11" t="str">
            <v>Depreciation of buildings and tenant improvements</v>
          </cell>
          <cell r="I11">
            <v>37186</v>
          </cell>
          <cell r="J11">
            <v>38398</v>
          </cell>
          <cell r="K11">
            <v>38985</v>
          </cell>
          <cell r="L11">
            <v>39996</v>
          </cell>
          <cell r="M11">
            <v>154565</v>
          </cell>
          <cell r="N11">
            <v>41771</v>
          </cell>
          <cell r="O11">
            <v>41144</v>
          </cell>
          <cell r="P11">
            <v>42276</v>
          </cell>
          <cell r="Q11">
            <v>43768</v>
          </cell>
          <cell r="R11">
            <v>168959</v>
          </cell>
          <cell r="S11">
            <v>43012</v>
          </cell>
          <cell r="T11">
            <v>44622</v>
          </cell>
          <cell r="U11">
            <v>51239</v>
          </cell>
          <cell r="V11">
            <v>50246</v>
          </cell>
          <cell r="W11">
            <v>189119</v>
          </cell>
          <cell r="X11">
            <v>51563</v>
          </cell>
          <cell r="Y11">
            <v>52450</v>
          </cell>
          <cell r="Z11">
            <v>53247</v>
          </cell>
          <cell r="AA11">
            <v>47117</v>
          </cell>
          <cell r="AB11">
            <v>204377</v>
          </cell>
          <cell r="AC11">
            <v>51271</v>
          </cell>
          <cell r="AD11">
            <v>52387</v>
          </cell>
          <cell r="AE11">
            <v>51498</v>
          </cell>
          <cell r="AF11">
            <v>51843</v>
          </cell>
          <cell r="AG11">
            <v>206999</v>
          </cell>
          <cell r="AH11">
            <v>52143</v>
          </cell>
          <cell r="AI11">
            <v>52971</v>
          </cell>
          <cell r="AJ11">
            <v>55873</v>
          </cell>
          <cell r="AK11">
            <v>69192</v>
          </cell>
          <cell r="AL11">
            <v>230179</v>
          </cell>
          <cell r="AM11">
            <v>72831.958835823505</v>
          </cell>
          <cell r="AN11">
            <v>76814.601460257589</v>
          </cell>
          <cell r="AO11">
            <v>80175.926249376294</v>
          </cell>
          <cell r="AP11">
            <v>82025.240166531046</v>
          </cell>
          <cell r="AQ11">
            <v>311847.72671198845</v>
          </cell>
          <cell r="AR11">
            <v>82928.477996938484</v>
          </cell>
          <cell r="AS11">
            <v>84694.535992771576</v>
          </cell>
          <cell r="AT11">
            <v>86462.264532166868</v>
          </cell>
          <cell r="AU11">
            <v>88231.672302070059</v>
          </cell>
          <cell r="AV11">
            <v>342316.95082394703</v>
          </cell>
          <cell r="AW11">
            <v>89636.748458229922</v>
          </cell>
          <cell r="AX11">
            <v>91634.884565782937</v>
          </cell>
          <cell r="AY11">
            <v>93638.95044469033</v>
          </cell>
          <cell r="AZ11">
            <v>95648.959179107187</v>
          </cell>
          <cell r="BA11">
            <v>370559.54264781042</v>
          </cell>
          <cell r="BM11" t="str">
            <v>mstag:depreciation</v>
          </cell>
          <cell r="BN11">
            <v>3</v>
          </cell>
          <cell r="BO11" t="str">
            <v>ISO4217:USD</v>
          </cell>
          <cell r="BP11" t="b">
            <v>0</v>
          </cell>
          <cell r="BQ11" t="b">
            <v>0</v>
          </cell>
        </row>
        <row r="12">
          <cell r="B12" t="str">
            <v>Amortization of deferred leasing and other costs</v>
          </cell>
          <cell r="I12">
            <v>5633</v>
          </cell>
          <cell r="J12">
            <v>4595</v>
          </cell>
          <cell r="K12">
            <v>6089</v>
          </cell>
          <cell r="L12">
            <v>4739</v>
          </cell>
          <cell r="M12">
            <v>21056</v>
          </cell>
          <cell r="N12">
            <v>5901</v>
          </cell>
          <cell r="O12">
            <v>5473</v>
          </cell>
          <cell r="P12">
            <v>5974</v>
          </cell>
          <cell r="Q12">
            <v>9927</v>
          </cell>
          <cell r="R12">
            <v>27275</v>
          </cell>
          <cell r="S12">
            <v>9385</v>
          </cell>
          <cell r="T12">
            <v>8629</v>
          </cell>
          <cell r="U12">
            <v>10272</v>
          </cell>
          <cell r="V12">
            <v>11177</v>
          </cell>
          <cell r="W12">
            <v>39463</v>
          </cell>
          <cell r="X12">
            <v>11663</v>
          </cell>
          <cell r="Y12">
            <v>11674</v>
          </cell>
          <cell r="Z12">
            <v>14376</v>
          </cell>
          <cell r="AA12">
            <v>12080</v>
          </cell>
          <cell r="AB12">
            <v>49793</v>
          </cell>
          <cell r="AC12">
            <v>9311</v>
          </cell>
          <cell r="AD12">
            <v>12780</v>
          </cell>
          <cell r="AE12">
            <v>12865</v>
          </cell>
          <cell r="AF12">
            <v>12313</v>
          </cell>
          <cell r="AG12">
            <v>47269</v>
          </cell>
          <cell r="AH12">
            <v>15596</v>
          </cell>
          <cell r="AI12">
            <v>15436</v>
          </cell>
          <cell r="AJ12">
            <v>16203</v>
          </cell>
          <cell r="AK12">
            <v>0</v>
          </cell>
          <cell r="AL12">
            <v>47235</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M12" t="str">
            <v>mstag:otherCashFlow</v>
          </cell>
          <cell r="BN12">
            <v>3</v>
          </cell>
          <cell r="BO12" t="str">
            <v>ISO4217:USD</v>
          </cell>
          <cell r="BP12" t="b">
            <v>0</v>
          </cell>
          <cell r="BQ12" t="b">
            <v>0</v>
          </cell>
        </row>
        <row r="13">
          <cell r="B13" t="str">
            <v>Amortization of deferred financing costs</v>
          </cell>
          <cell r="I13">
            <v>965</v>
          </cell>
          <cell r="J13">
            <v>958</v>
          </cell>
          <cell r="K13">
            <v>892</v>
          </cell>
          <cell r="L13">
            <v>910</v>
          </cell>
          <cell r="M13">
            <v>3725</v>
          </cell>
          <cell r="N13">
            <v>999</v>
          </cell>
          <cell r="O13">
            <v>961</v>
          </cell>
          <cell r="P13">
            <v>796</v>
          </cell>
          <cell r="Q13">
            <v>870</v>
          </cell>
          <cell r="R13">
            <v>3626</v>
          </cell>
          <cell r="S13">
            <v>1067</v>
          </cell>
          <cell r="T13">
            <v>1001</v>
          </cell>
          <cell r="U13">
            <v>1298</v>
          </cell>
          <cell r="V13">
            <v>1538</v>
          </cell>
          <cell r="W13">
            <v>4904</v>
          </cell>
          <cell r="X13">
            <v>1544</v>
          </cell>
          <cell r="Y13">
            <v>1543</v>
          </cell>
          <cell r="Z13">
            <v>1600</v>
          </cell>
          <cell r="AA13">
            <v>1467</v>
          </cell>
          <cell r="AB13">
            <v>6154</v>
          </cell>
          <cell r="AC13">
            <v>1707</v>
          </cell>
          <cell r="AD13">
            <v>2111</v>
          </cell>
          <cell r="AE13">
            <v>2275</v>
          </cell>
          <cell r="AF13">
            <v>2524</v>
          </cell>
          <cell r="AG13">
            <v>8617</v>
          </cell>
          <cell r="AH13">
            <v>2865</v>
          </cell>
          <cell r="AI13">
            <v>2575</v>
          </cell>
          <cell r="AJ13">
            <v>3078</v>
          </cell>
          <cell r="AK13">
            <v>0</v>
          </cell>
          <cell r="AL13">
            <v>8518</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M13" t="str">
            <v>mstag:otherCashFlow</v>
          </cell>
          <cell r="BN13">
            <v>3</v>
          </cell>
          <cell r="BO13" t="str">
            <v>ISO4217:USD</v>
          </cell>
          <cell r="BP13" t="b">
            <v>0</v>
          </cell>
          <cell r="BQ13" t="b">
            <v>0</v>
          </cell>
        </row>
        <row r="14">
          <cell r="B14" t="str">
            <v>Minority interest in earnings</v>
          </cell>
          <cell r="I14">
            <v>8234</v>
          </cell>
          <cell r="J14">
            <v>7837</v>
          </cell>
          <cell r="K14">
            <v>6505</v>
          </cell>
          <cell r="L14">
            <v>4643</v>
          </cell>
          <cell r="M14">
            <v>27219</v>
          </cell>
          <cell r="N14">
            <v>5550</v>
          </cell>
          <cell r="O14">
            <v>5611</v>
          </cell>
          <cell r="P14">
            <v>6059</v>
          </cell>
          <cell r="Q14">
            <v>2816</v>
          </cell>
          <cell r="R14">
            <v>20036</v>
          </cell>
          <cell r="S14">
            <v>3644</v>
          </cell>
          <cell r="T14">
            <v>4628</v>
          </cell>
          <cell r="U14">
            <v>4625</v>
          </cell>
          <cell r="V14">
            <v>4287</v>
          </cell>
          <cell r="W14">
            <v>17184</v>
          </cell>
          <cell r="X14">
            <v>2715</v>
          </cell>
          <cell r="Y14">
            <v>3999</v>
          </cell>
          <cell r="Z14">
            <v>21725</v>
          </cell>
          <cell r="AA14">
            <v>3054</v>
          </cell>
          <cell r="AB14">
            <v>31493</v>
          </cell>
          <cell r="AC14">
            <v>1361</v>
          </cell>
          <cell r="AD14">
            <v>2425</v>
          </cell>
          <cell r="AE14">
            <v>6367</v>
          </cell>
          <cell r="AF14">
            <v>4800</v>
          </cell>
          <cell r="AG14">
            <v>14953</v>
          </cell>
          <cell r="AH14">
            <v>4924</v>
          </cell>
          <cell r="AI14">
            <v>2686</v>
          </cell>
          <cell r="AJ14">
            <v>3713</v>
          </cell>
          <cell r="AK14">
            <v>-728</v>
          </cell>
          <cell r="AL14">
            <v>10595</v>
          </cell>
          <cell r="AM14">
            <v>-699.58158197308512</v>
          </cell>
          <cell r="AN14">
            <v>-740.2096301853303</v>
          </cell>
          <cell r="AO14">
            <v>-750.76389184981826</v>
          </cell>
          <cell r="AP14">
            <v>-980.77461008877162</v>
          </cell>
          <cell r="AQ14">
            <v>-3171.3297140970053</v>
          </cell>
          <cell r="AR14">
            <v>-975.14944041046692</v>
          </cell>
          <cell r="AS14">
            <v>-979.36788588317813</v>
          </cell>
          <cell r="AT14">
            <v>-983.60829875238869</v>
          </cell>
          <cell r="AU14">
            <v>-987.87076207096561</v>
          </cell>
          <cell r="AV14">
            <v>-3925.9963871169994</v>
          </cell>
          <cell r="AW14">
            <v>-1001.9666223795457</v>
          </cell>
          <cell r="AX14">
            <v>-1017.0784144588688</v>
          </cell>
          <cell r="AY14">
            <v>-1032.2235119481597</v>
          </cell>
          <cell r="AZ14">
            <v>-1047.4020273876881</v>
          </cell>
          <cell r="BA14">
            <v>-4098.6705761742624</v>
          </cell>
          <cell r="BM14" t="str">
            <v>mstag:netIncreaseInMinorityInterestsInShareholdersEquity</v>
          </cell>
          <cell r="BN14">
            <v>3</v>
          </cell>
          <cell r="BO14" t="str">
            <v>ISO4217:USD</v>
          </cell>
          <cell r="BP14" t="b">
            <v>0</v>
          </cell>
          <cell r="BQ14" t="b">
            <v>0</v>
          </cell>
        </row>
        <row r="15">
          <cell r="B15" t="str">
            <v>Straight-line rent adjustment</v>
          </cell>
          <cell r="I15">
            <v>-1386</v>
          </cell>
          <cell r="J15">
            <v>-2713</v>
          </cell>
          <cell r="K15">
            <v>-3986</v>
          </cell>
          <cell r="L15">
            <v>-4415</v>
          </cell>
          <cell r="M15">
            <v>-12500</v>
          </cell>
          <cell r="N15">
            <v>-4574</v>
          </cell>
          <cell r="O15">
            <v>-6879</v>
          </cell>
          <cell r="P15">
            <v>-5518</v>
          </cell>
          <cell r="Q15">
            <v>-5416</v>
          </cell>
          <cell r="R15">
            <v>-22387</v>
          </cell>
          <cell r="S15">
            <v>-5892</v>
          </cell>
          <cell r="T15">
            <v>-4964</v>
          </cell>
          <cell r="U15">
            <v>-4478</v>
          </cell>
          <cell r="V15">
            <v>-7102</v>
          </cell>
          <cell r="W15">
            <v>-22436</v>
          </cell>
          <cell r="X15">
            <v>-6170</v>
          </cell>
          <cell r="Y15">
            <v>-5051</v>
          </cell>
          <cell r="Z15">
            <v>-5666</v>
          </cell>
          <cell r="AA15">
            <v>-5632</v>
          </cell>
          <cell r="AB15">
            <v>-22519</v>
          </cell>
          <cell r="AC15">
            <v>-5417</v>
          </cell>
          <cell r="AD15">
            <v>-4790</v>
          </cell>
          <cell r="AE15">
            <v>-5056</v>
          </cell>
          <cell r="AF15">
            <v>-5532</v>
          </cell>
          <cell r="AG15">
            <v>-20795</v>
          </cell>
          <cell r="AH15">
            <v>-5773</v>
          </cell>
          <cell r="AI15">
            <v>-3819</v>
          </cell>
          <cell r="AJ15">
            <v>-4051</v>
          </cell>
          <cell r="AK15">
            <v>-3866</v>
          </cell>
          <cell r="AL15">
            <v>-17509</v>
          </cell>
          <cell r="AM15">
            <v>-3715.0857086647625</v>
          </cell>
          <cell r="AN15">
            <v>-3930.8385031545158</v>
          </cell>
          <cell r="AO15">
            <v>-3986.8862718288437</v>
          </cell>
          <cell r="AP15">
            <v>-4104.8368799664295</v>
          </cell>
          <cell r="AQ15">
            <v>-15737.647363614551</v>
          </cell>
          <cell r="AR15">
            <v>-4081.2938521249093</v>
          </cell>
          <cell r="AS15">
            <v>-4098.9493158516325</v>
          </cell>
          <cell r="AT15">
            <v>-4116.6967197431804</v>
          </cell>
          <cell r="AU15">
            <v>-4134.5364114007934</v>
          </cell>
          <cell r="AV15">
            <v>-16431.476299120513</v>
          </cell>
          <cell r="AW15">
            <v>-4193.531828547937</v>
          </cell>
          <cell r="AX15">
            <v>-4256.779225871951</v>
          </cell>
          <cell r="AY15">
            <v>-4320.1660163590141</v>
          </cell>
          <cell r="AZ15">
            <v>-4383.6926710240205</v>
          </cell>
          <cell r="BA15">
            <v>-17154.169741802922</v>
          </cell>
          <cell r="BM15" t="str">
            <v>mstag:netDecreaseInOtherAssets</v>
          </cell>
          <cell r="BN15">
            <v>3</v>
          </cell>
          <cell r="BO15" t="str">
            <v>ISO4217:USD</v>
          </cell>
          <cell r="BP15" t="b">
            <v>0</v>
          </cell>
          <cell r="BQ15" t="b">
            <v>0</v>
          </cell>
        </row>
        <row r="16">
          <cell r="B16" t="str">
            <v>Earnings from land and depreciated property sales</v>
          </cell>
          <cell r="I16">
            <v>-1111</v>
          </cell>
          <cell r="J16">
            <v>-4434</v>
          </cell>
          <cell r="K16">
            <v>-4795</v>
          </cell>
          <cell r="L16">
            <v>9292</v>
          </cell>
          <cell r="M16">
            <v>-1048</v>
          </cell>
          <cell r="N16">
            <v>-11756</v>
          </cell>
          <cell r="O16">
            <v>-1872</v>
          </cell>
          <cell r="P16">
            <v>-4732</v>
          </cell>
          <cell r="Q16">
            <v>-10416</v>
          </cell>
          <cell r="R16">
            <v>-28776</v>
          </cell>
          <cell r="S16">
            <v>-8638</v>
          </cell>
          <cell r="T16">
            <v>-1799</v>
          </cell>
          <cell r="U16">
            <v>-18260</v>
          </cell>
          <cell r="V16">
            <v>-7752</v>
          </cell>
          <cell r="W16">
            <v>-36449</v>
          </cell>
          <cell r="X16">
            <v>-3843</v>
          </cell>
          <cell r="Y16">
            <v>-8399</v>
          </cell>
          <cell r="Z16">
            <v>-213129</v>
          </cell>
          <cell r="AA16">
            <v>-12689</v>
          </cell>
          <cell r="AB16">
            <v>-238060</v>
          </cell>
          <cell r="AC16">
            <v>-2395</v>
          </cell>
          <cell r="AD16">
            <v>-2054</v>
          </cell>
          <cell r="AE16">
            <v>-42285</v>
          </cell>
          <cell r="AF16">
            <v>-2880</v>
          </cell>
          <cell r="AG16">
            <v>-49614</v>
          </cell>
          <cell r="AH16">
            <v>-65717</v>
          </cell>
          <cell r="AI16">
            <v>-22772</v>
          </cell>
          <cell r="AJ16">
            <v>-41469</v>
          </cell>
          <cell r="AK16">
            <v>-13736</v>
          </cell>
          <cell r="AL16">
            <v>-143694</v>
          </cell>
          <cell r="AM16">
            <v>-15570</v>
          </cell>
          <cell r="AN16">
            <v>-15570</v>
          </cell>
          <cell r="AO16">
            <v>-15570</v>
          </cell>
          <cell r="AP16">
            <v>-15570</v>
          </cell>
          <cell r="AQ16">
            <v>-62280</v>
          </cell>
          <cell r="AR16">
            <v>-18070</v>
          </cell>
          <cell r="AS16">
            <v>-18070</v>
          </cell>
          <cell r="AT16">
            <v>-18070</v>
          </cell>
          <cell r="AU16">
            <v>-18070</v>
          </cell>
          <cell r="AV16">
            <v>-72280</v>
          </cell>
          <cell r="AW16">
            <v>-18070</v>
          </cell>
          <cell r="AX16">
            <v>-18070</v>
          </cell>
          <cell r="AY16">
            <v>-18070</v>
          </cell>
          <cell r="AZ16">
            <v>-18070</v>
          </cell>
          <cell r="BA16">
            <v>-72280</v>
          </cell>
          <cell r="BM16" t="str">
            <v>mstag:gainsLossesFromSaleOfOperatingAssetsOneTime</v>
          </cell>
          <cell r="BN16">
            <v>3</v>
          </cell>
          <cell r="BO16" t="str">
            <v>ISO4217:USD</v>
          </cell>
          <cell r="BP16" t="b">
            <v>1</v>
          </cell>
          <cell r="BQ16" t="b">
            <v>0</v>
          </cell>
        </row>
        <row r="17">
          <cell r="B17" t="str">
            <v>Build-to-suit operations, net</v>
          </cell>
          <cell r="I17">
            <v>101178</v>
          </cell>
          <cell r="J17">
            <v>62461</v>
          </cell>
          <cell r="K17">
            <v>12019</v>
          </cell>
          <cell r="L17">
            <v>-7459</v>
          </cell>
          <cell r="M17">
            <v>168199</v>
          </cell>
          <cell r="N17">
            <v>-15257</v>
          </cell>
          <cell r="O17">
            <v>-4770</v>
          </cell>
          <cell r="P17">
            <v>-17169</v>
          </cell>
          <cell r="Q17">
            <v>16297</v>
          </cell>
          <cell r="R17">
            <v>-20899</v>
          </cell>
          <cell r="S17">
            <v>-2672</v>
          </cell>
          <cell r="T17">
            <v>-764</v>
          </cell>
          <cell r="U17">
            <v>-277</v>
          </cell>
          <cell r="V17">
            <v>3672</v>
          </cell>
          <cell r="W17">
            <v>-41</v>
          </cell>
          <cell r="X17">
            <v>5562</v>
          </cell>
          <cell r="Y17">
            <v>8908</v>
          </cell>
          <cell r="Z17">
            <v>-1687</v>
          </cell>
          <cell r="AA17">
            <v>-19078</v>
          </cell>
          <cell r="AB17">
            <v>-6295</v>
          </cell>
          <cell r="AC17">
            <v>-36042</v>
          </cell>
          <cell r="AD17">
            <v>-57631</v>
          </cell>
          <cell r="AE17">
            <v>-69433</v>
          </cell>
          <cell r="AF17">
            <v>22414</v>
          </cell>
          <cell r="AG17">
            <v>-140692</v>
          </cell>
          <cell r="AH17">
            <v>-49989</v>
          </cell>
          <cell r="AI17">
            <v>-73278</v>
          </cell>
          <cell r="AJ17">
            <v>-44373</v>
          </cell>
          <cell r="AK17">
            <v>-163564.66699999999</v>
          </cell>
          <cell r="AL17">
            <v>-331204.66700000002</v>
          </cell>
          <cell r="AM17">
            <v>19330.411000000007</v>
          </cell>
          <cell r="AN17">
            <v>-31500.107999999986</v>
          </cell>
          <cell r="AO17">
            <v>-24165.892999999989</v>
          </cell>
          <cell r="AP17">
            <v>-24165.892999999989</v>
          </cell>
          <cell r="AQ17">
            <v>-60501.482999999957</v>
          </cell>
          <cell r="AR17">
            <v>-17775.143000000011</v>
          </cell>
          <cell r="AS17">
            <v>-18753.892999999982</v>
          </cell>
          <cell r="AT17">
            <v>-18753.892999999982</v>
          </cell>
          <cell r="AU17">
            <v>-18753.892999999982</v>
          </cell>
          <cell r="AV17">
            <v>-74036.821999999956</v>
          </cell>
          <cell r="AW17">
            <v>-18405.143000000007</v>
          </cell>
          <cell r="AX17">
            <v>-21273.892999999982</v>
          </cell>
          <cell r="AY17">
            <v>-21273.892999999982</v>
          </cell>
          <cell r="AZ17">
            <v>-21273.892999999982</v>
          </cell>
          <cell r="BA17">
            <v>-82226.821999999956</v>
          </cell>
          <cell r="BM17" t="str">
            <v>mstag:gainsLossesFromSaleOfOperatingAssetsOneTime</v>
          </cell>
          <cell r="BN17">
            <v>3</v>
          </cell>
          <cell r="BO17" t="str">
            <v>ISO4217:USD</v>
          </cell>
          <cell r="BP17" t="b">
            <v>1</v>
          </cell>
          <cell r="BQ17" t="b">
            <v>0</v>
          </cell>
        </row>
        <row r="18">
          <cell r="B18" t="str">
            <v>Construction contracts, net</v>
          </cell>
          <cell r="I18">
            <v>-10598</v>
          </cell>
          <cell r="J18">
            <v>-2939</v>
          </cell>
          <cell r="K18">
            <v>-3047</v>
          </cell>
          <cell r="L18">
            <v>4928</v>
          </cell>
          <cell r="M18">
            <v>-11656</v>
          </cell>
          <cell r="N18">
            <v>-8491</v>
          </cell>
          <cell r="O18">
            <v>9015</v>
          </cell>
          <cell r="P18">
            <v>-7448</v>
          </cell>
          <cell r="Q18">
            <v>3714</v>
          </cell>
          <cell r="R18">
            <v>-3210</v>
          </cell>
          <cell r="S18">
            <v>-2689</v>
          </cell>
          <cell r="T18">
            <v>-5053</v>
          </cell>
          <cell r="U18">
            <v>6798</v>
          </cell>
          <cell r="V18">
            <v>-10103</v>
          </cell>
          <cell r="W18">
            <v>-11047</v>
          </cell>
          <cell r="X18">
            <v>-9935</v>
          </cell>
          <cell r="Y18">
            <v>-3761</v>
          </cell>
          <cell r="Z18">
            <v>18238</v>
          </cell>
          <cell r="AA18">
            <v>11654</v>
          </cell>
          <cell r="AB18">
            <v>16196</v>
          </cell>
          <cell r="AC18">
            <v>-3521</v>
          </cell>
          <cell r="AD18">
            <v>-357</v>
          </cell>
          <cell r="AE18">
            <v>3670</v>
          </cell>
          <cell r="AF18">
            <v>1957</v>
          </cell>
          <cell r="AG18">
            <v>1749</v>
          </cell>
          <cell r="AH18">
            <v>6764</v>
          </cell>
          <cell r="AI18">
            <v>1923</v>
          </cell>
          <cell r="AJ18">
            <v>-7967</v>
          </cell>
          <cell r="AK18">
            <v>0</v>
          </cell>
          <cell r="AL18">
            <v>720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M18" t="str">
            <v>mstag:otherCashFlow</v>
          </cell>
          <cell r="BN18">
            <v>3</v>
          </cell>
          <cell r="BO18" t="str">
            <v>ISO4217:USD</v>
          </cell>
          <cell r="BP18" t="b">
            <v>0</v>
          </cell>
          <cell r="BQ18" t="b">
            <v>0</v>
          </cell>
        </row>
        <row r="19">
          <cell r="B19" t="str">
            <v>Other accrued revenues and expenses, net</v>
          </cell>
          <cell r="I19">
            <v>5627</v>
          </cell>
          <cell r="J19">
            <v>975</v>
          </cell>
          <cell r="K19">
            <v>2300</v>
          </cell>
          <cell r="L19">
            <v>234</v>
          </cell>
          <cell r="M19">
            <v>9136</v>
          </cell>
          <cell r="N19">
            <v>-7898</v>
          </cell>
          <cell r="O19">
            <v>10569</v>
          </cell>
          <cell r="P19">
            <v>2945</v>
          </cell>
          <cell r="Q19">
            <v>10373</v>
          </cell>
          <cell r="R19">
            <v>15989</v>
          </cell>
          <cell r="S19">
            <v>-15801</v>
          </cell>
          <cell r="T19">
            <v>2780</v>
          </cell>
          <cell r="U19">
            <v>4372</v>
          </cell>
          <cell r="V19">
            <v>7579</v>
          </cell>
          <cell r="W19">
            <v>-1070</v>
          </cell>
          <cell r="X19">
            <v>-24482</v>
          </cell>
          <cell r="Y19">
            <v>20467</v>
          </cell>
          <cell r="Z19">
            <v>11658</v>
          </cell>
          <cell r="AA19">
            <v>2870</v>
          </cell>
          <cell r="AB19">
            <v>10513</v>
          </cell>
          <cell r="AC19">
            <v>-10945</v>
          </cell>
          <cell r="AD19">
            <v>23877</v>
          </cell>
          <cell r="AE19">
            <v>-23049</v>
          </cell>
          <cell r="AF19">
            <v>31546</v>
          </cell>
          <cell r="AG19">
            <v>21429</v>
          </cell>
          <cell r="AH19">
            <v>-33925</v>
          </cell>
          <cell r="AI19">
            <v>40623</v>
          </cell>
          <cell r="AJ19">
            <v>2203</v>
          </cell>
          <cell r="AK19">
            <v>5692</v>
          </cell>
          <cell r="AL19">
            <v>14593</v>
          </cell>
          <cell r="AM19">
            <v>1389.2020811097996</v>
          </cell>
          <cell r="AN19">
            <v>1456.1441762415195</v>
          </cell>
          <cell r="AO19">
            <v>1463.0977140951697</v>
          </cell>
          <cell r="AP19">
            <v>1492.2907118637552</v>
          </cell>
          <cell r="AQ19">
            <v>5800.7346833102438</v>
          </cell>
          <cell r="AR19">
            <v>1469.8438676198637</v>
          </cell>
          <cell r="AS19">
            <v>1462.3774274034811</v>
          </cell>
          <cell r="AT19">
            <v>1454.9470416230934</v>
          </cell>
          <cell r="AU19">
            <v>1447.5525462595128</v>
          </cell>
          <cell r="AV19">
            <v>5834.7208829059509</v>
          </cell>
          <cell r="AW19">
            <v>1454.4356202065999</v>
          </cell>
          <cell r="AX19">
            <v>1462.5158580938512</v>
          </cell>
          <cell r="AY19">
            <v>1470.3565765444628</v>
          </cell>
          <cell r="AZ19">
            <v>1477.9610907141994</v>
          </cell>
          <cell r="BA19">
            <v>5865.2691455591139</v>
          </cell>
          <cell r="BM19" t="str">
            <v>mstag:netIncreaseInDeferredRevenue</v>
          </cell>
          <cell r="BN19">
            <v>3</v>
          </cell>
          <cell r="BO19" t="str">
            <v>ISO4217:USD</v>
          </cell>
          <cell r="BP19" t="b">
            <v>0</v>
          </cell>
          <cell r="BQ19" t="b">
            <v>0</v>
          </cell>
        </row>
        <row r="20">
          <cell r="B20" t="str">
            <v>Op. dist received in excess of equity in unconsol.</v>
          </cell>
          <cell r="I20">
            <v>5288</v>
          </cell>
          <cell r="J20">
            <v>20</v>
          </cell>
          <cell r="K20">
            <v>-2264</v>
          </cell>
          <cell r="L20">
            <v>1531</v>
          </cell>
          <cell r="M20">
            <v>4575</v>
          </cell>
          <cell r="N20">
            <v>6408</v>
          </cell>
          <cell r="O20">
            <v>614</v>
          </cell>
          <cell r="P20">
            <v>-48</v>
          </cell>
          <cell r="Q20">
            <v>1809</v>
          </cell>
          <cell r="R20">
            <v>8783</v>
          </cell>
          <cell r="S20">
            <v>3399</v>
          </cell>
          <cell r="T20">
            <v>3371</v>
          </cell>
          <cell r="U20">
            <v>3177</v>
          </cell>
          <cell r="V20">
            <v>500</v>
          </cell>
          <cell r="W20">
            <v>10447</v>
          </cell>
          <cell r="X20">
            <v>-867</v>
          </cell>
          <cell r="Y20">
            <v>-4282</v>
          </cell>
          <cell r="Z20">
            <v>4255</v>
          </cell>
          <cell r="AA20">
            <v>-2161</v>
          </cell>
          <cell r="AB20">
            <v>-3055</v>
          </cell>
          <cell r="AC20">
            <v>-3323</v>
          </cell>
          <cell r="AD20">
            <v>-8197</v>
          </cell>
          <cell r="AE20">
            <v>6530</v>
          </cell>
          <cell r="AF20">
            <v>-13349</v>
          </cell>
          <cell r="AG20">
            <v>-18339</v>
          </cell>
          <cell r="AH20">
            <v>137</v>
          </cell>
          <cell r="AI20">
            <v>2022</v>
          </cell>
          <cell r="AJ20">
            <v>2007</v>
          </cell>
          <cell r="AK20">
            <v>5796</v>
          </cell>
          <cell r="AL20">
            <v>9962</v>
          </cell>
          <cell r="AM20">
            <v>5824.98</v>
          </cell>
          <cell r="AN20">
            <v>5854.1048999999994</v>
          </cell>
          <cell r="AO20">
            <v>5883.3754244999982</v>
          </cell>
          <cell r="AP20">
            <v>5912.7923016224968</v>
          </cell>
          <cell r="AQ20">
            <v>23475.252626122492</v>
          </cell>
          <cell r="AR20">
            <v>5971.9202246387222</v>
          </cell>
          <cell r="AS20">
            <v>6031.6394268851091</v>
          </cell>
          <cell r="AT20">
            <v>6091.9558211539606</v>
          </cell>
          <cell r="AU20">
            <v>6152.8753793654996</v>
          </cell>
          <cell r="AV20">
            <v>24248.390852043289</v>
          </cell>
          <cell r="AW20">
            <v>6214.4041331591552</v>
          </cell>
          <cell r="AX20">
            <v>6276.5481744907465</v>
          </cell>
          <cell r="AY20">
            <v>6339.313656235654</v>
          </cell>
          <cell r="AZ20">
            <v>6402.7067927980106</v>
          </cell>
          <cell r="BA20">
            <v>25232.972756683565</v>
          </cell>
          <cell r="BM20" t="str">
            <v>mstag:dividendsFromInvestmentsAccountedForUnderTheEquityMethodOperating</v>
          </cell>
          <cell r="BN20">
            <v>3</v>
          </cell>
          <cell r="BO20" t="str">
            <v>ISO4217:USD</v>
          </cell>
          <cell r="BP20" t="b">
            <v>0</v>
          </cell>
          <cell r="BQ20" t="b">
            <v>0</v>
          </cell>
        </row>
        <row r="22">
          <cell r="B22" t="str">
            <v>Net cash provided by operating activities</v>
          </cell>
          <cell r="I22">
            <v>208402</v>
          </cell>
          <cell r="J22">
            <v>165793</v>
          </cell>
          <cell r="K22">
            <v>103623</v>
          </cell>
          <cell r="L22">
            <v>91778</v>
          </cell>
          <cell r="M22">
            <v>569596</v>
          </cell>
          <cell r="N22">
            <v>58882</v>
          </cell>
          <cell r="O22">
            <v>103156</v>
          </cell>
          <cell r="P22">
            <v>72735</v>
          </cell>
          <cell r="Q22">
            <v>133855</v>
          </cell>
          <cell r="R22">
            <v>368628</v>
          </cell>
          <cell r="S22">
            <v>68915</v>
          </cell>
          <cell r="T22">
            <v>95599</v>
          </cell>
          <cell r="U22">
            <v>109613</v>
          </cell>
          <cell r="V22">
            <v>104648</v>
          </cell>
          <cell r="W22">
            <v>378775</v>
          </cell>
          <cell r="X22">
            <v>64851</v>
          </cell>
          <cell r="Y22">
            <v>129467</v>
          </cell>
          <cell r="Z22">
            <v>129584</v>
          </cell>
          <cell r="AA22">
            <v>80357</v>
          </cell>
          <cell r="AB22">
            <v>404259</v>
          </cell>
          <cell r="AC22">
            <v>28800</v>
          </cell>
          <cell r="AD22">
            <v>55523</v>
          </cell>
          <cell r="AE22">
            <v>20342</v>
          </cell>
          <cell r="AF22">
            <v>171058</v>
          </cell>
          <cell r="AG22">
            <v>275723</v>
          </cell>
          <cell r="AH22">
            <v>10814</v>
          </cell>
          <cell r="AI22">
            <v>70669</v>
          </cell>
          <cell r="AJ22">
            <v>53831</v>
          </cell>
          <cell r="AK22">
            <v>-26452.666999999987</v>
          </cell>
          <cell r="AL22">
            <v>108861.33299999998</v>
          </cell>
          <cell r="AM22">
            <v>129158.59537736684</v>
          </cell>
          <cell r="AN22">
            <v>83830.998156139147</v>
          </cell>
          <cell r="AO22">
            <v>90562.009525231231</v>
          </cell>
          <cell r="AP22">
            <v>91807.424294628188</v>
          </cell>
          <cell r="AQ22">
            <v>395359.02735336544</v>
          </cell>
          <cell r="AR22">
            <v>103791.12084882963</v>
          </cell>
          <cell r="AS22">
            <v>102329.10659895152</v>
          </cell>
          <cell r="AT22">
            <v>102087.17449224302</v>
          </cell>
          <cell r="AU22">
            <v>101613.46665146168</v>
          </cell>
          <cell r="AV22">
            <v>409820.86859148607</v>
          </cell>
          <cell r="AW22">
            <v>104934.58710053351</v>
          </cell>
          <cell r="AX22">
            <v>102590.01846907895</v>
          </cell>
          <cell r="AY22">
            <v>103542.89609872662</v>
          </cell>
          <cell r="AZ22">
            <v>104297.62646866479</v>
          </cell>
          <cell r="BA22">
            <v>415365.12813700386</v>
          </cell>
        </row>
        <row r="24">
          <cell r="B24" t="str">
            <v>Development of real estate investments</v>
          </cell>
          <cell r="I24">
            <v>-36733</v>
          </cell>
          <cell r="J24">
            <v>-27181</v>
          </cell>
          <cell r="K24">
            <v>-47594</v>
          </cell>
          <cell r="L24">
            <v>-46623</v>
          </cell>
          <cell r="M24">
            <v>-158131</v>
          </cell>
          <cell r="N24">
            <v>-28995</v>
          </cell>
          <cell r="O24">
            <v>-39719</v>
          </cell>
          <cell r="P24">
            <v>-32096</v>
          </cell>
          <cell r="Q24">
            <v>-28389</v>
          </cell>
          <cell r="R24">
            <v>-129199</v>
          </cell>
          <cell r="S24">
            <v>-22114</v>
          </cell>
          <cell r="T24">
            <v>-41430</v>
          </cell>
          <cell r="U24">
            <v>-34273</v>
          </cell>
          <cell r="V24">
            <v>-47812</v>
          </cell>
          <cell r="W24">
            <v>-145629</v>
          </cell>
          <cell r="X24">
            <v>-29693</v>
          </cell>
          <cell r="Y24">
            <v>-38537</v>
          </cell>
          <cell r="Z24">
            <v>-62595</v>
          </cell>
          <cell r="AA24">
            <v>-79165</v>
          </cell>
          <cell r="AB24">
            <v>-209990</v>
          </cell>
          <cell r="AC24">
            <v>-84479</v>
          </cell>
          <cell r="AD24">
            <v>-83267</v>
          </cell>
          <cell r="AE24">
            <v>-106926</v>
          </cell>
          <cell r="AF24">
            <v>-110844</v>
          </cell>
          <cell r="AG24">
            <v>-385516</v>
          </cell>
          <cell r="AH24">
            <v>-96588</v>
          </cell>
          <cell r="AI24">
            <v>-90352</v>
          </cell>
          <cell r="AJ24">
            <v>-137377</v>
          </cell>
          <cell r="AK24">
            <v>-215813.95449999999</v>
          </cell>
          <cell r="AL24">
            <v>-540130.95449999999</v>
          </cell>
          <cell r="AM24">
            <v>-149335.66250000001</v>
          </cell>
          <cell r="AN24">
            <v>-231851.14</v>
          </cell>
          <cell r="AO24">
            <v>-198615.46599999999</v>
          </cell>
          <cell r="AP24">
            <v>-100000</v>
          </cell>
          <cell r="AQ24">
            <v>-679802.26850000001</v>
          </cell>
          <cell r="AR24">
            <v>-100000</v>
          </cell>
          <cell r="AS24">
            <v>-100000</v>
          </cell>
          <cell r="AT24">
            <v>-100000</v>
          </cell>
          <cell r="AU24">
            <v>-100000</v>
          </cell>
          <cell r="AV24">
            <v>-400000</v>
          </cell>
          <cell r="AW24">
            <v>-125000</v>
          </cell>
          <cell r="AX24">
            <v>-125000</v>
          </cell>
          <cell r="AY24">
            <v>-125000</v>
          </cell>
          <cell r="AZ24">
            <v>-125000</v>
          </cell>
          <cell r="BA24">
            <v>-500000</v>
          </cell>
          <cell r="BM24" t="str">
            <v>mstag:capitalExpendituresDevelopment</v>
          </cell>
          <cell r="BN24">
            <v>3</v>
          </cell>
          <cell r="BO24" t="str">
            <v>ISO4217:USD</v>
          </cell>
          <cell r="BP24" t="b">
            <v>1</v>
          </cell>
          <cell r="BQ24" t="b">
            <v>0</v>
          </cell>
        </row>
        <row r="25">
          <cell r="B25" t="str">
            <v>Acquisition of real estate investments</v>
          </cell>
          <cell r="I25">
            <v>-8375</v>
          </cell>
          <cell r="J25">
            <v>-24566</v>
          </cell>
          <cell r="K25">
            <v>-3234</v>
          </cell>
          <cell r="L25">
            <v>-61887</v>
          </cell>
          <cell r="M25">
            <v>-98062</v>
          </cell>
          <cell r="N25">
            <v>-34602</v>
          </cell>
          <cell r="O25">
            <v>1457</v>
          </cell>
          <cell r="P25">
            <v>-74929</v>
          </cell>
          <cell r="Q25">
            <v>-93745</v>
          </cell>
          <cell r="R25">
            <v>-201819</v>
          </cell>
          <cell r="S25">
            <v>-9606</v>
          </cell>
          <cell r="T25">
            <v>-36010</v>
          </cell>
          <cell r="U25">
            <v>-158745</v>
          </cell>
          <cell r="V25">
            <v>0</v>
          </cell>
          <cell r="W25">
            <v>-204361</v>
          </cell>
          <cell r="X25">
            <v>0</v>
          </cell>
          <cell r="Y25">
            <v>-262720</v>
          </cell>
          <cell r="Z25">
            <v>-22622</v>
          </cell>
          <cell r="AA25">
            <v>0</v>
          </cell>
          <cell r="AB25">
            <v>-285342</v>
          </cell>
          <cell r="AC25">
            <v>-631134</v>
          </cell>
          <cell r="AD25">
            <v>-44589</v>
          </cell>
          <cell r="AE25">
            <v>-59571</v>
          </cell>
          <cell r="AF25">
            <v>0</v>
          </cell>
          <cell r="AG25">
            <v>-735294</v>
          </cell>
          <cell r="AH25">
            <v>-33628</v>
          </cell>
          <cell r="AI25">
            <v>-46033</v>
          </cell>
          <cell r="AJ25">
            <v>-1293</v>
          </cell>
          <cell r="AK25">
            <v>-69825</v>
          </cell>
          <cell r="AL25">
            <v>-150779</v>
          </cell>
          <cell r="AM25">
            <v>-25000</v>
          </cell>
          <cell r="AN25">
            <v>-25000</v>
          </cell>
          <cell r="AO25">
            <v>-25000</v>
          </cell>
          <cell r="AP25">
            <v>-25000</v>
          </cell>
          <cell r="AQ25">
            <v>-100000</v>
          </cell>
          <cell r="AR25">
            <v>-50000</v>
          </cell>
          <cell r="AS25">
            <v>-50000</v>
          </cell>
          <cell r="AT25">
            <v>-50000</v>
          </cell>
          <cell r="AU25">
            <v>-50000</v>
          </cell>
          <cell r="AV25">
            <v>-200000</v>
          </cell>
          <cell r="AW25">
            <v>-37500</v>
          </cell>
          <cell r="AX25">
            <v>-37500</v>
          </cell>
          <cell r="AY25">
            <v>-37500</v>
          </cell>
          <cell r="AZ25">
            <v>-37500</v>
          </cell>
          <cell r="BA25">
            <v>-150000</v>
          </cell>
          <cell r="BM25" t="str">
            <v>mstag:capitalExpendituresAcquisitions</v>
          </cell>
          <cell r="BN25">
            <v>3</v>
          </cell>
          <cell r="BO25" t="str">
            <v>ISO4217:USD</v>
          </cell>
          <cell r="BP25" t="b">
            <v>1</v>
          </cell>
          <cell r="BQ25" t="b">
            <v>0</v>
          </cell>
        </row>
        <row r="26">
          <cell r="B26" t="str">
            <v>Acquisition of land held for devel. &amp; infrastructure costs</v>
          </cell>
          <cell r="I26">
            <v>-4681</v>
          </cell>
          <cell r="J26">
            <v>-11992</v>
          </cell>
          <cell r="K26">
            <v>329</v>
          </cell>
          <cell r="L26">
            <v>-11123</v>
          </cell>
          <cell r="M26">
            <v>-27467</v>
          </cell>
          <cell r="N26">
            <v>-7120</v>
          </cell>
          <cell r="O26">
            <v>-29815</v>
          </cell>
          <cell r="P26">
            <v>8868</v>
          </cell>
          <cell r="Q26">
            <v>-4877</v>
          </cell>
          <cell r="R26">
            <v>-32944</v>
          </cell>
          <cell r="S26">
            <v>0</v>
          </cell>
          <cell r="T26">
            <v>-39186</v>
          </cell>
          <cell r="U26">
            <v>-60098</v>
          </cell>
          <cell r="V26">
            <v>-17385</v>
          </cell>
          <cell r="W26">
            <v>-116669</v>
          </cell>
          <cell r="X26">
            <v>-34457</v>
          </cell>
          <cell r="Y26">
            <v>-5421</v>
          </cell>
          <cell r="Z26">
            <v>-53352</v>
          </cell>
          <cell r="AA26">
            <v>-42541</v>
          </cell>
          <cell r="AB26">
            <v>-135771</v>
          </cell>
          <cell r="AC26">
            <v>-203159</v>
          </cell>
          <cell r="AD26">
            <v>-81450</v>
          </cell>
          <cell r="AE26">
            <v>-82908</v>
          </cell>
          <cell r="AF26">
            <v>-68400</v>
          </cell>
          <cell r="AG26">
            <v>-435917</v>
          </cell>
          <cell r="AH26">
            <v>-34738</v>
          </cell>
          <cell r="AI26">
            <v>-91170</v>
          </cell>
          <cell r="AJ26">
            <v>-29648</v>
          </cell>
          <cell r="AK26">
            <v>0</v>
          </cell>
          <cell r="AL26">
            <v>-155556</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M26" t="str">
            <v>mstag:capitalExpendituresAcquisitions</v>
          </cell>
          <cell r="BN26">
            <v>3</v>
          </cell>
          <cell r="BO26" t="str">
            <v>ISO4217:USD</v>
          </cell>
          <cell r="BP26" t="b">
            <v>1</v>
          </cell>
          <cell r="BQ26" t="b">
            <v>0</v>
          </cell>
        </row>
        <row r="27">
          <cell r="B27" t="str">
            <v>Recurring tenant improvements</v>
          </cell>
          <cell r="I27">
            <v>-5952</v>
          </cell>
          <cell r="J27">
            <v>-8007</v>
          </cell>
          <cell r="K27">
            <v>-7262</v>
          </cell>
          <cell r="L27">
            <v>-6790</v>
          </cell>
          <cell r="M27">
            <v>-28011</v>
          </cell>
          <cell r="N27">
            <v>-8258</v>
          </cell>
          <cell r="O27">
            <v>-9519</v>
          </cell>
          <cell r="P27">
            <v>-10301</v>
          </cell>
          <cell r="Q27">
            <v>-7894</v>
          </cell>
          <cell r="R27">
            <v>-35972</v>
          </cell>
          <cell r="S27">
            <v>-14244</v>
          </cell>
          <cell r="T27">
            <v>-14241</v>
          </cell>
          <cell r="U27">
            <v>-13483</v>
          </cell>
          <cell r="V27">
            <v>-16879</v>
          </cell>
          <cell r="W27">
            <v>-58847</v>
          </cell>
          <cell r="X27">
            <v>-13732</v>
          </cell>
          <cell r="Y27">
            <v>-16216</v>
          </cell>
          <cell r="Z27">
            <v>-14160</v>
          </cell>
          <cell r="AA27">
            <v>-16525</v>
          </cell>
          <cell r="AB27">
            <v>-60633</v>
          </cell>
          <cell r="AC27">
            <v>-13526</v>
          </cell>
          <cell r="AD27">
            <v>-11746</v>
          </cell>
          <cell r="AE27">
            <v>-11028</v>
          </cell>
          <cell r="AF27">
            <v>-5595</v>
          </cell>
          <cell r="AG27">
            <v>-41895</v>
          </cell>
          <cell r="AH27">
            <v>-10333</v>
          </cell>
          <cell r="AI27">
            <v>-12608</v>
          </cell>
          <cell r="AJ27">
            <v>-10046</v>
          </cell>
          <cell r="AK27">
            <v>-19264</v>
          </cell>
          <cell r="AL27">
            <v>-52251</v>
          </cell>
          <cell r="AM27">
            <v>-18512.004938364717</v>
          </cell>
          <cell r="AN27">
            <v>-19587.085598750287</v>
          </cell>
          <cell r="AO27">
            <v>-19866.367599718276</v>
          </cell>
          <cell r="AP27">
            <v>-20454.106998363506</v>
          </cell>
          <cell r="AQ27">
            <v>-78419.565135196783</v>
          </cell>
          <cell r="AR27">
            <v>-20336.793783583616</v>
          </cell>
          <cell r="AS27">
            <v>-20424.76968974802</v>
          </cell>
          <cell r="AT27">
            <v>-20513.203727142431</v>
          </cell>
          <cell r="AU27">
            <v>-20602.097627838823</v>
          </cell>
          <cell r="AV27">
            <v>-81876.8648283129</v>
          </cell>
          <cell r="AW27">
            <v>-20896.067549184547</v>
          </cell>
          <cell r="AX27">
            <v>-21211.224781996189</v>
          </cell>
          <cell r="AY27">
            <v>-21527.076600915691</v>
          </cell>
          <cell r="AZ27">
            <v>-21843.625352976396</v>
          </cell>
          <cell r="BA27">
            <v>-85477.994285072826</v>
          </cell>
          <cell r="BM27" t="str">
            <v>mstag:capitalExpendituresMaintenance</v>
          </cell>
          <cell r="BN27">
            <v>3</v>
          </cell>
          <cell r="BO27" t="str">
            <v>ISO4217:USD</v>
          </cell>
          <cell r="BP27" t="b">
            <v>1</v>
          </cell>
          <cell r="BQ27" t="b">
            <v>0</v>
          </cell>
        </row>
        <row r="28">
          <cell r="B28" t="str">
            <v>Recurring leasing costs</v>
          </cell>
          <cell r="I28">
            <v>-4274</v>
          </cell>
          <cell r="J28">
            <v>-4282</v>
          </cell>
          <cell r="K28">
            <v>-3660</v>
          </cell>
          <cell r="L28">
            <v>-5759</v>
          </cell>
          <cell r="M28">
            <v>-17975</v>
          </cell>
          <cell r="N28">
            <v>-4901</v>
          </cell>
          <cell r="O28">
            <v>-4316</v>
          </cell>
          <cell r="P28">
            <v>-6776</v>
          </cell>
          <cell r="Q28">
            <v>-4939</v>
          </cell>
          <cell r="R28">
            <v>-20932</v>
          </cell>
          <cell r="S28">
            <v>-6652</v>
          </cell>
          <cell r="T28">
            <v>-6550</v>
          </cell>
          <cell r="U28">
            <v>-7111</v>
          </cell>
          <cell r="V28">
            <v>-7464</v>
          </cell>
          <cell r="W28">
            <v>-27777</v>
          </cell>
          <cell r="X28">
            <v>-8811</v>
          </cell>
          <cell r="Y28">
            <v>-7535</v>
          </cell>
          <cell r="Z28">
            <v>-8272</v>
          </cell>
          <cell r="AA28">
            <v>-8557</v>
          </cell>
          <cell r="AB28">
            <v>-33175</v>
          </cell>
          <cell r="AC28">
            <v>-1995</v>
          </cell>
          <cell r="AD28">
            <v>-4222</v>
          </cell>
          <cell r="AE28">
            <v>-6121</v>
          </cell>
          <cell r="AF28">
            <v>-4768</v>
          </cell>
          <cell r="AG28">
            <v>-17106</v>
          </cell>
          <cell r="AH28">
            <v>-8164</v>
          </cell>
          <cell r="AI28">
            <v>-6708</v>
          </cell>
          <cell r="AJ28">
            <v>-7899</v>
          </cell>
          <cell r="AK28">
            <v>0</v>
          </cell>
          <cell r="AL28">
            <v>-22771</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M28" t="str">
            <v>mstag:capitalExpendituresMaintenance</v>
          </cell>
          <cell r="BN28">
            <v>3</v>
          </cell>
          <cell r="BO28" t="str">
            <v>ISO4217:USD</v>
          </cell>
          <cell r="BP28" t="b">
            <v>1</v>
          </cell>
          <cell r="BQ28" t="b">
            <v>0</v>
          </cell>
        </row>
        <row r="29">
          <cell r="B29" t="str">
            <v>Recurring building improvements</v>
          </cell>
          <cell r="I29">
            <v>-2399</v>
          </cell>
          <cell r="J29">
            <v>-3450</v>
          </cell>
          <cell r="K29">
            <v>-3046</v>
          </cell>
          <cell r="L29">
            <v>-4478</v>
          </cell>
          <cell r="M29">
            <v>-13373</v>
          </cell>
          <cell r="N29">
            <v>-2625</v>
          </cell>
          <cell r="O29">
            <v>-4258</v>
          </cell>
          <cell r="P29">
            <v>-5853</v>
          </cell>
          <cell r="Q29">
            <v>-6808</v>
          </cell>
          <cell r="R29">
            <v>-19544</v>
          </cell>
          <cell r="S29">
            <v>-4555</v>
          </cell>
          <cell r="T29">
            <v>-3750</v>
          </cell>
          <cell r="U29">
            <v>-6374</v>
          </cell>
          <cell r="V29">
            <v>-6350</v>
          </cell>
          <cell r="W29">
            <v>-21029</v>
          </cell>
          <cell r="X29">
            <v>-2446</v>
          </cell>
          <cell r="Y29">
            <v>-3640</v>
          </cell>
          <cell r="Z29">
            <v>-4284</v>
          </cell>
          <cell r="AA29">
            <v>-4862</v>
          </cell>
          <cell r="AB29">
            <v>-15232</v>
          </cell>
          <cell r="AC29">
            <v>-1769</v>
          </cell>
          <cell r="AD29">
            <v>-1377</v>
          </cell>
          <cell r="AE29">
            <v>-2344</v>
          </cell>
          <cell r="AF29">
            <v>-2632</v>
          </cell>
          <cell r="AG29">
            <v>-8122</v>
          </cell>
          <cell r="AH29">
            <v>-974</v>
          </cell>
          <cell r="AI29">
            <v>-1399</v>
          </cell>
          <cell r="AJ29">
            <v>-2521</v>
          </cell>
          <cell r="AK29">
            <v>-4541</v>
          </cell>
          <cell r="AL29">
            <v>-9435</v>
          </cell>
          <cell r="AM29">
            <v>-4363.7362139282686</v>
          </cell>
          <cell r="AN29">
            <v>-4617.1592454280026</v>
          </cell>
          <cell r="AO29">
            <v>-4682.9929023214636</v>
          </cell>
          <cell r="AP29">
            <v>-4821.5375768048516</v>
          </cell>
          <cell r="AQ29">
            <v>-18485.425938482585</v>
          </cell>
          <cell r="AR29">
            <v>-4793.8839582253522</v>
          </cell>
          <cell r="AS29">
            <v>-4814.622049478081</v>
          </cell>
          <cell r="AT29">
            <v>-4835.4681335627993</v>
          </cell>
          <cell r="AU29">
            <v>-4856.4226187715994</v>
          </cell>
          <cell r="AV29">
            <v>-19300.396760037831</v>
          </cell>
          <cell r="AW29">
            <v>-4925.718580816394</v>
          </cell>
          <cell r="AX29">
            <v>-5000.0089148175184</v>
          </cell>
          <cell r="AY29">
            <v>-5074.4629798981596</v>
          </cell>
          <cell r="AZ29">
            <v>-5149.0813293119709</v>
          </cell>
          <cell r="BA29">
            <v>-20149.271804844044</v>
          </cell>
          <cell r="BM29" t="str">
            <v>mstag:capitalExpendituresMaintenance</v>
          </cell>
          <cell r="BN29">
            <v>3</v>
          </cell>
          <cell r="BO29" t="str">
            <v>ISO4217:USD</v>
          </cell>
          <cell r="BP29" t="b">
            <v>1</v>
          </cell>
          <cell r="BQ29" t="b">
            <v>0</v>
          </cell>
        </row>
        <row r="30">
          <cell r="B30" t="str">
            <v>Other deferred leasing costs</v>
          </cell>
          <cell r="I30">
            <v>-3586</v>
          </cell>
          <cell r="J30">
            <v>-5017</v>
          </cell>
          <cell r="K30">
            <v>-4125</v>
          </cell>
          <cell r="L30">
            <v>-5491</v>
          </cell>
          <cell r="M30">
            <v>-18219</v>
          </cell>
          <cell r="N30">
            <v>-6078</v>
          </cell>
          <cell r="O30">
            <v>-5758</v>
          </cell>
          <cell r="P30">
            <v>-3012</v>
          </cell>
          <cell r="Q30">
            <v>-2319</v>
          </cell>
          <cell r="R30">
            <v>-17167</v>
          </cell>
          <cell r="S30">
            <v>-5426</v>
          </cell>
          <cell r="T30">
            <v>-3356</v>
          </cell>
          <cell r="U30">
            <v>-2682</v>
          </cell>
          <cell r="V30">
            <v>-4922</v>
          </cell>
          <cell r="W30">
            <v>-16386</v>
          </cell>
          <cell r="X30">
            <v>-4401</v>
          </cell>
          <cell r="Y30">
            <v>-3072</v>
          </cell>
          <cell r="Z30">
            <v>-3600</v>
          </cell>
          <cell r="AA30">
            <v>-8352</v>
          </cell>
          <cell r="AB30">
            <v>-19425</v>
          </cell>
          <cell r="AC30">
            <v>-8450</v>
          </cell>
          <cell r="AD30">
            <v>-14899</v>
          </cell>
          <cell r="AE30">
            <v>-7569</v>
          </cell>
          <cell r="AF30">
            <v>-15545</v>
          </cell>
          <cell r="AG30">
            <v>-46463</v>
          </cell>
          <cell r="AH30">
            <v>-3232</v>
          </cell>
          <cell r="AI30">
            <v>-7552</v>
          </cell>
          <cell r="AJ30">
            <v>-9778</v>
          </cell>
          <cell r="AK30">
            <v>0</v>
          </cell>
          <cell r="AL30">
            <v>-20562</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M30" t="str">
            <v>mstag:otherCashFlow</v>
          </cell>
          <cell r="BN30">
            <v>3</v>
          </cell>
          <cell r="BO30" t="str">
            <v>ISO4217:USD</v>
          </cell>
          <cell r="BP30" t="b">
            <v>0</v>
          </cell>
          <cell r="BQ30" t="b">
            <v>0</v>
          </cell>
        </row>
        <row r="31">
          <cell r="B31" t="str">
            <v>Other deferred costs and other assets</v>
          </cell>
          <cell r="I31">
            <v>4044</v>
          </cell>
          <cell r="J31">
            <v>-20220</v>
          </cell>
          <cell r="K31">
            <v>-13402</v>
          </cell>
          <cell r="L31">
            <v>11788</v>
          </cell>
          <cell r="M31">
            <v>-17790</v>
          </cell>
          <cell r="N31">
            <v>1447</v>
          </cell>
          <cell r="O31">
            <v>-5039</v>
          </cell>
          <cell r="P31">
            <v>-15069</v>
          </cell>
          <cell r="Q31">
            <v>-6603</v>
          </cell>
          <cell r="R31">
            <v>-25264</v>
          </cell>
          <cell r="S31">
            <v>-4447</v>
          </cell>
          <cell r="T31">
            <v>-4447</v>
          </cell>
          <cell r="U31">
            <v>-5105</v>
          </cell>
          <cell r="V31">
            <v>-1056</v>
          </cell>
          <cell r="W31">
            <v>-15055</v>
          </cell>
          <cell r="X31">
            <v>-1274</v>
          </cell>
          <cell r="Y31">
            <v>-1235</v>
          </cell>
          <cell r="Z31">
            <v>-15982</v>
          </cell>
          <cell r="AA31">
            <v>3053</v>
          </cell>
          <cell r="AB31">
            <v>-15438</v>
          </cell>
          <cell r="AC31">
            <v>-15538</v>
          </cell>
          <cell r="AD31">
            <v>-4596</v>
          </cell>
          <cell r="AE31">
            <v>24665</v>
          </cell>
          <cell r="AF31">
            <v>1672</v>
          </cell>
          <cell r="AG31">
            <v>6203</v>
          </cell>
          <cell r="AH31">
            <v>403</v>
          </cell>
          <cell r="AI31">
            <v>-2870</v>
          </cell>
          <cell r="AJ31">
            <v>-8834</v>
          </cell>
          <cell r="AK31">
            <v>0</v>
          </cell>
          <cell r="AL31">
            <v>-11301</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M31" t="str">
            <v>mstag:otherCashFlow</v>
          </cell>
          <cell r="BN31">
            <v>3</v>
          </cell>
          <cell r="BO31" t="str">
            <v>ISO4217:USD</v>
          </cell>
          <cell r="BP31" t="b">
            <v>0</v>
          </cell>
          <cell r="BQ31" t="b">
            <v>0</v>
          </cell>
        </row>
        <row r="32">
          <cell r="B32" t="str">
            <v>Exercise purchase option on ground lease</v>
          </cell>
          <cell r="I32">
            <v>0</v>
          </cell>
          <cell r="J32">
            <v>0</v>
          </cell>
          <cell r="K32">
            <v>0</v>
          </cell>
          <cell r="L32">
            <v>0</v>
          </cell>
          <cell r="M32">
            <v>0</v>
          </cell>
          <cell r="N32">
            <v>-12042</v>
          </cell>
          <cell r="O32">
            <v>12042</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119526.9</v>
          </cell>
          <cell r="AL32">
            <v>119526.9</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M32" t="str">
            <v>mstag:otherCashFlow</v>
          </cell>
          <cell r="BN32">
            <v>3</v>
          </cell>
          <cell r="BO32" t="str">
            <v>ISO4217:USD</v>
          </cell>
          <cell r="BP32" t="b">
            <v>0</v>
          </cell>
          <cell r="BQ32" t="b">
            <v>0</v>
          </cell>
        </row>
        <row r="33">
          <cell r="B33" t="str">
            <v>Tax deferred exchange escrow, net</v>
          </cell>
          <cell r="I33">
            <v>0</v>
          </cell>
          <cell r="J33">
            <v>0</v>
          </cell>
          <cell r="K33">
            <v>0</v>
          </cell>
          <cell r="L33">
            <v>0</v>
          </cell>
          <cell r="M33">
            <v>0</v>
          </cell>
          <cell r="N33">
            <v>-8207</v>
          </cell>
          <cell r="O33">
            <v>-2299</v>
          </cell>
          <cell r="P33">
            <v>2258</v>
          </cell>
          <cell r="Q33">
            <v>8248</v>
          </cell>
          <cell r="R33">
            <v>0</v>
          </cell>
          <cell r="S33">
            <v>-1334</v>
          </cell>
          <cell r="T33">
            <v>-1114</v>
          </cell>
          <cell r="U33">
            <v>2448</v>
          </cell>
          <cell r="V33">
            <v>0</v>
          </cell>
          <cell r="W33">
            <v>0</v>
          </cell>
          <cell r="X33">
            <v>0</v>
          </cell>
          <cell r="Y33">
            <v>0</v>
          </cell>
          <cell r="Z33">
            <v>-12890</v>
          </cell>
          <cell r="AA33">
            <v>12890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M33" t="str">
            <v>mstag:otherCashFlow</v>
          </cell>
          <cell r="BN33">
            <v>3</v>
          </cell>
          <cell r="BO33" t="str">
            <v>ISO4217:USD</v>
          </cell>
          <cell r="BP33" t="b">
            <v>0</v>
          </cell>
          <cell r="BQ33" t="b">
            <v>0</v>
          </cell>
        </row>
        <row r="34">
          <cell r="B34" t="str">
            <v>Proceeds from land and depreciated property sales, net</v>
          </cell>
          <cell r="I34">
            <v>25395</v>
          </cell>
          <cell r="J34">
            <v>9628</v>
          </cell>
          <cell r="K34">
            <v>15440</v>
          </cell>
          <cell r="L34">
            <v>1723</v>
          </cell>
          <cell r="M34">
            <v>52186</v>
          </cell>
          <cell r="N34">
            <v>51368</v>
          </cell>
          <cell r="O34">
            <v>11887</v>
          </cell>
          <cell r="P34">
            <v>22454</v>
          </cell>
          <cell r="Q34">
            <v>81917</v>
          </cell>
          <cell r="R34">
            <v>167626</v>
          </cell>
          <cell r="S34">
            <v>29405</v>
          </cell>
          <cell r="T34">
            <v>7750</v>
          </cell>
          <cell r="U34">
            <v>110198</v>
          </cell>
          <cell r="V34">
            <v>30948</v>
          </cell>
          <cell r="W34">
            <v>178301</v>
          </cell>
          <cell r="X34">
            <v>13608</v>
          </cell>
          <cell r="Y34">
            <v>57008</v>
          </cell>
          <cell r="Z34">
            <v>1024800</v>
          </cell>
          <cell r="AA34">
            <v>39251</v>
          </cell>
          <cell r="AB34">
            <v>1134667</v>
          </cell>
          <cell r="AC34">
            <v>28142</v>
          </cell>
          <cell r="AD34">
            <v>22782</v>
          </cell>
          <cell r="AE34">
            <v>110587</v>
          </cell>
          <cell r="AF34">
            <v>315887</v>
          </cell>
          <cell r="AG34">
            <v>477398</v>
          </cell>
          <cell r="AH34">
            <v>176726</v>
          </cell>
          <cell r="AI34">
            <v>92708</v>
          </cell>
          <cell r="AJ34">
            <v>135660</v>
          </cell>
          <cell r="AK34">
            <v>36621</v>
          </cell>
          <cell r="AL34">
            <v>441715</v>
          </cell>
          <cell r="AM34">
            <v>62500</v>
          </cell>
          <cell r="AN34">
            <v>62500</v>
          </cell>
          <cell r="AO34">
            <v>62500</v>
          </cell>
          <cell r="AP34">
            <v>62500</v>
          </cell>
          <cell r="AQ34">
            <v>250000</v>
          </cell>
          <cell r="AR34">
            <v>87500</v>
          </cell>
          <cell r="AS34">
            <v>87500</v>
          </cell>
          <cell r="AT34">
            <v>87500</v>
          </cell>
          <cell r="AU34">
            <v>87500</v>
          </cell>
          <cell r="AV34">
            <v>350000</v>
          </cell>
          <cell r="AW34">
            <v>87500</v>
          </cell>
          <cell r="AX34">
            <v>87500</v>
          </cell>
          <cell r="AY34">
            <v>87500</v>
          </cell>
          <cell r="AZ34">
            <v>87500</v>
          </cell>
          <cell r="BA34">
            <v>350000</v>
          </cell>
          <cell r="BM34" t="str">
            <v>mstag:capitalExpendituresDisposals</v>
          </cell>
          <cell r="BN34">
            <v>3</v>
          </cell>
          <cell r="BO34" t="str">
            <v>ISO4217:USD</v>
          </cell>
          <cell r="BP34" t="b">
            <v>0</v>
          </cell>
          <cell r="BQ34" t="b">
            <v>0</v>
          </cell>
        </row>
        <row r="35">
          <cell r="B35" t="str">
            <v>Investment in secured mortgage loan</v>
          </cell>
          <cell r="I35">
            <v>0</v>
          </cell>
          <cell r="J35">
            <v>0</v>
          </cell>
          <cell r="K35">
            <v>0</v>
          </cell>
          <cell r="L35">
            <v>0</v>
          </cell>
          <cell r="M35">
            <v>0</v>
          </cell>
          <cell r="N35">
            <v>0</v>
          </cell>
          <cell r="O35">
            <v>0</v>
          </cell>
          <cell r="P35">
            <v>0</v>
          </cell>
          <cell r="Q35">
            <v>0</v>
          </cell>
          <cell r="R35">
            <v>0</v>
          </cell>
          <cell r="S35">
            <v>-65000</v>
          </cell>
          <cell r="T35">
            <v>0</v>
          </cell>
          <cell r="U35">
            <v>65000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M35" t="str">
            <v>mstag:otherCashFlow</v>
          </cell>
          <cell r="BN35">
            <v>3</v>
          </cell>
          <cell r="BO35" t="str">
            <v>ISO4217:USD</v>
          </cell>
          <cell r="BP35" t="b">
            <v>0</v>
          </cell>
          <cell r="BQ35" t="b">
            <v>0</v>
          </cell>
        </row>
        <row r="36">
          <cell r="B36" t="str">
            <v>Advances to unconsolidated companies</v>
          </cell>
          <cell r="I36">
            <v>-8794</v>
          </cell>
          <cell r="J36">
            <v>-9430</v>
          </cell>
          <cell r="K36">
            <v>8294</v>
          </cell>
          <cell r="L36">
            <v>-1200</v>
          </cell>
          <cell r="M36">
            <v>-11130</v>
          </cell>
          <cell r="N36">
            <v>-1313</v>
          </cell>
          <cell r="O36">
            <v>-53</v>
          </cell>
          <cell r="P36">
            <v>-11928</v>
          </cell>
          <cell r="Q36">
            <v>7813</v>
          </cell>
          <cell r="R36">
            <v>-5481</v>
          </cell>
          <cell r="S36">
            <v>-701</v>
          </cell>
          <cell r="T36">
            <v>-1217</v>
          </cell>
          <cell r="U36">
            <v>-410</v>
          </cell>
          <cell r="V36">
            <v>-705</v>
          </cell>
          <cell r="W36">
            <v>-3033</v>
          </cell>
          <cell r="X36">
            <v>-6441</v>
          </cell>
          <cell r="Y36">
            <v>-1661</v>
          </cell>
          <cell r="Z36">
            <v>-1104</v>
          </cell>
          <cell r="AA36">
            <v>-22393</v>
          </cell>
          <cell r="AB36">
            <v>-31599</v>
          </cell>
          <cell r="AC36">
            <v>-6313</v>
          </cell>
          <cell r="AD36">
            <v>11634</v>
          </cell>
          <cell r="AE36">
            <v>-456</v>
          </cell>
          <cell r="AF36">
            <v>-55047</v>
          </cell>
          <cell r="AG36">
            <v>-50182</v>
          </cell>
          <cell r="AH36">
            <v>20225</v>
          </cell>
          <cell r="AI36">
            <v>105852</v>
          </cell>
          <cell r="AJ36">
            <v>-22993</v>
          </cell>
          <cell r="AK36">
            <v>0</v>
          </cell>
          <cell r="AL36">
            <v>103084</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M36" t="str">
            <v>mstag:otherCashFlow</v>
          </cell>
          <cell r="BN36">
            <v>3</v>
          </cell>
          <cell r="BO36" t="str">
            <v>ISO4217:USD</v>
          </cell>
          <cell r="BP36" t="b">
            <v>0</v>
          </cell>
          <cell r="BQ36" t="b">
            <v>0</v>
          </cell>
        </row>
        <row r="38">
          <cell r="B38" t="str">
            <v>Net cash used by investing activities</v>
          </cell>
          <cell r="I38">
            <v>-45355</v>
          </cell>
          <cell r="J38">
            <v>-104517</v>
          </cell>
          <cell r="K38">
            <v>-58260</v>
          </cell>
          <cell r="L38">
            <v>-129840</v>
          </cell>
          <cell r="M38">
            <v>-337972</v>
          </cell>
          <cell r="N38">
            <v>-61326</v>
          </cell>
          <cell r="O38">
            <v>-75390</v>
          </cell>
          <cell r="P38">
            <v>-126384</v>
          </cell>
          <cell r="Q38">
            <v>-57596</v>
          </cell>
          <cell r="R38">
            <v>-320696</v>
          </cell>
          <cell r="S38">
            <v>-104674</v>
          </cell>
          <cell r="T38">
            <v>-143551</v>
          </cell>
          <cell r="U38">
            <v>-110635</v>
          </cell>
          <cell r="V38">
            <v>-71625</v>
          </cell>
          <cell r="W38">
            <v>-430485</v>
          </cell>
          <cell r="X38">
            <v>-87647</v>
          </cell>
          <cell r="Y38">
            <v>-283029</v>
          </cell>
          <cell r="Z38">
            <v>825939</v>
          </cell>
          <cell r="AA38">
            <v>-127201</v>
          </cell>
          <cell r="AB38">
            <v>328062</v>
          </cell>
          <cell r="AC38">
            <v>-938221</v>
          </cell>
          <cell r="AD38">
            <v>-211730</v>
          </cell>
          <cell r="AE38">
            <v>-141671</v>
          </cell>
          <cell r="AF38">
            <v>54728</v>
          </cell>
          <cell r="AG38">
            <v>-1236894</v>
          </cell>
          <cell r="AH38">
            <v>9697</v>
          </cell>
          <cell r="AI38">
            <v>-60132</v>
          </cell>
          <cell r="AJ38">
            <v>-94729</v>
          </cell>
          <cell r="AK38">
            <v>-153296.0545</v>
          </cell>
          <cell r="AL38">
            <v>-298460.05449999997</v>
          </cell>
          <cell r="AM38">
            <v>-134711.403652293</v>
          </cell>
          <cell r="AN38">
            <v>-218555.38484417828</v>
          </cell>
          <cell r="AO38">
            <v>-185664.82650203971</v>
          </cell>
          <cell r="AP38">
            <v>-87775.64457516835</v>
          </cell>
          <cell r="AQ38">
            <v>-626707.25957367942</v>
          </cell>
          <cell r="AR38">
            <v>-87630.677741808962</v>
          </cell>
          <cell r="AS38">
            <v>-87739.391739226092</v>
          </cell>
          <cell r="AT38">
            <v>-87848.671860705217</v>
          </cell>
          <cell r="AU38">
            <v>-87958.520246610424</v>
          </cell>
          <cell r="AV38">
            <v>-351177.26158835075</v>
          </cell>
          <cell r="AW38">
            <v>-100821.78613000095</v>
          </cell>
          <cell r="AX38">
            <v>-101211.23369681372</v>
          </cell>
          <cell r="AY38">
            <v>-101601.53958081384</v>
          </cell>
          <cell r="AZ38">
            <v>-101992.70668228838</v>
          </cell>
          <cell r="BA38">
            <v>-405627.26608991681</v>
          </cell>
        </row>
        <row r="40">
          <cell r="B40" t="str">
            <v>Proceeds from issuance of common shares, net</v>
          </cell>
          <cell r="I40">
            <v>7023</v>
          </cell>
          <cell r="J40">
            <v>11178</v>
          </cell>
          <cell r="K40">
            <v>3706</v>
          </cell>
          <cell r="L40">
            <v>927</v>
          </cell>
          <cell r="M40">
            <v>22834</v>
          </cell>
          <cell r="N40">
            <v>2830</v>
          </cell>
          <cell r="O40">
            <v>3872</v>
          </cell>
          <cell r="P40">
            <v>3183</v>
          </cell>
          <cell r="Q40">
            <v>4141</v>
          </cell>
          <cell r="R40">
            <v>14026</v>
          </cell>
          <cell r="S40">
            <v>8534</v>
          </cell>
          <cell r="T40">
            <v>728</v>
          </cell>
          <cell r="U40">
            <v>1081</v>
          </cell>
          <cell r="V40">
            <v>1916</v>
          </cell>
          <cell r="W40">
            <v>12259</v>
          </cell>
          <cell r="X40">
            <v>633</v>
          </cell>
          <cell r="Y40">
            <v>709</v>
          </cell>
          <cell r="Z40">
            <v>-93695</v>
          </cell>
          <cell r="AA40">
            <v>-191405</v>
          </cell>
          <cell r="AB40">
            <v>-283758</v>
          </cell>
          <cell r="AC40">
            <v>-7116</v>
          </cell>
          <cell r="AD40">
            <v>840</v>
          </cell>
          <cell r="AE40">
            <v>729</v>
          </cell>
          <cell r="AF40">
            <v>-89063</v>
          </cell>
          <cell r="AG40">
            <v>-94610</v>
          </cell>
          <cell r="AH40">
            <v>-12</v>
          </cell>
          <cell r="AI40">
            <v>148</v>
          </cell>
          <cell r="AJ40">
            <v>2753</v>
          </cell>
          <cell r="AK40">
            <v>254101</v>
          </cell>
          <cell r="AL40">
            <v>256990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M40" t="str">
            <v>mstag:proceedsFromIssuanceFundsUsedToRepurchaseCommonStock</v>
          </cell>
          <cell r="BN40">
            <v>3</v>
          </cell>
          <cell r="BO40" t="str">
            <v>ISO4217:USD</v>
          </cell>
          <cell r="BP40" t="b">
            <v>0</v>
          </cell>
          <cell r="BQ40" t="b">
            <v>0</v>
          </cell>
        </row>
        <row r="41">
          <cell r="B41" t="str">
            <v>Proceeds from issuance of preferred stock, net</v>
          </cell>
          <cell r="I41">
            <v>0</v>
          </cell>
          <cell r="J41">
            <v>0</v>
          </cell>
          <cell r="K41">
            <v>0</v>
          </cell>
          <cell r="L41">
            <v>0</v>
          </cell>
          <cell r="M41">
            <v>0</v>
          </cell>
          <cell r="N41">
            <v>0</v>
          </cell>
          <cell r="O41">
            <v>0</v>
          </cell>
          <cell r="P41">
            <v>96700</v>
          </cell>
          <cell r="Q41">
            <v>0</v>
          </cell>
          <cell r="R41">
            <v>96700</v>
          </cell>
          <cell r="S41">
            <v>144975</v>
          </cell>
          <cell r="T41">
            <v>0</v>
          </cell>
          <cell r="U41">
            <v>-35</v>
          </cell>
          <cell r="V41">
            <v>193420</v>
          </cell>
          <cell r="W41">
            <v>338360</v>
          </cell>
          <cell r="X41">
            <v>0</v>
          </cell>
          <cell r="Y41">
            <v>0</v>
          </cell>
          <cell r="Z41">
            <v>0</v>
          </cell>
          <cell r="AA41">
            <v>0</v>
          </cell>
          <cell r="AB41">
            <v>0</v>
          </cell>
          <cell r="AC41">
            <v>177734</v>
          </cell>
          <cell r="AD41">
            <v>106260</v>
          </cell>
          <cell r="AE41">
            <v>0</v>
          </cell>
          <cell r="AF41">
            <v>0</v>
          </cell>
          <cell r="AG41">
            <v>283994</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M41" t="str">
            <v>mstag:netIssuanceOfPreferredStock</v>
          </cell>
          <cell r="BN41">
            <v>3</v>
          </cell>
          <cell r="BO41" t="str">
            <v>ISO4217:USD</v>
          </cell>
          <cell r="BP41" t="b">
            <v>0</v>
          </cell>
          <cell r="BQ41" t="b">
            <v>0</v>
          </cell>
        </row>
        <row r="42">
          <cell r="B42" t="str">
            <v>Payments for redemption of preferred stock and units</v>
          </cell>
          <cell r="I42">
            <v>0</v>
          </cell>
          <cell r="J42">
            <v>0</v>
          </cell>
          <cell r="K42">
            <v>-52953</v>
          </cell>
          <cell r="L42">
            <v>-150000</v>
          </cell>
          <cell r="M42">
            <v>-202953</v>
          </cell>
          <cell r="N42">
            <v>-20</v>
          </cell>
          <cell r="O42">
            <v>0</v>
          </cell>
          <cell r="P42">
            <v>0</v>
          </cell>
          <cell r="Q42">
            <v>-65000</v>
          </cell>
          <cell r="R42">
            <v>-65020</v>
          </cell>
          <cell r="S42">
            <v>-102621</v>
          </cell>
          <cell r="T42">
            <v>-30</v>
          </cell>
          <cell r="U42">
            <v>0</v>
          </cell>
          <cell r="V42">
            <v>-1</v>
          </cell>
          <cell r="W42">
            <v>-102652</v>
          </cell>
          <cell r="X42">
            <v>0</v>
          </cell>
          <cell r="Y42">
            <v>0</v>
          </cell>
          <cell r="Z42">
            <v>-2129</v>
          </cell>
          <cell r="AA42">
            <v>0</v>
          </cell>
          <cell r="AB42">
            <v>-2129</v>
          </cell>
          <cell r="AC42">
            <v>-75010</v>
          </cell>
          <cell r="AD42">
            <v>0</v>
          </cell>
          <cell r="AE42">
            <v>0</v>
          </cell>
          <cell r="AF42">
            <v>0</v>
          </cell>
          <cell r="AG42">
            <v>-75010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M42" t="str">
            <v>mstag:netIssuanceOfTrustPreferredSecurities</v>
          </cell>
          <cell r="BN42">
            <v>3</v>
          </cell>
          <cell r="BO42" t="str">
            <v>ISO4217:USD</v>
          </cell>
          <cell r="BP42" t="b">
            <v>0</v>
          </cell>
          <cell r="BQ42" t="b">
            <v>0</v>
          </cell>
        </row>
        <row r="43">
          <cell r="B43" t="str">
            <v>Payments for exercise of warrants</v>
          </cell>
          <cell r="I43">
            <v>0</v>
          </cell>
          <cell r="J43">
            <v>0</v>
          </cell>
          <cell r="K43">
            <v>0</v>
          </cell>
          <cell r="L43">
            <v>0</v>
          </cell>
          <cell r="M43">
            <v>0</v>
          </cell>
          <cell r="N43">
            <v>0</v>
          </cell>
          <cell r="O43">
            <v>-4692</v>
          </cell>
          <cell r="P43">
            <v>0</v>
          </cell>
          <cell r="Q43">
            <v>0</v>
          </cell>
          <cell r="R43">
            <v>-4692</v>
          </cell>
          <cell r="S43">
            <v>-2881</v>
          </cell>
          <cell r="T43">
            <v>0</v>
          </cell>
          <cell r="U43">
            <v>0</v>
          </cell>
          <cell r="V43">
            <v>0</v>
          </cell>
          <cell r="W43">
            <v>-2881</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M43" t="str">
            <v>mstag:otherCashFlow</v>
          </cell>
          <cell r="BN43">
            <v>3</v>
          </cell>
          <cell r="BO43" t="str">
            <v>ISO4217:USD</v>
          </cell>
          <cell r="BP43" t="b">
            <v>0</v>
          </cell>
          <cell r="BQ43" t="b">
            <v>0</v>
          </cell>
        </row>
        <row r="44">
          <cell r="B44" t="str">
            <v>Proceeds from indebtedness</v>
          </cell>
          <cell r="I44">
            <v>0</v>
          </cell>
          <cell r="J44">
            <v>0</v>
          </cell>
          <cell r="K44">
            <v>200000</v>
          </cell>
          <cell r="L44">
            <v>0</v>
          </cell>
          <cell r="M44">
            <v>200000</v>
          </cell>
          <cell r="N44">
            <v>175000</v>
          </cell>
          <cell r="O44">
            <v>150000</v>
          </cell>
          <cell r="P44">
            <v>0</v>
          </cell>
          <cell r="Q44">
            <v>100000</v>
          </cell>
          <cell r="R44">
            <v>425000</v>
          </cell>
          <cell r="S44">
            <v>0</v>
          </cell>
          <cell r="T44">
            <v>125000</v>
          </cell>
          <cell r="U44">
            <v>315000</v>
          </cell>
          <cell r="V44">
            <v>250000</v>
          </cell>
          <cell r="W44">
            <v>690000</v>
          </cell>
          <cell r="X44">
            <v>0</v>
          </cell>
          <cell r="Y44">
            <v>400000</v>
          </cell>
          <cell r="Z44">
            <v>0</v>
          </cell>
          <cell r="AA44">
            <v>0</v>
          </cell>
          <cell r="AB44">
            <v>400000</v>
          </cell>
          <cell r="AC44">
            <v>860450</v>
          </cell>
          <cell r="AD44">
            <v>0</v>
          </cell>
          <cell r="AE44">
            <v>700000</v>
          </cell>
          <cell r="AF44">
            <v>898473</v>
          </cell>
          <cell r="AG44">
            <v>2458923</v>
          </cell>
          <cell r="AH44">
            <v>5812</v>
          </cell>
          <cell r="AI44">
            <v>8012</v>
          </cell>
          <cell r="AJ44">
            <v>325600</v>
          </cell>
          <cell r="AK44">
            <v>0</v>
          </cell>
          <cell r="AL44">
            <v>339424</v>
          </cell>
          <cell r="AM44">
            <v>32797.176104955681</v>
          </cell>
          <cell r="AN44">
            <v>133530.88643522351</v>
          </cell>
          <cell r="AO44">
            <v>110185.76867270911</v>
          </cell>
          <cell r="AP44">
            <v>51137.112959814316</v>
          </cell>
          <cell r="AQ44">
            <v>327650.94417270261</v>
          </cell>
          <cell r="AR44">
            <v>44296.338255192764</v>
          </cell>
          <cell r="AS44">
            <v>45679.562764763919</v>
          </cell>
          <cell r="AT44">
            <v>46335.485538482535</v>
          </cell>
          <cell r="AU44">
            <v>47135.266665668474</v>
          </cell>
          <cell r="AV44">
            <v>183446.65322410769</v>
          </cell>
          <cell r="AW44">
            <v>53314.697791345476</v>
          </cell>
          <cell r="AX44">
            <v>55413.792814042492</v>
          </cell>
          <cell r="AY44">
            <v>55539.521923428045</v>
          </cell>
          <cell r="AZ44">
            <v>55789.288840691632</v>
          </cell>
          <cell r="BA44">
            <v>220057.30136950762</v>
          </cell>
          <cell r="BM44" t="str">
            <v>mstag:proceedsFromIssuanceAndCashUsedToRepayLongTermDebt</v>
          </cell>
          <cell r="BN44">
            <v>3</v>
          </cell>
          <cell r="BO44" t="str">
            <v>ISO4217:USD</v>
          </cell>
          <cell r="BP44" t="b">
            <v>0</v>
          </cell>
          <cell r="BQ44" t="b">
            <v>0</v>
          </cell>
        </row>
        <row r="45">
          <cell r="B45" t="str">
            <v>Payments on unsecured debt</v>
          </cell>
          <cell r="I45">
            <v>0</v>
          </cell>
          <cell r="J45">
            <v>0</v>
          </cell>
          <cell r="K45">
            <v>0</v>
          </cell>
          <cell r="L45">
            <v>0</v>
          </cell>
          <cell r="M45">
            <v>0</v>
          </cell>
          <cell r="N45">
            <v>0</v>
          </cell>
          <cell r="O45">
            <v>-175000</v>
          </cell>
          <cell r="P45">
            <v>0</v>
          </cell>
          <cell r="Q45">
            <v>40000</v>
          </cell>
          <cell r="R45">
            <v>-135000</v>
          </cell>
          <cell r="S45">
            <v>190000</v>
          </cell>
          <cell r="T45">
            <v>-190000</v>
          </cell>
          <cell r="U45">
            <v>-100000</v>
          </cell>
          <cell r="V45">
            <v>-50000</v>
          </cell>
          <cell r="W45">
            <v>-150000</v>
          </cell>
          <cell r="X45">
            <v>-100000</v>
          </cell>
          <cell r="Y45">
            <v>0</v>
          </cell>
          <cell r="Z45">
            <v>-565000</v>
          </cell>
          <cell r="AA45">
            <v>0</v>
          </cell>
          <cell r="AB45">
            <v>-665000</v>
          </cell>
          <cell r="AC45">
            <v>-100000</v>
          </cell>
          <cell r="AD45">
            <v>0</v>
          </cell>
          <cell r="AE45">
            <v>0</v>
          </cell>
          <cell r="AF45">
            <v>-250000</v>
          </cell>
          <cell r="AG45">
            <v>-350000</v>
          </cell>
          <cell r="AH45">
            <v>0</v>
          </cell>
          <cell r="AI45">
            <v>0</v>
          </cell>
          <cell r="AJ45">
            <v>-100000</v>
          </cell>
          <cell r="AK45">
            <v>0</v>
          </cell>
          <cell r="AL45">
            <v>-100000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M45" t="str">
            <v>mstag:proceedsFromIssuanceAndCashUsedToRepayLongTermDebt</v>
          </cell>
          <cell r="BN45">
            <v>3</v>
          </cell>
          <cell r="BO45" t="str">
            <v>ISO4217:USD</v>
          </cell>
          <cell r="BP45" t="b">
            <v>0</v>
          </cell>
          <cell r="BQ45" t="b">
            <v>0</v>
          </cell>
        </row>
        <row r="46">
          <cell r="B46" t="str">
            <v>Proceeds from debt refinancing</v>
          </cell>
          <cell r="I46">
            <v>0</v>
          </cell>
          <cell r="J46">
            <v>0</v>
          </cell>
          <cell r="K46">
            <v>0</v>
          </cell>
          <cell r="L46">
            <v>0</v>
          </cell>
          <cell r="M46">
            <v>0</v>
          </cell>
          <cell r="N46">
            <v>38340</v>
          </cell>
          <cell r="O46">
            <v>0</v>
          </cell>
          <cell r="P46">
            <v>0</v>
          </cell>
          <cell r="Q46">
            <v>0</v>
          </cell>
          <cell r="R46">
            <v>38340</v>
          </cell>
          <cell r="S46">
            <v>0</v>
          </cell>
          <cell r="T46">
            <v>25000</v>
          </cell>
          <cell r="U46">
            <v>-25000</v>
          </cell>
          <cell r="V46">
            <v>0</v>
          </cell>
          <cell r="W46">
            <v>0</v>
          </cell>
          <cell r="X46">
            <v>-65000</v>
          </cell>
          <cell r="Y46">
            <v>0</v>
          </cell>
          <cell r="Z46">
            <v>65000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M46" t="str">
            <v>mstag:proceedsFromIssuanceAndCashUsedToRepayLongTermDebt</v>
          </cell>
          <cell r="BN46">
            <v>3</v>
          </cell>
          <cell r="BO46" t="str">
            <v>ISO4217:USD</v>
          </cell>
          <cell r="BP46" t="b">
            <v>0</v>
          </cell>
          <cell r="BQ46" t="b">
            <v>0</v>
          </cell>
        </row>
        <row r="47">
          <cell r="B47" t="str">
            <v>Payments on indebtedness</v>
          </cell>
          <cell r="I47">
            <v>-5193</v>
          </cell>
          <cell r="J47">
            <v>-2545</v>
          </cell>
          <cell r="K47">
            <v>-55205</v>
          </cell>
          <cell r="L47">
            <v>-9010</v>
          </cell>
          <cell r="M47">
            <v>-71953</v>
          </cell>
          <cell r="N47">
            <v>-61706</v>
          </cell>
          <cell r="O47">
            <v>-3262</v>
          </cell>
          <cell r="P47">
            <v>-66718</v>
          </cell>
          <cell r="Q47">
            <v>-11856</v>
          </cell>
          <cell r="R47">
            <v>-143542</v>
          </cell>
          <cell r="S47">
            <v>-1707</v>
          </cell>
          <cell r="T47">
            <v>-18836</v>
          </cell>
          <cell r="U47">
            <v>-17221</v>
          </cell>
          <cell r="V47">
            <v>-1666</v>
          </cell>
          <cell r="W47">
            <v>-39430</v>
          </cell>
          <cell r="X47">
            <v>-1697</v>
          </cell>
          <cell r="Y47">
            <v>-7711</v>
          </cell>
          <cell r="Z47">
            <v>-35873</v>
          </cell>
          <cell r="AA47">
            <v>-1394</v>
          </cell>
          <cell r="AB47">
            <v>-46675</v>
          </cell>
          <cell r="AC47">
            <v>-1808</v>
          </cell>
          <cell r="AD47">
            <v>-17641</v>
          </cell>
          <cell r="AE47">
            <v>-703328</v>
          </cell>
          <cell r="AF47">
            <v>-27577</v>
          </cell>
          <cell r="AG47">
            <v>-750354</v>
          </cell>
          <cell r="AH47">
            <v>-12007</v>
          </cell>
          <cell r="AI47">
            <v>-7797</v>
          </cell>
          <cell r="AJ47">
            <v>-2813</v>
          </cell>
          <cell r="AK47">
            <v>0</v>
          </cell>
          <cell r="AL47">
            <v>-22617</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M47" t="str">
            <v>mstag:proceedsFromIssuanceAndCashUsedToRepayLongTermDebt</v>
          </cell>
          <cell r="BN47">
            <v>3</v>
          </cell>
          <cell r="BO47" t="str">
            <v>ISO4217:USD</v>
          </cell>
          <cell r="BP47" t="b">
            <v>0</v>
          </cell>
          <cell r="BQ47" t="b">
            <v>0</v>
          </cell>
        </row>
        <row r="48">
          <cell r="B48" t="str">
            <v>Proceeds (repayments) on lines of credit, net</v>
          </cell>
          <cell r="I48">
            <v>-79392</v>
          </cell>
          <cell r="J48">
            <v>904</v>
          </cell>
          <cell r="K48">
            <v>-15636</v>
          </cell>
          <cell r="L48">
            <v>251429</v>
          </cell>
          <cell r="M48">
            <v>157305</v>
          </cell>
          <cell r="N48">
            <v>-75095</v>
          </cell>
          <cell r="O48">
            <v>80649</v>
          </cell>
          <cell r="P48">
            <v>89555</v>
          </cell>
          <cell r="Q48">
            <v>-49004</v>
          </cell>
          <cell r="R48">
            <v>46105</v>
          </cell>
          <cell r="S48">
            <v>-121000</v>
          </cell>
          <cell r="T48">
            <v>186000</v>
          </cell>
          <cell r="U48">
            <v>-77000</v>
          </cell>
          <cell r="V48">
            <v>-339000</v>
          </cell>
          <cell r="W48">
            <v>-351000</v>
          </cell>
          <cell r="X48">
            <v>272000</v>
          </cell>
          <cell r="Y48">
            <v>-152000</v>
          </cell>
          <cell r="Z48">
            <v>-120000</v>
          </cell>
          <cell r="AA48">
            <v>383000</v>
          </cell>
          <cell r="AB48">
            <v>383000</v>
          </cell>
          <cell r="AC48">
            <v>129979</v>
          </cell>
          <cell r="AD48">
            <v>157021</v>
          </cell>
          <cell r="AE48">
            <v>234000</v>
          </cell>
          <cell r="AF48">
            <v>-587000</v>
          </cell>
          <cell r="AG48">
            <v>-66000</v>
          </cell>
          <cell r="AH48">
            <v>13000</v>
          </cell>
          <cell r="AI48">
            <v>110000</v>
          </cell>
          <cell r="AJ48">
            <v>-125030</v>
          </cell>
          <cell r="AK48">
            <v>45140.800000000003</v>
          </cell>
          <cell r="AL48">
            <v>43110.8</v>
          </cell>
          <cell r="AM48">
            <v>21864.784069970454</v>
          </cell>
          <cell r="AN48">
            <v>89020.590956815679</v>
          </cell>
          <cell r="AO48">
            <v>73457.179115139399</v>
          </cell>
          <cell r="AP48">
            <v>34091.408639876216</v>
          </cell>
          <cell r="AQ48">
            <v>218433.96278180176</v>
          </cell>
          <cell r="AR48">
            <v>29530.892170128514</v>
          </cell>
          <cell r="AS48">
            <v>30453.041843175946</v>
          </cell>
          <cell r="AT48">
            <v>30890.32369232169</v>
          </cell>
          <cell r="AU48">
            <v>31423.511110445648</v>
          </cell>
          <cell r="AV48">
            <v>122297.7688160718</v>
          </cell>
          <cell r="AW48">
            <v>35543.131860896989</v>
          </cell>
          <cell r="AX48">
            <v>36942.528542694999</v>
          </cell>
          <cell r="AY48">
            <v>37026.347948952032</v>
          </cell>
          <cell r="AZ48">
            <v>37192.859227127759</v>
          </cell>
          <cell r="BA48">
            <v>146704.86757967179</v>
          </cell>
          <cell r="BM48" t="str">
            <v>mstag:proceedsFromIssuanceAndCashUsedToRepayLongTermDebt</v>
          </cell>
          <cell r="BN48">
            <v>3</v>
          </cell>
          <cell r="BO48" t="str">
            <v>ISO4217:USD</v>
          </cell>
          <cell r="BP48" t="b">
            <v>0</v>
          </cell>
          <cell r="BQ48" t="b">
            <v>0</v>
          </cell>
        </row>
        <row r="49">
          <cell r="B49" t="str">
            <v>Distributions to common shareholders</v>
          </cell>
          <cell r="I49">
            <v>-59298</v>
          </cell>
          <cell r="J49">
            <v>-60441</v>
          </cell>
          <cell r="K49">
            <v>-61348</v>
          </cell>
          <cell r="L49">
            <v>-61388</v>
          </cell>
          <cell r="M49">
            <v>-242475</v>
          </cell>
          <cell r="N49">
            <v>-61502</v>
          </cell>
          <cell r="O49">
            <v>-61596</v>
          </cell>
          <cell r="P49">
            <v>-62408</v>
          </cell>
          <cell r="Q49">
            <v>-62594</v>
          </cell>
          <cell r="R49">
            <v>-248100</v>
          </cell>
          <cell r="S49">
            <v>-63259</v>
          </cell>
          <cell r="T49">
            <v>-65357</v>
          </cell>
          <cell r="U49">
            <v>-66132</v>
          </cell>
          <cell r="V49">
            <v>-66313</v>
          </cell>
          <cell r="W49">
            <v>-261061</v>
          </cell>
          <cell r="X49">
            <v>-66456</v>
          </cell>
          <cell r="Y49">
            <v>-66719</v>
          </cell>
          <cell r="Z49">
            <v>-67420</v>
          </cell>
          <cell r="AA49">
            <v>-208221</v>
          </cell>
          <cell r="AB49">
            <v>-408816</v>
          </cell>
          <cell r="AC49">
            <v>-63683</v>
          </cell>
          <cell r="AD49">
            <v>-63392</v>
          </cell>
          <cell r="AE49">
            <v>-64181</v>
          </cell>
          <cell r="AF49">
            <v>-64246</v>
          </cell>
          <cell r="AG49">
            <v>-255502</v>
          </cell>
          <cell r="AH49">
            <v>-65004</v>
          </cell>
          <cell r="AI49">
            <v>-65046</v>
          </cell>
          <cell r="AJ49">
            <v>-65749</v>
          </cell>
          <cell r="AK49">
            <v>-69899.039999999994</v>
          </cell>
          <cell r="AL49">
            <v>-265698.03999999998</v>
          </cell>
          <cell r="AM49">
            <v>-70598.030400000003</v>
          </cell>
          <cell r="AN49">
            <v>-71304.010704</v>
          </cell>
          <cell r="AO49">
            <v>-72017.050811040011</v>
          </cell>
          <cell r="AP49">
            <v>-72737.221319150412</v>
          </cell>
          <cell r="AQ49">
            <v>-286656.31323419046</v>
          </cell>
          <cell r="AR49">
            <v>-73464.593532341911</v>
          </cell>
          <cell r="AS49">
            <v>-74199.239467665335</v>
          </cell>
          <cell r="AT49">
            <v>-74941.231862342</v>
          </cell>
          <cell r="AU49">
            <v>-75690.644180965421</v>
          </cell>
          <cell r="AV49">
            <v>-298295.70904331468</v>
          </cell>
          <cell r="AW49">
            <v>-76447.550622775074</v>
          </cell>
          <cell r="AX49">
            <v>-77212.026129002828</v>
          </cell>
          <cell r="AY49">
            <v>-77984.146390292852</v>
          </cell>
          <cell r="AZ49">
            <v>-78763.987854195788</v>
          </cell>
          <cell r="BA49">
            <v>-310407.71099626657</v>
          </cell>
          <cell r="BM49" t="str">
            <v>mstag:cashDividendsPaid</v>
          </cell>
          <cell r="BN49">
            <v>3</v>
          </cell>
          <cell r="BO49" t="str">
            <v>ISO4217:USD</v>
          </cell>
          <cell r="BP49" t="b">
            <v>1</v>
          </cell>
          <cell r="BQ49" t="b">
            <v>0</v>
          </cell>
        </row>
        <row r="50">
          <cell r="B50" t="str">
            <v>Distributions to preferred shareholders</v>
          </cell>
          <cell r="I50">
            <v>-12108</v>
          </cell>
          <cell r="J50">
            <v>-12107</v>
          </cell>
          <cell r="K50">
            <v>-11753</v>
          </cell>
          <cell r="L50">
            <v>-11085</v>
          </cell>
          <cell r="M50">
            <v>-47053</v>
          </cell>
          <cell r="N50">
            <v>-8752</v>
          </cell>
          <cell r="O50">
            <v>-8752</v>
          </cell>
          <cell r="P50">
            <v>-8751</v>
          </cell>
          <cell r="Q50">
            <v>-11066</v>
          </cell>
          <cell r="R50">
            <v>-37321</v>
          </cell>
          <cell r="S50">
            <v>-6381</v>
          </cell>
          <cell r="T50">
            <v>-8807</v>
          </cell>
          <cell r="U50">
            <v>-8320</v>
          </cell>
          <cell r="V50">
            <v>-8320</v>
          </cell>
          <cell r="W50">
            <v>-31828</v>
          </cell>
          <cell r="X50">
            <v>-11620</v>
          </cell>
          <cell r="Y50">
            <v>-11620</v>
          </cell>
          <cell r="Z50">
            <v>-11619</v>
          </cell>
          <cell r="AA50">
            <v>-11620</v>
          </cell>
          <cell r="AB50">
            <v>-46479</v>
          </cell>
          <cell r="AC50">
            <v>-12712</v>
          </cell>
          <cell r="AD50">
            <v>-13255</v>
          </cell>
          <cell r="AE50">
            <v>-15226</v>
          </cell>
          <cell r="AF50">
            <v>-15226</v>
          </cell>
          <cell r="AG50">
            <v>-56419</v>
          </cell>
          <cell r="AH50">
            <v>-15226</v>
          </cell>
          <cell r="AI50">
            <v>-15226</v>
          </cell>
          <cell r="AJ50">
            <v>-15227</v>
          </cell>
          <cell r="AK50">
            <v>-16096</v>
          </cell>
          <cell r="AL50">
            <v>-61775</v>
          </cell>
          <cell r="AM50">
            <v>-12613</v>
          </cell>
          <cell r="AN50">
            <v>-12613</v>
          </cell>
          <cell r="AO50">
            <v>-12613</v>
          </cell>
          <cell r="AP50">
            <v>-12613</v>
          </cell>
          <cell r="AQ50">
            <v>-50452</v>
          </cell>
          <cell r="AR50">
            <v>-12613</v>
          </cell>
          <cell r="AS50">
            <v>-12613</v>
          </cell>
          <cell r="AT50">
            <v>-12613</v>
          </cell>
          <cell r="AU50">
            <v>-12613</v>
          </cell>
          <cell r="AV50">
            <v>-50452</v>
          </cell>
          <cell r="AW50">
            <v>-12613</v>
          </cell>
          <cell r="AX50">
            <v>-12613</v>
          </cell>
          <cell r="AY50">
            <v>-12613</v>
          </cell>
          <cell r="AZ50">
            <v>-12613</v>
          </cell>
          <cell r="BA50">
            <v>-50452</v>
          </cell>
          <cell r="BM50" t="str">
            <v>mstag:cashDividendsPaid</v>
          </cell>
          <cell r="BN50">
            <v>3</v>
          </cell>
          <cell r="BO50" t="str">
            <v>ISO4217:USD</v>
          </cell>
          <cell r="BP50" t="b">
            <v>1</v>
          </cell>
          <cell r="BQ50" t="b">
            <v>0</v>
          </cell>
        </row>
        <row r="51">
          <cell r="B51" t="str">
            <v>Distributions to preferred unitholders</v>
          </cell>
          <cell r="I51">
            <v>-2102</v>
          </cell>
          <cell r="J51">
            <v>-2102</v>
          </cell>
          <cell r="K51">
            <v>-1955</v>
          </cell>
          <cell r="L51">
            <v>-1400</v>
          </cell>
          <cell r="M51">
            <v>-7559</v>
          </cell>
          <cell r="N51">
            <v>-1402</v>
          </cell>
          <cell r="O51">
            <v>-1402</v>
          </cell>
          <cell r="P51">
            <v>-1401</v>
          </cell>
          <cell r="Q51">
            <v>-654</v>
          </cell>
          <cell r="R51">
            <v>-4859</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M51" t="str">
            <v>mstag:cashDividendsPaid</v>
          </cell>
          <cell r="BN51">
            <v>3</v>
          </cell>
          <cell r="BO51" t="str">
            <v>ISO4217:USD</v>
          </cell>
          <cell r="BP51" t="b">
            <v>1</v>
          </cell>
          <cell r="BQ51" t="b">
            <v>0</v>
          </cell>
        </row>
        <row r="52">
          <cell r="B52" t="str">
            <v>Distributions to minority interest</v>
          </cell>
          <cell r="I52">
            <v>-7796</v>
          </cell>
          <cell r="J52">
            <v>-7145</v>
          </cell>
          <cell r="K52">
            <v>-6824</v>
          </cell>
          <cell r="L52">
            <v>-6811</v>
          </cell>
          <cell r="M52">
            <v>-28576</v>
          </cell>
          <cell r="N52">
            <v>-7453</v>
          </cell>
          <cell r="O52">
            <v>-7030</v>
          </cell>
          <cell r="P52">
            <v>-7039</v>
          </cell>
          <cell r="Q52">
            <v>-6962</v>
          </cell>
          <cell r="R52">
            <v>-28484</v>
          </cell>
          <cell r="S52">
            <v>-6671</v>
          </cell>
          <cell r="T52">
            <v>-6666</v>
          </cell>
          <cell r="U52">
            <v>-6634</v>
          </cell>
          <cell r="V52">
            <v>-6970</v>
          </cell>
          <cell r="W52">
            <v>-26941</v>
          </cell>
          <cell r="X52">
            <v>-6512</v>
          </cell>
          <cell r="Y52">
            <v>-6282</v>
          </cell>
          <cell r="Z52">
            <v>-6347</v>
          </cell>
          <cell r="AA52">
            <v>-21581</v>
          </cell>
          <cell r="AB52">
            <v>-40722</v>
          </cell>
          <cell r="AC52">
            <v>-6366</v>
          </cell>
          <cell r="AD52">
            <v>-6332</v>
          </cell>
          <cell r="AE52">
            <v>-4540</v>
          </cell>
          <cell r="AF52">
            <v>-6969</v>
          </cell>
          <cell r="AG52">
            <v>-24207</v>
          </cell>
          <cell r="AH52">
            <v>-4662</v>
          </cell>
          <cell r="AI52">
            <v>-4644</v>
          </cell>
          <cell r="AJ52">
            <v>-2331</v>
          </cell>
          <cell r="AK52">
            <v>-3910.08</v>
          </cell>
          <cell r="AL52">
            <v>-15547.08</v>
          </cell>
          <cell r="AM52">
            <v>-3910.08</v>
          </cell>
          <cell r="AN52">
            <v>-3910.08</v>
          </cell>
          <cell r="AO52">
            <v>-3910.08</v>
          </cell>
          <cell r="AP52">
            <v>-3910.08</v>
          </cell>
          <cell r="AQ52">
            <v>-15640.32</v>
          </cell>
          <cell r="AR52">
            <v>-3910.08</v>
          </cell>
          <cell r="AS52">
            <v>-3910.08</v>
          </cell>
          <cell r="AT52">
            <v>-3910.08</v>
          </cell>
          <cell r="AU52">
            <v>-3910.08</v>
          </cell>
          <cell r="AV52">
            <v>-15640.32</v>
          </cell>
          <cell r="AW52">
            <v>-3910.08</v>
          </cell>
          <cell r="AX52">
            <v>-3910.08</v>
          </cell>
          <cell r="AY52">
            <v>-3910.08</v>
          </cell>
          <cell r="AZ52">
            <v>-3910.08</v>
          </cell>
          <cell r="BA52">
            <v>-15640.32</v>
          </cell>
          <cell r="BM52" t="str">
            <v>mstag:cashDividendsPaid</v>
          </cell>
          <cell r="BN52">
            <v>3</v>
          </cell>
          <cell r="BO52" t="str">
            <v>ISO4217:USD</v>
          </cell>
          <cell r="BP52" t="b">
            <v>1</v>
          </cell>
          <cell r="BQ52" t="b">
            <v>0</v>
          </cell>
        </row>
        <row r="53">
          <cell r="B53" t="str">
            <v>Deferred financing costs</v>
          </cell>
          <cell r="I53">
            <v>-154</v>
          </cell>
          <cell r="J53">
            <v>-23</v>
          </cell>
          <cell r="K53">
            <v>-2863</v>
          </cell>
          <cell r="L53">
            <v>-223</v>
          </cell>
          <cell r="M53">
            <v>-3263</v>
          </cell>
          <cell r="N53">
            <v>-2701</v>
          </cell>
          <cell r="O53">
            <v>-1391</v>
          </cell>
          <cell r="P53">
            <v>-212</v>
          </cell>
          <cell r="Q53">
            <v>-1563</v>
          </cell>
          <cell r="R53">
            <v>-5867</v>
          </cell>
          <cell r="S53">
            <v>-3963</v>
          </cell>
          <cell r="T53">
            <v>-188</v>
          </cell>
          <cell r="U53">
            <v>-25508</v>
          </cell>
          <cell r="V53">
            <v>-500</v>
          </cell>
          <cell r="W53">
            <v>-30159</v>
          </cell>
          <cell r="X53">
            <v>-462</v>
          </cell>
          <cell r="Y53">
            <v>-7</v>
          </cell>
          <cell r="Z53">
            <v>-60</v>
          </cell>
          <cell r="AA53">
            <v>-70</v>
          </cell>
          <cell r="AB53">
            <v>-599</v>
          </cell>
          <cell r="AC53">
            <v>-18779</v>
          </cell>
          <cell r="AD53">
            <v>-255</v>
          </cell>
          <cell r="AE53">
            <v>-8164</v>
          </cell>
          <cell r="AF53">
            <v>-40695</v>
          </cell>
          <cell r="AG53">
            <v>-67893</v>
          </cell>
          <cell r="AH53">
            <v>-1403</v>
          </cell>
          <cell r="AI53">
            <v>-20</v>
          </cell>
          <cell r="AJ53">
            <v>-3337</v>
          </cell>
          <cell r="AK53">
            <v>0</v>
          </cell>
          <cell r="AL53">
            <v>-4760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M53" t="str">
            <v>mstag:otherCashFlow</v>
          </cell>
          <cell r="BN53">
            <v>3</v>
          </cell>
          <cell r="BO53" t="str">
            <v>ISO4217:USD</v>
          </cell>
          <cell r="BP53" t="b">
            <v>0</v>
          </cell>
          <cell r="BQ53" t="b">
            <v>0</v>
          </cell>
        </row>
        <row r="55">
          <cell r="B55" t="str">
            <v>Net cash provided by (used for)  financing activities</v>
          </cell>
          <cell r="I55">
            <v>-159020</v>
          </cell>
          <cell r="J55">
            <v>-72281</v>
          </cell>
          <cell r="K55">
            <v>-4831</v>
          </cell>
          <cell r="L55">
            <v>12439</v>
          </cell>
          <cell r="M55">
            <v>-223693</v>
          </cell>
          <cell r="N55">
            <v>-2461</v>
          </cell>
          <cell r="O55">
            <v>-28604</v>
          </cell>
          <cell r="P55">
            <v>42909</v>
          </cell>
          <cell r="Q55">
            <v>-64558</v>
          </cell>
          <cell r="R55">
            <v>-52714</v>
          </cell>
          <cell r="S55">
            <v>35026</v>
          </cell>
          <cell r="T55">
            <v>46844</v>
          </cell>
          <cell r="U55">
            <v>-9769</v>
          </cell>
          <cell r="V55">
            <v>-27434</v>
          </cell>
          <cell r="W55">
            <v>44667</v>
          </cell>
          <cell r="X55">
            <v>20886</v>
          </cell>
          <cell r="Y55">
            <v>156370</v>
          </cell>
          <cell r="Z55">
            <v>-837143</v>
          </cell>
          <cell r="AA55">
            <v>-51291</v>
          </cell>
          <cell r="AB55">
            <v>-711178</v>
          </cell>
          <cell r="AC55">
            <v>882689</v>
          </cell>
          <cell r="AD55">
            <v>163246</v>
          </cell>
          <cell r="AE55">
            <v>139290</v>
          </cell>
          <cell r="AF55">
            <v>-182303</v>
          </cell>
          <cell r="AG55">
            <v>1002922</v>
          </cell>
          <cell r="AH55">
            <v>-79502</v>
          </cell>
          <cell r="AI55">
            <v>25427</v>
          </cell>
          <cell r="AJ55">
            <v>13866</v>
          </cell>
          <cell r="AK55">
            <v>209336.68000000002</v>
          </cell>
          <cell r="AL55">
            <v>169127.68000000002</v>
          </cell>
          <cell r="AM55">
            <v>-32459.15022507387</v>
          </cell>
          <cell r="AN55">
            <v>134724.3866880392</v>
          </cell>
          <cell r="AO55">
            <v>95102.816976808492</v>
          </cell>
          <cell r="AP55">
            <v>-4031.7797194598807</v>
          </cell>
          <cell r="AQ55">
            <v>193336.27372031394</v>
          </cell>
          <cell r="AR55">
            <v>-16160.443107020632</v>
          </cell>
          <cell r="AS55">
            <v>-14589.714859725469</v>
          </cell>
          <cell r="AT55">
            <v>-14238.502631537775</v>
          </cell>
          <cell r="AU55">
            <v>-13654.946404851302</v>
          </cell>
          <cell r="AV55">
            <v>-58643.607003135177</v>
          </cell>
          <cell r="AW55">
            <v>-4112.8009705326094</v>
          </cell>
          <cell r="AX55">
            <v>-1378.7847722653369</v>
          </cell>
          <cell r="AY55">
            <v>-1941.3565179127745</v>
          </cell>
          <cell r="AZ55">
            <v>-2304.9197863763966</v>
          </cell>
          <cell r="BA55">
            <v>-9737.8620470871174</v>
          </cell>
        </row>
        <row r="57">
          <cell r="B57" t="str">
            <v>Net increase (decrease) in cash and cash equivalents</v>
          </cell>
          <cell r="I57">
            <v>4027</v>
          </cell>
          <cell r="J57">
            <v>-11005</v>
          </cell>
          <cell r="K57">
            <v>40532</v>
          </cell>
          <cell r="L57">
            <v>-25623</v>
          </cell>
          <cell r="M57">
            <v>7931</v>
          </cell>
          <cell r="N57">
            <v>-4905</v>
          </cell>
          <cell r="O57">
            <v>-838</v>
          </cell>
          <cell r="P57">
            <v>-10740</v>
          </cell>
          <cell r="Q57">
            <v>11701</v>
          </cell>
          <cell r="R57">
            <v>-4782</v>
          </cell>
          <cell r="S57">
            <v>-733</v>
          </cell>
          <cell r="T57">
            <v>-1108</v>
          </cell>
          <cell r="U57">
            <v>-10791</v>
          </cell>
          <cell r="V57">
            <v>5589</v>
          </cell>
          <cell r="W57">
            <v>-7043</v>
          </cell>
          <cell r="X57">
            <v>-1910</v>
          </cell>
          <cell r="Y57">
            <v>2808</v>
          </cell>
          <cell r="Z57">
            <v>118380</v>
          </cell>
          <cell r="AA57">
            <v>-98135</v>
          </cell>
          <cell r="AB57">
            <v>21143</v>
          </cell>
          <cell r="AC57">
            <v>-26732</v>
          </cell>
          <cell r="AD57">
            <v>7039</v>
          </cell>
          <cell r="AE57">
            <v>17961</v>
          </cell>
          <cell r="AF57">
            <v>43483</v>
          </cell>
          <cell r="AG57">
            <v>41751</v>
          </cell>
          <cell r="AH57">
            <v>-58991</v>
          </cell>
          <cell r="AI57">
            <v>35964</v>
          </cell>
          <cell r="AJ57">
            <v>-27032</v>
          </cell>
          <cell r="AK57">
            <v>29587.958500000037</v>
          </cell>
          <cell r="AL57">
            <v>-20471.041499999963</v>
          </cell>
          <cell r="AM57">
            <v>-38011.958500000022</v>
          </cell>
          <cell r="AN57">
            <v>0</v>
          </cell>
          <cell r="AO57">
            <v>0</v>
          </cell>
          <cell r="AP57">
            <v>-4.1836756281554699E-11</v>
          </cell>
          <cell r="AQ57">
            <v>-38011.958500000037</v>
          </cell>
          <cell r="AR57">
            <v>3.092281986027956E-11</v>
          </cell>
          <cell r="AS57">
            <v>-4.1836756281554699E-11</v>
          </cell>
          <cell r="AT57">
            <v>3.092281986027956E-11</v>
          </cell>
          <cell r="AU57">
            <v>-4.1836756281554699E-11</v>
          </cell>
          <cell r="AV57">
            <v>1.3824319466948509E-10</v>
          </cell>
          <cell r="AW57">
            <v>-5.6388671509921551E-11</v>
          </cell>
          <cell r="AX57">
            <v>-1.1459633242338896E-10</v>
          </cell>
          <cell r="AY57">
            <v>1.8189894035458565E-12</v>
          </cell>
          <cell r="AZ57">
            <v>1.6370904631912708E-11</v>
          </cell>
          <cell r="BA57">
            <v>-6.5483618527650833E-11</v>
          </cell>
        </row>
        <row r="59">
          <cell r="B59" t="str">
            <v>Cash and cash equivalents at beginning of period</v>
          </cell>
          <cell r="I59">
            <v>9483</v>
          </cell>
          <cell r="J59">
            <v>13510</v>
          </cell>
          <cell r="K59">
            <v>2505</v>
          </cell>
          <cell r="L59">
            <v>43037</v>
          </cell>
          <cell r="M59">
            <v>9483</v>
          </cell>
          <cell r="N59">
            <v>17414</v>
          </cell>
          <cell r="O59">
            <v>12509</v>
          </cell>
          <cell r="P59">
            <v>11671</v>
          </cell>
          <cell r="Q59">
            <v>931</v>
          </cell>
          <cell r="R59">
            <v>17414</v>
          </cell>
          <cell r="S59">
            <v>12632</v>
          </cell>
          <cell r="T59">
            <v>11899</v>
          </cell>
          <cell r="U59">
            <v>10791</v>
          </cell>
          <cell r="V59">
            <v>0</v>
          </cell>
          <cell r="W59">
            <v>12632</v>
          </cell>
          <cell r="X59">
            <v>5589</v>
          </cell>
          <cell r="Y59">
            <v>3679</v>
          </cell>
          <cell r="Z59">
            <v>6487</v>
          </cell>
          <cell r="AA59">
            <v>124867</v>
          </cell>
          <cell r="AB59">
            <v>5589</v>
          </cell>
          <cell r="AC59">
            <v>26732</v>
          </cell>
          <cell r="AD59">
            <v>0</v>
          </cell>
          <cell r="AE59">
            <v>7039</v>
          </cell>
          <cell r="AF59">
            <v>25000</v>
          </cell>
          <cell r="AG59">
            <v>26732</v>
          </cell>
          <cell r="AH59">
            <v>68483</v>
          </cell>
          <cell r="AI59">
            <v>9492</v>
          </cell>
          <cell r="AJ59">
            <v>45456</v>
          </cell>
          <cell r="AK59">
            <v>18424</v>
          </cell>
          <cell r="AL59">
            <v>68483</v>
          </cell>
          <cell r="AM59">
            <v>48011.958500000037</v>
          </cell>
          <cell r="AN59">
            <v>10000.000000000015</v>
          </cell>
          <cell r="AO59">
            <v>10000.000000000015</v>
          </cell>
          <cell r="AP59">
            <v>10000.000000000015</v>
          </cell>
          <cell r="AQ59">
            <v>48011.958500000037</v>
          </cell>
          <cell r="AR59">
            <v>10000</v>
          </cell>
          <cell r="AS59">
            <v>10000.000000000031</v>
          </cell>
          <cell r="AT59">
            <v>9999.9999999999891</v>
          </cell>
          <cell r="AU59">
            <v>10000.00000000002</v>
          </cell>
          <cell r="AV59">
            <v>10000</v>
          </cell>
          <cell r="AW59">
            <v>10000.000000000138</v>
          </cell>
          <cell r="AX59">
            <v>10000.000000000082</v>
          </cell>
          <cell r="AY59">
            <v>9999.9999999999673</v>
          </cell>
          <cell r="AZ59">
            <v>9999.9999999999691</v>
          </cell>
          <cell r="BA59">
            <v>10000.000000000138</v>
          </cell>
        </row>
        <row r="60">
          <cell r="B60" t="str">
            <v>Cash and cash equivalents at end of period</v>
          </cell>
          <cell r="I60">
            <v>13510</v>
          </cell>
          <cell r="J60">
            <v>2505</v>
          </cell>
          <cell r="K60">
            <v>43037</v>
          </cell>
          <cell r="L60">
            <v>17414</v>
          </cell>
          <cell r="M60">
            <v>17414</v>
          </cell>
          <cell r="N60">
            <v>12509</v>
          </cell>
          <cell r="O60">
            <v>11671</v>
          </cell>
          <cell r="P60">
            <v>931</v>
          </cell>
          <cell r="Q60">
            <v>12632</v>
          </cell>
          <cell r="R60">
            <v>12632</v>
          </cell>
          <cell r="S60">
            <v>11899</v>
          </cell>
          <cell r="T60">
            <v>10791</v>
          </cell>
          <cell r="U60">
            <v>0</v>
          </cell>
          <cell r="V60">
            <v>5589</v>
          </cell>
          <cell r="W60">
            <v>5589</v>
          </cell>
          <cell r="X60">
            <v>3679</v>
          </cell>
          <cell r="Y60">
            <v>6487</v>
          </cell>
          <cell r="Z60">
            <v>124867</v>
          </cell>
          <cell r="AA60">
            <v>26732</v>
          </cell>
          <cell r="AB60">
            <v>26732</v>
          </cell>
          <cell r="AC60">
            <v>0</v>
          </cell>
          <cell r="AD60">
            <v>7039</v>
          </cell>
          <cell r="AE60">
            <v>25000</v>
          </cell>
          <cell r="AF60">
            <v>68483</v>
          </cell>
          <cell r="AG60">
            <v>68483</v>
          </cell>
          <cell r="AH60">
            <v>9492</v>
          </cell>
          <cell r="AI60">
            <v>45456</v>
          </cell>
          <cell r="AJ60">
            <v>18424</v>
          </cell>
          <cell r="AK60">
            <v>48011.958500000037</v>
          </cell>
          <cell r="AL60">
            <v>48011.958500000037</v>
          </cell>
          <cell r="AM60">
            <v>10000.000000000015</v>
          </cell>
          <cell r="AN60">
            <v>10000.000000000015</v>
          </cell>
          <cell r="AO60">
            <v>10000.000000000015</v>
          </cell>
          <cell r="AP60">
            <v>9999.9999999999727</v>
          </cell>
          <cell r="AQ60">
            <v>10000</v>
          </cell>
          <cell r="AR60">
            <v>10000.000000000031</v>
          </cell>
          <cell r="AS60">
            <v>9999.9999999999891</v>
          </cell>
          <cell r="AT60">
            <v>10000.00000000002</v>
          </cell>
          <cell r="AU60">
            <v>9999.9999999999782</v>
          </cell>
          <cell r="AV60">
            <v>10000.000000000138</v>
          </cell>
          <cell r="AW60">
            <v>10000.000000000082</v>
          </cell>
          <cell r="AX60">
            <v>9999.9999999999673</v>
          </cell>
          <cell r="AY60">
            <v>9999.9999999999691</v>
          </cell>
          <cell r="AZ60">
            <v>9999.9999999999854</v>
          </cell>
          <cell r="BA60">
            <v>10000.000000000073</v>
          </cell>
        </row>
        <row r="62">
          <cell r="B62" t="str">
            <v>Common Dividends (MW)</v>
          </cell>
          <cell r="I62">
            <v>-59298</v>
          </cell>
          <cell r="J62">
            <v>-60441</v>
          </cell>
          <cell r="K62">
            <v>-61348</v>
          </cell>
          <cell r="L62">
            <v>-63388</v>
          </cell>
          <cell r="M62">
            <v>-244475</v>
          </cell>
          <cell r="N62">
            <v>-61502</v>
          </cell>
          <cell r="O62">
            <v>-61596</v>
          </cell>
          <cell r="P62">
            <v>-71935</v>
          </cell>
          <cell r="Q62">
            <v>-62594</v>
          </cell>
          <cell r="R62">
            <v>-257627</v>
          </cell>
          <cell r="S62">
            <v>-63259</v>
          </cell>
          <cell r="T62">
            <v>-65357</v>
          </cell>
          <cell r="U62">
            <v>-66132</v>
          </cell>
          <cell r="V62">
            <v>-66313</v>
          </cell>
          <cell r="W62">
            <v>-261061</v>
          </cell>
          <cell r="X62">
            <v>-66456</v>
          </cell>
          <cell r="Y62">
            <v>-66759</v>
          </cell>
          <cell r="Z62">
            <v>-67463</v>
          </cell>
          <cell r="AA62">
            <v>-208666</v>
          </cell>
          <cell r="AB62">
            <v>-409344</v>
          </cell>
          <cell r="AC62">
            <v>-63741</v>
          </cell>
          <cell r="AD62">
            <v>-63500</v>
          </cell>
          <cell r="AE62">
            <v>-64418</v>
          </cell>
          <cell r="AF62">
            <v>-64390</v>
          </cell>
          <cell r="AG62">
            <v>-256049</v>
          </cell>
          <cell r="AH62">
            <v>-66925</v>
          </cell>
          <cell r="AI62">
            <v>-65266</v>
          </cell>
          <cell r="AJ62">
            <v>-66196</v>
          </cell>
          <cell r="AK62">
            <v>-70231</v>
          </cell>
          <cell r="AL62">
            <v>-268618</v>
          </cell>
          <cell r="AM62">
            <v>-70598.030400000003</v>
          </cell>
          <cell r="AN62">
            <v>-71304.010704</v>
          </cell>
          <cell r="AO62">
            <v>-72017.050811040011</v>
          </cell>
          <cell r="AP62">
            <v>-72737.221319150412</v>
          </cell>
          <cell r="AQ62">
            <v>-286656.31323419046</v>
          </cell>
          <cell r="AR62">
            <v>-73464.593532341911</v>
          </cell>
          <cell r="AS62">
            <v>-74199.239467665335</v>
          </cell>
          <cell r="AT62">
            <v>-74941.231862342</v>
          </cell>
          <cell r="AU62">
            <v>-75690.644180965421</v>
          </cell>
          <cell r="AV62">
            <v>-298295.70904331468</v>
          </cell>
          <cell r="AW62">
            <v>-76447.550622775074</v>
          </cell>
          <cell r="AX62">
            <v>-77212.026129002828</v>
          </cell>
          <cell r="AY62">
            <v>-77984.146390292852</v>
          </cell>
          <cell r="AZ62">
            <v>-78763.987854195788</v>
          </cell>
          <cell r="BA62">
            <v>-310407.71099626657</v>
          </cell>
          <cell r="BM62" t="str">
            <v>mstag:commonDividends</v>
          </cell>
          <cell r="BN62">
            <v>3</v>
          </cell>
          <cell r="BO62" t="str">
            <v>ISO4217:USD</v>
          </cell>
          <cell r="BP62" t="b">
            <v>1</v>
          </cell>
          <cell r="BQ62" t="b">
            <v>0</v>
          </cell>
        </row>
        <row r="64">
          <cell r="B64" t="str">
            <v>Change in OCI</v>
          </cell>
          <cell r="AB64">
            <v>0</v>
          </cell>
          <cell r="BM64" t="str">
            <v>mstag:changeInAccumulatedOtherComprehensiveIncomeLossOrOtherReserves</v>
          </cell>
          <cell r="BN64">
            <v>3</v>
          </cell>
          <cell r="BO64" t="str">
            <v>ISO4217:USD</v>
          </cell>
          <cell r="BP64" t="b">
            <v>0</v>
          </cell>
          <cell r="BQ64" t="b">
            <v>0</v>
          </cell>
        </row>
        <row r="66">
          <cell r="B66" t="str">
            <v>CFS with inputs</v>
          </cell>
        </row>
        <row r="68">
          <cell r="B68" t="str">
            <v>Net income</v>
          </cell>
          <cell r="I68">
            <v>57386</v>
          </cell>
          <cell r="J68">
            <v>118021</v>
          </cell>
          <cell r="K68">
            <v>168946</v>
          </cell>
          <cell r="L68">
            <v>206325</v>
          </cell>
          <cell r="N68">
            <v>46229</v>
          </cell>
          <cell r="O68">
            <v>89519</v>
          </cell>
          <cell r="P68">
            <v>139119</v>
          </cell>
          <cell r="Q68">
            <v>199232</v>
          </cell>
          <cell r="S68">
            <v>44100</v>
          </cell>
          <cell r="T68">
            <v>87248</v>
          </cell>
          <cell r="U68">
            <v>138095</v>
          </cell>
          <cell r="V68">
            <v>188701</v>
          </cell>
          <cell r="X68">
            <v>37101</v>
          </cell>
          <cell r="Y68">
            <v>89020</v>
          </cell>
          <cell r="Z68">
            <v>313987</v>
          </cell>
          <cell r="AA68">
            <v>355662</v>
          </cell>
          <cell r="AC68">
            <v>26793</v>
          </cell>
          <cell r="AD68">
            <v>61765</v>
          </cell>
          <cell r="AE68">
            <v>138725</v>
          </cell>
          <cell r="AF68">
            <v>204147</v>
          </cell>
          <cell r="AH68">
            <v>83789</v>
          </cell>
          <cell r="AI68">
            <v>136091</v>
          </cell>
        </row>
        <row r="69">
          <cell r="B69" t="str">
            <v>Depreciation of buildings and tenant improvements</v>
          </cell>
          <cell r="I69">
            <v>37186</v>
          </cell>
          <cell r="J69">
            <v>75584</v>
          </cell>
          <cell r="K69">
            <v>114569</v>
          </cell>
          <cell r="L69">
            <v>154565</v>
          </cell>
          <cell r="N69">
            <v>41771</v>
          </cell>
          <cell r="O69">
            <v>82915</v>
          </cell>
          <cell r="P69">
            <v>125191</v>
          </cell>
          <cell r="Q69">
            <v>168959</v>
          </cell>
          <cell r="S69">
            <v>43012</v>
          </cell>
          <cell r="T69">
            <v>87634</v>
          </cell>
          <cell r="U69">
            <v>138873</v>
          </cell>
          <cell r="V69">
            <v>189119</v>
          </cell>
          <cell r="X69">
            <v>51563</v>
          </cell>
          <cell r="Y69">
            <v>104013</v>
          </cell>
          <cell r="Z69">
            <v>157260</v>
          </cell>
          <cell r="AA69">
            <v>204377</v>
          </cell>
          <cell r="AC69">
            <v>51271</v>
          </cell>
          <cell r="AD69">
            <v>103658</v>
          </cell>
          <cell r="AE69">
            <v>155156</v>
          </cell>
          <cell r="AF69">
            <v>206999</v>
          </cell>
          <cell r="AH69">
            <v>52143</v>
          </cell>
          <cell r="AI69">
            <v>105114</v>
          </cell>
        </row>
        <row r="70">
          <cell r="B70" t="str">
            <v>Amortization of deferred leasing and other costs</v>
          </cell>
          <cell r="I70">
            <v>5633</v>
          </cell>
          <cell r="J70">
            <v>10228</v>
          </cell>
          <cell r="K70">
            <v>16317</v>
          </cell>
          <cell r="L70">
            <v>21056</v>
          </cell>
          <cell r="N70">
            <v>5901</v>
          </cell>
          <cell r="O70">
            <v>11374</v>
          </cell>
          <cell r="P70">
            <v>17348</v>
          </cell>
          <cell r="Q70">
            <v>27275</v>
          </cell>
          <cell r="S70">
            <v>9385</v>
          </cell>
          <cell r="T70">
            <v>18014</v>
          </cell>
          <cell r="U70">
            <v>28286</v>
          </cell>
          <cell r="V70">
            <v>39463</v>
          </cell>
          <cell r="X70">
            <v>11663</v>
          </cell>
          <cell r="Y70">
            <v>23337</v>
          </cell>
          <cell r="Z70">
            <v>37713</v>
          </cell>
          <cell r="AA70">
            <v>49793</v>
          </cell>
          <cell r="AC70">
            <v>9311</v>
          </cell>
          <cell r="AD70">
            <v>22091</v>
          </cell>
          <cell r="AE70">
            <v>34956</v>
          </cell>
          <cell r="AF70">
            <v>47269</v>
          </cell>
          <cell r="AH70">
            <v>15596</v>
          </cell>
          <cell r="AI70">
            <v>31032</v>
          </cell>
        </row>
        <row r="71">
          <cell r="B71" t="str">
            <v>Amortization of deferred financing costs</v>
          </cell>
          <cell r="I71">
            <v>965</v>
          </cell>
          <cell r="J71">
            <v>1923</v>
          </cell>
          <cell r="K71">
            <v>2815</v>
          </cell>
          <cell r="L71">
            <v>3725</v>
          </cell>
          <cell r="N71">
            <v>999</v>
          </cell>
          <cell r="O71">
            <v>1960</v>
          </cell>
          <cell r="P71">
            <v>2756</v>
          </cell>
          <cell r="Q71">
            <v>3626</v>
          </cell>
          <cell r="S71">
            <v>1067</v>
          </cell>
          <cell r="T71">
            <v>2068</v>
          </cell>
          <cell r="U71">
            <v>3366</v>
          </cell>
          <cell r="V71">
            <v>4904</v>
          </cell>
          <cell r="X71">
            <v>1544</v>
          </cell>
          <cell r="Y71">
            <v>3087</v>
          </cell>
          <cell r="Z71">
            <v>4687</v>
          </cell>
          <cell r="AA71">
            <v>6154</v>
          </cell>
          <cell r="AC71">
            <v>1707</v>
          </cell>
          <cell r="AD71">
            <v>3818</v>
          </cell>
          <cell r="AE71">
            <v>6093</v>
          </cell>
          <cell r="AF71">
            <v>8617</v>
          </cell>
          <cell r="AH71">
            <v>2865</v>
          </cell>
          <cell r="AI71">
            <v>5440</v>
          </cell>
        </row>
        <row r="72">
          <cell r="B72" t="str">
            <v>Minority interest in earnings</v>
          </cell>
          <cell r="I72">
            <v>8234</v>
          </cell>
          <cell r="J72">
            <v>16071</v>
          </cell>
          <cell r="K72">
            <v>22576</v>
          </cell>
          <cell r="L72">
            <v>27219</v>
          </cell>
          <cell r="N72">
            <v>5550</v>
          </cell>
          <cell r="O72">
            <v>11161</v>
          </cell>
          <cell r="P72">
            <v>17220</v>
          </cell>
          <cell r="Q72">
            <v>20036</v>
          </cell>
          <cell r="S72">
            <v>3644</v>
          </cell>
          <cell r="T72">
            <v>8272</v>
          </cell>
          <cell r="U72">
            <v>12897</v>
          </cell>
          <cell r="V72">
            <v>17184</v>
          </cell>
          <cell r="X72">
            <v>2715</v>
          </cell>
          <cell r="Y72">
            <v>6714</v>
          </cell>
          <cell r="Z72">
            <v>28439</v>
          </cell>
          <cell r="AA72">
            <v>31493</v>
          </cell>
          <cell r="AC72">
            <v>1361</v>
          </cell>
          <cell r="AD72">
            <v>3786</v>
          </cell>
          <cell r="AE72">
            <v>10153</v>
          </cell>
          <cell r="AF72">
            <v>14953</v>
          </cell>
          <cell r="AH72">
            <v>4924</v>
          </cell>
          <cell r="AI72">
            <v>7610</v>
          </cell>
        </row>
        <row r="73">
          <cell r="B73" t="str">
            <v>Straight-line rent adjustment</v>
          </cell>
          <cell r="I73">
            <v>-1386</v>
          </cell>
          <cell r="J73">
            <v>-4099</v>
          </cell>
          <cell r="K73">
            <v>-8085</v>
          </cell>
          <cell r="L73">
            <v>-12500</v>
          </cell>
          <cell r="N73">
            <v>-4574</v>
          </cell>
          <cell r="O73">
            <v>-11453</v>
          </cell>
          <cell r="P73">
            <v>-16971</v>
          </cell>
          <cell r="Q73">
            <v>-22387</v>
          </cell>
          <cell r="S73">
            <v>-5892</v>
          </cell>
          <cell r="T73">
            <v>-10856</v>
          </cell>
          <cell r="U73">
            <v>-15334</v>
          </cell>
          <cell r="V73">
            <v>-22436</v>
          </cell>
          <cell r="X73">
            <v>-6170</v>
          </cell>
          <cell r="Y73">
            <v>-11221</v>
          </cell>
          <cell r="Z73">
            <v>-16887</v>
          </cell>
          <cell r="AA73">
            <v>-22519</v>
          </cell>
          <cell r="AC73">
            <v>-5417</v>
          </cell>
          <cell r="AD73">
            <v>-10207</v>
          </cell>
          <cell r="AE73">
            <v>-15263</v>
          </cell>
          <cell r="AF73">
            <v>-20795</v>
          </cell>
          <cell r="AH73">
            <v>-5773</v>
          </cell>
          <cell r="AI73">
            <v>-9592</v>
          </cell>
        </row>
        <row r="74">
          <cell r="B74" t="str">
            <v>Earnings from land and depreciated property sales</v>
          </cell>
          <cell r="I74">
            <v>-1111</v>
          </cell>
          <cell r="J74">
            <v>-5545</v>
          </cell>
          <cell r="K74">
            <v>-10340</v>
          </cell>
          <cell r="L74">
            <v>-1048</v>
          </cell>
          <cell r="N74">
            <v>-11756</v>
          </cell>
          <cell r="O74">
            <v>-13628</v>
          </cell>
          <cell r="P74">
            <v>-18360</v>
          </cell>
          <cell r="Q74">
            <v>-28776</v>
          </cell>
          <cell r="S74">
            <v>-8638</v>
          </cell>
          <cell r="T74">
            <v>-10437</v>
          </cell>
          <cell r="U74">
            <v>-28697</v>
          </cell>
          <cell r="V74">
            <v>-36449</v>
          </cell>
          <cell r="X74">
            <v>-3843</v>
          </cell>
          <cell r="Y74">
            <v>-12242</v>
          </cell>
          <cell r="Z74">
            <v>-225371</v>
          </cell>
          <cell r="AA74">
            <v>-238060</v>
          </cell>
          <cell r="AC74">
            <v>-2395</v>
          </cell>
          <cell r="AD74">
            <v>-4449</v>
          </cell>
          <cell r="AE74">
            <v>-46734</v>
          </cell>
          <cell r="AF74">
            <v>-49614</v>
          </cell>
          <cell r="AH74">
            <v>-65717</v>
          </cell>
          <cell r="AI74">
            <v>-88489</v>
          </cell>
        </row>
        <row r="75">
          <cell r="B75" t="str">
            <v>Build-to-suit operations, net</v>
          </cell>
          <cell r="I75">
            <v>101178</v>
          </cell>
          <cell r="J75">
            <v>163639</v>
          </cell>
          <cell r="K75">
            <v>175658</v>
          </cell>
          <cell r="L75">
            <v>168199</v>
          </cell>
          <cell r="N75">
            <v>-15257</v>
          </cell>
          <cell r="O75">
            <v>-20027</v>
          </cell>
          <cell r="P75">
            <v>-37196</v>
          </cell>
          <cell r="Q75">
            <v>-20899</v>
          </cell>
          <cell r="S75">
            <v>-2672</v>
          </cell>
          <cell r="T75">
            <v>-3436</v>
          </cell>
          <cell r="U75">
            <v>-3713</v>
          </cell>
          <cell r="V75">
            <v>-41</v>
          </cell>
          <cell r="X75">
            <v>5562</v>
          </cell>
          <cell r="Y75">
            <v>14470</v>
          </cell>
          <cell r="Z75">
            <v>12783</v>
          </cell>
          <cell r="AA75">
            <v>-6295</v>
          </cell>
          <cell r="AC75">
            <v>-36042</v>
          </cell>
          <cell r="AD75">
            <v>-93673</v>
          </cell>
          <cell r="AE75">
            <v>-163106</v>
          </cell>
          <cell r="AF75">
            <v>-140692</v>
          </cell>
          <cell r="AH75">
            <v>-49989</v>
          </cell>
          <cell r="AI75">
            <v>-123267</v>
          </cell>
        </row>
        <row r="76">
          <cell r="B76" t="str">
            <v>Construction contracts, net</v>
          </cell>
          <cell r="I76">
            <v>-10598</v>
          </cell>
          <cell r="J76">
            <v>-13537</v>
          </cell>
          <cell r="K76">
            <v>-16584</v>
          </cell>
          <cell r="L76">
            <v>-11656</v>
          </cell>
          <cell r="N76">
            <v>-8491</v>
          </cell>
          <cell r="O76">
            <v>524</v>
          </cell>
          <cell r="P76">
            <v>-6924</v>
          </cell>
          <cell r="Q76">
            <v>-3210</v>
          </cell>
          <cell r="S76">
            <v>-2689</v>
          </cell>
          <cell r="T76">
            <v>-7742</v>
          </cell>
          <cell r="U76">
            <v>-944</v>
          </cell>
          <cell r="V76">
            <v>-11047</v>
          </cell>
          <cell r="X76">
            <v>-9935</v>
          </cell>
          <cell r="Y76">
            <v>-13696</v>
          </cell>
          <cell r="Z76">
            <v>4542</v>
          </cell>
          <cell r="AA76">
            <v>16196</v>
          </cell>
          <cell r="AC76">
            <v>-3521</v>
          </cell>
          <cell r="AD76">
            <v>-3878</v>
          </cell>
          <cell r="AE76">
            <v>-208</v>
          </cell>
          <cell r="AF76">
            <v>1749</v>
          </cell>
          <cell r="AH76">
            <v>6764</v>
          </cell>
          <cell r="AI76">
            <v>8687</v>
          </cell>
        </row>
        <row r="77">
          <cell r="B77" t="str">
            <v>Other accrued revenues and expenses, net</v>
          </cell>
          <cell r="I77">
            <v>5627</v>
          </cell>
          <cell r="J77">
            <v>6602</v>
          </cell>
          <cell r="K77">
            <v>8902</v>
          </cell>
          <cell r="L77">
            <v>9136</v>
          </cell>
          <cell r="N77">
            <v>-7898</v>
          </cell>
          <cell r="O77">
            <v>2671</v>
          </cell>
          <cell r="P77">
            <v>5616</v>
          </cell>
          <cell r="Q77">
            <v>15989</v>
          </cell>
          <cell r="S77">
            <v>-15801</v>
          </cell>
          <cell r="T77">
            <v>-13021</v>
          </cell>
          <cell r="U77">
            <v>-8649</v>
          </cell>
          <cell r="V77">
            <v>-1070</v>
          </cell>
          <cell r="X77">
            <v>-24482</v>
          </cell>
          <cell r="Y77">
            <v>-4015</v>
          </cell>
          <cell r="Z77">
            <v>7643</v>
          </cell>
          <cell r="AA77">
            <v>10513</v>
          </cell>
          <cell r="AC77">
            <v>-10945</v>
          </cell>
          <cell r="AD77">
            <v>12932</v>
          </cell>
          <cell r="AE77">
            <v>-10117</v>
          </cell>
          <cell r="AF77">
            <v>21429</v>
          </cell>
          <cell r="AH77">
            <v>-33925</v>
          </cell>
          <cell r="AI77">
            <v>6698</v>
          </cell>
        </row>
        <row r="78">
          <cell r="B78" t="str">
            <v>Op. dist received in excess of equity in unconsol.</v>
          </cell>
          <cell r="I78">
            <v>5288</v>
          </cell>
          <cell r="J78">
            <v>5308</v>
          </cell>
          <cell r="K78">
            <v>3044</v>
          </cell>
          <cell r="L78">
            <v>4575</v>
          </cell>
          <cell r="N78">
            <v>6408</v>
          </cell>
          <cell r="O78">
            <v>7022</v>
          </cell>
          <cell r="P78">
            <v>6974</v>
          </cell>
          <cell r="Q78">
            <v>8783</v>
          </cell>
          <cell r="S78">
            <v>3399</v>
          </cell>
          <cell r="T78">
            <v>6770</v>
          </cell>
          <cell r="U78">
            <v>9947</v>
          </cell>
          <cell r="V78">
            <v>10447</v>
          </cell>
          <cell r="X78">
            <v>-867</v>
          </cell>
          <cell r="Y78">
            <v>-5149</v>
          </cell>
          <cell r="Z78">
            <v>-894</v>
          </cell>
          <cell r="AA78">
            <v>-3055</v>
          </cell>
          <cell r="AC78">
            <v>-3323</v>
          </cell>
          <cell r="AD78">
            <v>-11520</v>
          </cell>
          <cell r="AE78">
            <v>-4990</v>
          </cell>
          <cell r="AF78">
            <v>-18339</v>
          </cell>
          <cell r="AH78">
            <v>137</v>
          </cell>
          <cell r="AI78">
            <v>2159</v>
          </cell>
        </row>
        <row r="80">
          <cell r="B80" t="str">
            <v>Net cash provided by operating activities</v>
          </cell>
          <cell r="D80">
            <v>0</v>
          </cell>
          <cell r="E80">
            <v>0</v>
          </cell>
          <cell r="F80">
            <v>0</v>
          </cell>
          <cell r="G80">
            <v>0</v>
          </cell>
          <cell r="I80">
            <v>208402</v>
          </cell>
          <cell r="J80">
            <v>374195</v>
          </cell>
          <cell r="K80">
            <v>477818</v>
          </cell>
          <cell r="L80">
            <v>569596</v>
          </cell>
          <cell r="N80">
            <v>58882</v>
          </cell>
          <cell r="O80">
            <v>162038</v>
          </cell>
          <cell r="P80">
            <v>234773</v>
          </cell>
          <cell r="Q80">
            <v>368628</v>
          </cell>
          <cell r="S80">
            <v>68915</v>
          </cell>
          <cell r="T80">
            <v>164514</v>
          </cell>
          <cell r="U80">
            <v>274127</v>
          </cell>
          <cell r="V80">
            <v>378775</v>
          </cell>
          <cell r="X80">
            <v>64851</v>
          </cell>
          <cell r="Y80">
            <v>194318</v>
          </cell>
          <cell r="Z80">
            <v>323902</v>
          </cell>
          <cell r="AA80">
            <v>404259</v>
          </cell>
          <cell r="AC80">
            <v>28800</v>
          </cell>
          <cell r="AD80">
            <v>84323</v>
          </cell>
          <cell r="AE80">
            <v>104665</v>
          </cell>
          <cell r="AF80">
            <v>275723</v>
          </cell>
          <cell r="AH80">
            <v>10814</v>
          </cell>
          <cell r="AI80">
            <v>81483</v>
          </cell>
        </row>
        <row r="82">
          <cell r="B82" t="str">
            <v>Development of real estate investments</v>
          </cell>
          <cell r="I82">
            <v>-36733</v>
          </cell>
          <cell r="J82">
            <v>-63914</v>
          </cell>
          <cell r="K82">
            <v>-111508</v>
          </cell>
          <cell r="L82">
            <v>-158131</v>
          </cell>
          <cell r="N82">
            <v>-28995</v>
          </cell>
          <cell r="O82">
            <v>-68714</v>
          </cell>
          <cell r="P82">
            <v>-100810</v>
          </cell>
          <cell r="Q82">
            <v>-129199</v>
          </cell>
          <cell r="S82">
            <v>-22114</v>
          </cell>
          <cell r="T82">
            <v>-63544</v>
          </cell>
          <cell r="U82">
            <v>-97817</v>
          </cell>
          <cell r="V82">
            <v>-145629</v>
          </cell>
          <cell r="X82">
            <v>-29693</v>
          </cell>
          <cell r="Y82">
            <v>-68230</v>
          </cell>
          <cell r="Z82">
            <v>-130825</v>
          </cell>
          <cell r="AA82">
            <v>-209990</v>
          </cell>
          <cell r="AC82">
            <v>-84479</v>
          </cell>
          <cell r="AD82">
            <v>-167746</v>
          </cell>
          <cell r="AE82">
            <v>-274672</v>
          </cell>
          <cell r="AF82">
            <v>-385516</v>
          </cell>
          <cell r="AH82">
            <v>-96588</v>
          </cell>
          <cell r="AI82">
            <v>-186940</v>
          </cell>
        </row>
        <row r="83">
          <cell r="B83" t="str">
            <v>Acquisition of real estate investments</v>
          </cell>
          <cell r="I83">
            <v>-8375</v>
          </cell>
          <cell r="J83">
            <v>-32941</v>
          </cell>
          <cell r="K83">
            <v>-36175</v>
          </cell>
          <cell r="L83">
            <v>-98062</v>
          </cell>
          <cell r="N83">
            <v>-34602</v>
          </cell>
          <cell r="O83">
            <v>-33145</v>
          </cell>
          <cell r="P83">
            <v>-108074</v>
          </cell>
          <cell r="Q83">
            <v>-201819</v>
          </cell>
          <cell r="S83">
            <v>-9606</v>
          </cell>
          <cell r="T83">
            <v>-45616</v>
          </cell>
          <cell r="U83">
            <v>-204361</v>
          </cell>
          <cell r="V83">
            <v>-204361</v>
          </cell>
          <cell r="X83">
            <v>0</v>
          </cell>
          <cell r="Y83">
            <v>-262720</v>
          </cell>
          <cell r="Z83">
            <v>-285342</v>
          </cell>
          <cell r="AA83">
            <v>-285342</v>
          </cell>
          <cell r="AC83">
            <v>-631134</v>
          </cell>
          <cell r="AD83">
            <v>-675723</v>
          </cell>
          <cell r="AE83">
            <v>-735294</v>
          </cell>
          <cell r="AF83">
            <v>-735294</v>
          </cell>
          <cell r="AH83">
            <v>-33628</v>
          </cell>
          <cell r="AI83">
            <v>-79661</v>
          </cell>
        </row>
        <row r="84">
          <cell r="B84" t="str">
            <v>Acquisition of land held for devel. &amp; infrastructure costs</v>
          </cell>
          <cell r="I84">
            <v>-4681</v>
          </cell>
          <cell r="J84">
            <v>-16673</v>
          </cell>
          <cell r="K84">
            <v>-16344</v>
          </cell>
          <cell r="L84">
            <v>-27467</v>
          </cell>
          <cell r="N84">
            <v>-7120</v>
          </cell>
          <cell r="O84">
            <v>-36935</v>
          </cell>
          <cell r="P84">
            <v>-28067</v>
          </cell>
          <cell r="Q84">
            <v>-32944</v>
          </cell>
          <cell r="T84">
            <v>-39186</v>
          </cell>
          <cell r="U84">
            <v>-99284</v>
          </cell>
          <cell r="V84">
            <v>-116669</v>
          </cell>
          <cell r="X84">
            <v>-34457</v>
          </cell>
          <cell r="Y84">
            <v>-39878</v>
          </cell>
          <cell r="Z84">
            <v>-93230</v>
          </cell>
          <cell r="AA84">
            <v>-135771</v>
          </cell>
          <cell r="AC84">
            <v>-203159</v>
          </cell>
          <cell r="AD84">
            <v>-284609</v>
          </cell>
          <cell r="AE84">
            <v>-367517</v>
          </cell>
          <cell r="AF84">
            <v>-435917</v>
          </cell>
          <cell r="AH84">
            <v>-34738</v>
          </cell>
          <cell r="AI84">
            <v>-125908</v>
          </cell>
        </row>
        <row r="85">
          <cell r="B85" t="str">
            <v>Recurring tenant improvements</v>
          </cell>
          <cell r="I85">
            <v>-5952</v>
          </cell>
          <cell r="J85">
            <v>-13959</v>
          </cell>
          <cell r="K85">
            <v>-21221</v>
          </cell>
          <cell r="L85">
            <v>-28011</v>
          </cell>
          <cell r="N85">
            <v>-8258</v>
          </cell>
          <cell r="O85">
            <v>-17777</v>
          </cell>
          <cell r="P85">
            <v>-28078</v>
          </cell>
          <cell r="Q85">
            <v>-35972</v>
          </cell>
          <cell r="S85">
            <v>-14244</v>
          </cell>
          <cell r="T85">
            <v>-28485</v>
          </cell>
          <cell r="U85">
            <v>-41968</v>
          </cell>
          <cell r="V85">
            <v>-58847</v>
          </cell>
          <cell r="X85">
            <v>-13732</v>
          </cell>
          <cell r="Y85">
            <v>-29948</v>
          </cell>
          <cell r="Z85">
            <v>-44108</v>
          </cell>
          <cell r="AA85">
            <v>-60633</v>
          </cell>
          <cell r="AC85">
            <v>-13526</v>
          </cell>
          <cell r="AD85">
            <v>-25272</v>
          </cell>
          <cell r="AE85">
            <v>-36300</v>
          </cell>
          <cell r="AF85">
            <v>-41895</v>
          </cell>
          <cell r="AH85">
            <v>-10333</v>
          </cell>
          <cell r="AI85">
            <v>-22941</v>
          </cell>
        </row>
        <row r="86">
          <cell r="B86" t="str">
            <v>Recurring leasing costs</v>
          </cell>
          <cell r="I86">
            <v>-4274</v>
          </cell>
          <cell r="J86">
            <v>-8556</v>
          </cell>
          <cell r="K86">
            <v>-12216</v>
          </cell>
          <cell r="L86">
            <v>-17975</v>
          </cell>
          <cell r="N86">
            <v>-4901</v>
          </cell>
          <cell r="O86">
            <v>-9217</v>
          </cell>
          <cell r="P86">
            <v>-15993</v>
          </cell>
          <cell r="Q86">
            <v>-20932</v>
          </cell>
          <cell r="S86">
            <v>-6652</v>
          </cell>
          <cell r="T86">
            <v>-13202</v>
          </cell>
          <cell r="U86">
            <v>-20313</v>
          </cell>
          <cell r="V86">
            <v>-27777</v>
          </cell>
          <cell r="X86">
            <v>-8811</v>
          </cell>
          <cell r="Y86">
            <v>-16346</v>
          </cell>
          <cell r="Z86">
            <v>-24618</v>
          </cell>
          <cell r="AA86">
            <v>-33175</v>
          </cell>
          <cell r="AC86">
            <v>-1995</v>
          </cell>
          <cell r="AD86">
            <v>-6217</v>
          </cell>
          <cell r="AE86">
            <v>-12338</v>
          </cell>
          <cell r="AF86">
            <v>-17106</v>
          </cell>
          <cell r="AH86">
            <v>-8164</v>
          </cell>
          <cell r="AI86">
            <v>-14872</v>
          </cell>
        </row>
        <row r="87">
          <cell r="B87" t="str">
            <v>Recurring building improvements</v>
          </cell>
          <cell r="I87">
            <v>-2399</v>
          </cell>
          <cell r="J87">
            <v>-5849</v>
          </cell>
          <cell r="K87">
            <v>-8895</v>
          </cell>
          <cell r="L87">
            <v>-13373</v>
          </cell>
          <cell r="N87">
            <v>-2625</v>
          </cell>
          <cell r="O87">
            <v>-6883</v>
          </cell>
          <cell r="P87">
            <v>-12736</v>
          </cell>
          <cell r="Q87">
            <v>-19544</v>
          </cell>
          <cell r="S87">
            <v>-4555</v>
          </cell>
          <cell r="T87">
            <v>-8305</v>
          </cell>
          <cell r="U87">
            <v>-14679</v>
          </cell>
          <cell r="V87">
            <v>-21029</v>
          </cell>
          <cell r="X87">
            <v>-2446</v>
          </cell>
          <cell r="Y87">
            <v>-6086</v>
          </cell>
          <cell r="Z87">
            <v>-10370</v>
          </cell>
          <cell r="AA87">
            <v>-15232</v>
          </cell>
          <cell r="AC87">
            <v>-1769</v>
          </cell>
          <cell r="AD87">
            <v>-3146</v>
          </cell>
          <cell r="AE87">
            <v>-5490</v>
          </cell>
          <cell r="AF87">
            <v>-8122</v>
          </cell>
          <cell r="AH87">
            <v>-974</v>
          </cell>
          <cell r="AI87">
            <v>-2373</v>
          </cell>
        </row>
        <row r="88">
          <cell r="B88" t="str">
            <v>Other deferred leasing costs</v>
          </cell>
          <cell r="I88">
            <v>-3586</v>
          </cell>
          <cell r="J88">
            <v>-8603</v>
          </cell>
          <cell r="K88">
            <v>-12728</v>
          </cell>
          <cell r="L88">
            <v>-18219</v>
          </cell>
          <cell r="N88">
            <v>-6078</v>
          </cell>
          <cell r="O88">
            <v>-11836</v>
          </cell>
          <cell r="P88">
            <v>-14848</v>
          </cell>
          <cell r="Q88">
            <v>-17167</v>
          </cell>
          <cell r="S88">
            <v>-5426</v>
          </cell>
          <cell r="T88">
            <v>-8782</v>
          </cell>
          <cell r="U88">
            <v>-11464</v>
          </cell>
          <cell r="V88">
            <v>-16386</v>
          </cell>
          <cell r="X88">
            <v>-4401</v>
          </cell>
          <cell r="Y88">
            <v>-7473</v>
          </cell>
          <cell r="Z88">
            <v>-11073</v>
          </cell>
          <cell r="AA88">
            <v>-19425</v>
          </cell>
          <cell r="AC88">
            <v>-8450</v>
          </cell>
          <cell r="AD88">
            <v>-23349</v>
          </cell>
          <cell r="AE88">
            <v>-30918</v>
          </cell>
          <cell r="AF88">
            <v>-46463</v>
          </cell>
          <cell r="AH88">
            <v>-3232</v>
          </cell>
          <cell r="AI88">
            <v>-10784</v>
          </cell>
        </row>
        <row r="89">
          <cell r="B89" t="str">
            <v>Other deferred costs and other assets</v>
          </cell>
          <cell r="I89">
            <v>4044</v>
          </cell>
          <cell r="J89">
            <v>-16176</v>
          </cell>
          <cell r="K89">
            <v>-29578</v>
          </cell>
          <cell r="L89">
            <v>-17790</v>
          </cell>
          <cell r="N89">
            <v>1447</v>
          </cell>
          <cell r="O89">
            <v>-3592</v>
          </cell>
          <cell r="P89">
            <v>-18661</v>
          </cell>
          <cell r="Q89">
            <v>-25264</v>
          </cell>
          <cell r="S89">
            <v>-4447</v>
          </cell>
          <cell r="T89">
            <v>-8894</v>
          </cell>
          <cell r="U89">
            <v>-13999</v>
          </cell>
          <cell r="V89">
            <v>-15055</v>
          </cell>
          <cell r="X89">
            <v>-1274</v>
          </cell>
          <cell r="Y89">
            <v>-2509</v>
          </cell>
          <cell r="Z89">
            <v>-18491</v>
          </cell>
          <cell r="AA89">
            <v>-15438</v>
          </cell>
          <cell r="AC89">
            <v>-15538</v>
          </cell>
          <cell r="AD89">
            <v>-20134</v>
          </cell>
          <cell r="AE89">
            <v>4531</v>
          </cell>
          <cell r="AF89">
            <v>6203</v>
          </cell>
          <cell r="AH89">
            <v>403</v>
          </cell>
          <cell r="AI89">
            <v>-2467</v>
          </cell>
        </row>
        <row r="90">
          <cell r="B90" t="str">
            <v>Exercise purchase option on ground lease</v>
          </cell>
          <cell r="I90">
            <v>0</v>
          </cell>
          <cell r="J90">
            <v>0</v>
          </cell>
          <cell r="K90">
            <v>0</v>
          </cell>
          <cell r="L90">
            <v>0</v>
          </cell>
          <cell r="N90">
            <v>-12042</v>
          </cell>
          <cell r="O90">
            <v>0</v>
          </cell>
          <cell r="P90">
            <v>0</v>
          </cell>
          <cell r="Q90">
            <v>0</v>
          </cell>
          <cell r="S90">
            <v>0</v>
          </cell>
          <cell r="X90">
            <v>0</v>
          </cell>
          <cell r="Y90">
            <v>0</v>
          </cell>
          <cell r="Z90">
            <v>0</v>
          </cell>
          <cell r="AA90">
            <v>0</v>
          </cell>
        </row>
        <row r="91">
          <cell r="B91" t="str">
            <v>Tax deferred exchange escrow, net</v>
          </cell>
          <cell r="I91">
            <v>0</v>
          </cell>
          <cell r="J91">
            <v>0</v>
          </cell>
          <cell r="K91">
            <v>0</v>
          </cell>
          <cell r="L91">
            <v>0</v>
          </cell>
          <cell r="N91">
            <v>-8207</v>
          </cell>
          <cell r="O91">
            <v>-10506</v>
          </cell>
          <cell r="P91">
            <v>-8248</v>
          </cell>
          <cell r="Q91">
            <v>0</v>
          </cell>
          <cell r="S91">
            <v>-1334</v>
          </cell>
          <cell r="T91">
            <v>-2448</v>
          </cell>
          <cell r="U91">
            <v>0</v>
          </cell>
          <cell r="V91">
            <v>0</v>
          </cell>
          <cell r="X91">
            <v>0</v>
          </cell>
          <cell r="Y91">
            <v>0</v>
          </cell>
          <cell r="Z91">
            <v>-12890</v>
          </cell>
          <cell r="AA91">
            <v>0</v>
          </cell>
        </row>
        <row r="92">
          <cell r="B92" t="str">
            <v>Proceeds from land and depreciated property sales, net</v>
          </cell>
          <cell r="I92">
            <v>25395</v>
          </cell>
          <cell r="J92">
            <v>35023</v>
          </cell>
          <cell r="K92">
            <v>50463</v>
          </cell>
          <cell r="L92">
            <v>52186</v>
          </cell>
          <cell r="N92">
            <v>51368</v>
          </cell>
          <cell r="O92">
            <v>63255</v>
          </cell>
          <cell r="P92">
            <v>85709</v>
          </cell>
          <cell r="Q92">
            <v>167626</v>
          </cell>
          <cell r="S92">
            <v>29405</v>
          </cell>
          <cell r="T92">
            <v>37155</v>
          </cell>
          <cell r="U92">
            <v>147353</v>
          </cell>
          <cell r="V92">
            <v>178301</v>
          </cell>
          <cell r="X92">
            <v>13608</v>
          </cell>
          <cell r="Y92">
            <v>70616</v>
          </cell>
          <cell r="Z92">
            <v>1095416</v>
          </cell>
          <cell r="AA92">
            <v>1134667</v>
          </cell>
          <cell r="AC92">
            <v>28142</v>
          </cell>
          <cell r="AD92">
            <v>50924</v>
          </cell>
          <cell r="AE92">
            <v>161511</v>
          </cell>
          <cell r="AF92">
            <v>477398</v>
          </cell>
          <cell r="AH92">
            <v>176726</v>
          </cell>
          <cell r="AI92">
            <v>269434</v>
          </cell>
        </row>
        <row r="93">
          <cell r="B93" t="str">
            <v>Investment in secured mortgage loan</v>
          </cell>
          <cell r="S93">
            <v>-65000</v>
          </cell>
          <cell r="T93">
            <v>-65000</v>
          </cell>
          <cell r="U93">
            <v>0</v>
          </cell>
          <cell r="V93">
            <v>0</v>
          </cell>
          <cell r="X93">
            <v>0</v>
          </cell>
          <cell r="Y93">
            <v>0</v>
          </cell>
          <cell r="Z93">
            <v>0</v>
          </cell>
          <cell r="AA93">
            <v>0</v>
          </cell>
        </row>
        <row r="94">
          <cell r="B94" t="str">
            <v>Advances to unconsolidated companies</v>
          </cell>
          <cell r="I94">
            <v>-8794</v>
          </cell>
          <cell r="J94">
            <v>-18224</v>
          </cell>
          <cell r="K94">
            <v>-9930</v>
          </cell>
          <cell r="L94">
            <v>-11130</v>
          </cell>
          <cell r="N94">
            <v>-1313</v>
          </cell>
          <cell r="O94">
            <v>-1366</v>
          </cell>
          <cell r="P94">
            <v>-13294</v>
          </cell>
          <cell r="Q94">
            <v>-5481</v>
          </cell>
          <cell r="S94">
            <v>-701</v>
          </cell>
          <cell r="T94">
            <v>-1918</v>
          </cell>
          <cell r="U94">
            <v>-2328</v>
          </cell>
          <cell r="V94">
            <v>-3033</v>
          </cell>
          <cell r="X94">
            <v>-6441</v>
          </cell>
          <cell r="Y94">
            <v>-8102</v>
          </cell>
          <cell r="Z94">
            <v>-9206</v>
          </cell>
          <cell r="AA94">
            <v>-31599</v>
          </cell>
          <cell r="AC94">
            <v>-6313</v>
          </cell>
          <cell r="AD94">
            <v>5321</v>
          </cell>
          <cell r="AE94">
            <v>4865</v>
          </cell>
          <cell r="AF94">
            <v>-50182</v>
          </cell>
          <cell r="AH94">
            <v>20225</v>
          </cell>
          <cell r="AI94">
            <v>126077</v>
          </cell>
        </row>
        <row r="96">
          <cell r="B96" t="str">
            <v>Net cash used by investing activities</v>
          </cell>
          <cell r="I96">
            <v>-45355</v>
          </cell>
          <cell r="J96">
            <v>-149872</v>
          </cell>
          <cell r="K96">
            <v>-208132</v>
          </cell>
          <cell r="L96">
            <v>-337972</v>
          </cell>
          <cell r="N96">
            <v>-61326</v>
          </cell>
          <cell r="O96">
            <v>-136716</v>
          </cell>
          <cell r="P96">
            <v>-263100</v>
          </cell>
          <cell r="Q96">
            <v>-320696</v>
          </cell>
          <cell r="S96">
            <v>-104674</v>
          </cell>
          <cell r="T96">
            <v>-248225</v>
          </cell>
          <cell r="U96">
            <v>-358860</v>
          </cell>
          <cell r="V96">
            <v>-430485</v>
          </cell>
          <cell r="X96">
            <v>-87647</v>
          </cell>
          <cell r="Y96">
            <v>-370676</v>
          </cell>
          <cell r="Z96">
            <v>455263</v>
          </cell>
          <cell r="AA96">
            <v>328062</v>
          </cell>
          <cell r="AC96">
            <v>-938221</v>
          </cell>
          <cell r="AD96">
            <v>-1149951</v>
          </cell>
          <cell r="AE96">
            <v>-1291622</v>
          </cell>
          <cell r="AF96">
            <v>-1236894</v>
          </cell>
          <cell r="AH96">
            <v>9697</v>
          </cell>
          <cell r="AI96">
            <v>-50435</v>
          </cell>
        </row>
        <row r="98">
          <cell r="B98" t="str">
            <v>Proceeds from issuance of common shares, net</v>
          </cell>
          <cell r="I98">
            <v>7023</v>
          </cell>
          <cell r="J98">
            <v>18201</v>
          </cell>
          <cell r="K98">
            <v>21907</v>
          </cell>
          <cell r="L98">
            <v>22834</v>
          </cell>
          <cell r="N98">
            <v>2830</v>
          </cell>
          <cell r="O98">
            <v>6702</v>
          </cell>
          <cell r="P98">
            <v>9885</v>
          </cell>
          <cell r="Q98">
            <v>14026</v>
          </cell>
          <cell r="S98">
            <v>8534</v>
          </cell>
          <cell r="T98">
            <v>9262</v>
          </cell>
          <cell r="U98">
            <v>10343</v>
          </cell>
          <cell r="V98">
            <v>12259</v>
          </cell>
          <cell r="X98">
            <v>633</v>
          </cell>
          <cell r="Y98">
            <v>1342</v>
          </cell>
          <cell r="Z98">
            <v>-92353</v>
          </cell>
          <cell r="AA98">
            <v>-283758</v>
          </cell>
          <cell r="AC98">
            <v>-7116</v>
          </cell>
          <cell r="AD98">
            <v>-6276</v>
          </cell>
          <cell r="AE98">
            <v>-5547</v>
          </cell>
          <cell r="AF98">
            <v>-94610</v>
          </cell>
          <cell r="AH98">
            <v>-12</v>
          </cell>
          <cell r="AI98">
            <v>136</v>
          </cell>
        </row>
        <row r="99">
          <cell r="B99" t="str">
            <v>Proceeds from issuance of preferred stock, net</v>
          </cell>
          <cell r="I99">
            <v>0</v>
          </cell>
          <cell r="J99">
            <v>0</v>
          </cell>
          <cell r="K99">
            <v>0</v>
          </cell>
          <cell r="N99">
            <v>0</v>
          </cell>
          <cell r="O99">
            <v>0</v>
          </cell>
          <cell r="P99">
            <v>96700</v>
          </cell>
          <cell r="Q99">
            <v>96700</v>
          </cell>
          <cell r="S99">
            <v>144975</v>
          </cell>
          <cell r="T99">
            <v>144975</v>
          </cell>
          <cell r="U99">
            <v>144940</v>
          </cell>
          <cell r="V99">
            <v>338360</v>
          </cell>
          <cell r="X99">
            <v>0</v>
          </cell>
          <cell r="Y99">
            <v>0</v>
          </cell>
          <cell r="Z99">
            <v>0</v>
          </cell>
          <cell r="AC99">
            <v>177734</v>
          </cell>
          <cell r="AD99">
            <v>283994</v>
          </cell>
          <cell r="AE99">
            <v>283994</v>
          </cell>
          <cell r="AF99">
            <v>283994</v>
          </cell>
        </row>
        <row r="100">
          <cell r="B100" t="str">
            <v>Payments for redemption of preferred stock and units</v>
          </cell>
          <cell r="I100">
            <v>0</v>
          </cell>
          <cell r="J100">
            <v>0</v>
          </cell>
          <cell r="K100">
            <v>-52953</v>
          </cell>
          <cell r="L100">
            <v>-202953</v>
          </cell>
          <cell r="N100">
            <v>-20</v>
          </cell>
          <cell r="O100">
            <v>-20</v>
          </cell>
          <cell r="P100">
            <v>-20</v>
          </cell>
          <cell r="Q100">
            <v>-65020</v>
          </cell>
          <cell r="S100">
            <v>-102621</v>
          </cell>
          <cell r="T100">
            <v>-102651</v>
          </cell>
          <cell r="U100">
            <v>-102651</v>
          </cell>
          <cell r="V100">
            <v>-102652</v>
          </cell>
          <cell r="X100">
            <v>0</v>
          </cell>
          <cell r="Y100">
            <v>0</v>
          </cell>
          <cell r="Z100">
            <v>-2129</v>
          </cell>
          <cell r="AA100">
            <v>-2129</v>
          </cell>
          <cell r="AC100">
            <v>-75010</v>
          </cell>
          <cell r="AD100">
            <v>-75010</v>
          </cell>
          <cell r="AE100">
            <v>-75010</v>
          </cell>
          <cell r="AF100">
            <v>-75010</v>
          </cell>
        </row>
        <row r="101">
          <cell r="B101" t="str">
            <v>Payments for exercise of warrants</v>
          </cell>
          <cell r="I101">
            <v>0</v>
          </cell>
          <cell r="J101">
            <v>0</v>
          </cell>
          <cell r="K101">
            <v>0</v>
          </cell>
          <cell r="N101">
            <v>0</v>
          </cell>
          <cell r="O101">
            <v>-4692</v>
          </cell>
          <cell r="P101">
            <v>-4692</v>
          </cell>
          <cell r="Q101">
            <v>-4692</v>
          </cell>
          <cell r="S101">
            <v>-2881</v>
          </cell>
          <cell r="T101">
            <v>-2881</v>
          </cell>
          <cell r="U101">
            <v>-2881</v>
          </cell>
          <cell r="V101">
            <v>-2881</v>
          </cell>
          <cell r="X101">
            <v>0</v>
          </cell>
          <cell r="Y101">
            <v>0</v>
          </cell>
          <cell r="Z101">
            <v>0</v>
          </cell>
        </row>
        <row r="102">
          <cell r="B102" t="str">
            <v>Proceeds from indebtedness</v>
          </cell>
          <cell r="I102">
            <v>0</v>
          </cell>
          <cell r="J102">
            <v>0</v>
          </cell>
          <cell r="K102">
            <v>200000</v>
          </cell>
          <cell r="L102">
            <v>200000</v>
          </cell>
          <cell r="N102">
            <v>175000</v>
          </cell>
          <cell r="O102">
            <v>325000</v>
          </cell>
          <cell r="P102">
            <v>325000</v>
          </cell>
          <cell r="Q102">
            <v>425000</v>
          </cell>
          <cell r="S102">
            <v>0</v>
          </cell>
          <cell r="T102">
            <v>125000</v>
          </cell>
          <cell r="U102">
            <v>440000</v>
          </cell>
          <cell r="V102">
            <v>690000</v>
          </cell>
          <cell r="X102">
            <v>0</v>
          </cell>
          <cell r="Y102">
            <v>400000</v>
          </cell>
          <cell r="Z102">
            <v>400000</v>
          </cell>
          <cell r="AA102">
            <v>400000</v>
          </cell>
          <cell r="AC102">
            <v>860450</v>
          </cell>
          <cell r="AD102">
            <v>860450</v>
          </cell>
          <cell r="AE102">
            <v>1560450</v>
          </cell>
          <cell r="AF102">
            <v>2458923</v>
          </cell>
          <cell r="AH102">
            <v>5812</v>
          </cell>
          <cell r="AI102">
            <v>13824</v>
          </cell>
        </row>
        <row r="103">
          <cell r="B103" t="str">
            <v>Payments on unsecured debt</v>
          </cell>
          <cell r="I103">
            <v>0</v>
          </cell>
          <cell r="J103">
            <v>0</v>
          </cell>
          <cell r="K103">
            <v>0</v>
          </cell>
          <cell r="O103">
            <v>-175000</v>
          </cell>
          <cell r="P103">
            <v>-175000</v>
          </cell>
          <cell r="Q103">
            <v>-135000</v>
          </cell>
          <cell r="S103">
            <v>190000</v>
          </cell>
          <cell r="T103">
            <v>0</v>
          </cell>
          <cell r="U103">
            <v>-100000</v>
          </cell>
          <cell r="V103">
            <v>-150000</v>
          </cell>
          <cell r="X103">
            <v>-100000</v>
          </cell>
          <cell r="Y103">
            <v>-100000</v>
          </cell>
          <cell r="Z103">
            <v>-665000</v>
          </cell>
          <cell r="AA103">
            <v>-665000</v>
          </cell>
          <cell r="AC103">
            <v>-100000</v>
          </cell>
          <cell r="AD103">
            <v>-100000</v>
          </cell>
          <cell r="AE103">
            <v>-100000</v>
          </cell>
          <cell r="AF103">
            <v>-350000</v>
          </cell>
        </row>
        <row r="104">
          <cell r="B104" t="str">
            <v>Proceeds from debt refinancing</v>
          </cell>
          <cell r="I104">
            <v>0</v>
          </cell>
          <cell r="J104">
            <v>0</v>
          </cell>
          <cell r="K104">
            <v>0</v>
          </cell>
          <cell r="N104">
            <v>38340</v>
          </cell>
          <cell r="O104">
            <v>38340</v>
          </cell>
          <cell r="P104">
            <v>38340</v>
          </cell>
          <cell r="Q104">
            <v>38340</v>
          </cell>
          <cell r="S104">
            <v>0</v>
          </cell>
          <cell r="T104">
            <v>25000</v>
          </cell>
          <cell r="U104">
            <v>0</v>
          </cell>
          <cell r="X104">
            <v>-65000</v>
          </cell>
          <cell r="Y104">
            <v>-65000</v>
          </cell>
        </row>
        <row r="105">
          <cell r="B105" t="str">
            <v>Payments on indebtedness</v>
          </cell>
          <cell r="I105">
            <v>-5193</v>
          </cell>
          <cell r="J105">
            <v>-7738</v>
          </cell>
          <cell r="K105">
            <v>-62943</v>
          </cell>
          <cell r="L105">
            <v>-71953</v>
          </cell>
          <cell r="N105">
            <v>-61706</v>
          </cell>
          <cell r="O105">
            <v>-64968</v>
          </cell>
          <cell r="P105">
            <v>-131686</v>
          </cell>
          <cell r="Q105">
            <v>-143542</v>
          </cell>
          <cell r="S105">
            <v>-1707</v>
          </cell>
          <cell r="T105">
            <v>-20543</v>
          </cell>
          <cell r="U105">
            <v>-37764</v>
          </cell>
          <cell r="V105">
            <v>-39430</v>
          </cell>
          <cell r="X105">
            <v>-1697</v>
          </cell>
          <cell r="Y105">
            <v>-9408</v>
          </cell>
          <cell r="Z105">
            <v>-45281</v>
          </cell>
          <cell r="AA105">
            <v>-46675</v>
          </cell>
          <cell r="AC105">
            <v>-1808</v>
          </cell>
          <cell r="AD105">
            <v>-19449</v>
          </cell>
          <cell r="AE105">
            <v>-722777</v>
          </cell>
          <cell r="AF105">
            <v>-750354</v>
          </cell>
          <cell r="AH105">
            <v>-12007</v>
          </cell>
          <cell r="AI105">
            <v>-19804</v>
          </cell>
        </row>
        <row r="106">
          <cell r="B106" t="str">
            <v>Proceeds (repayments) on lines of credit, net</v>
          </cell>
          <cell r="I106">
            <v>-79392</v>
          </cell>
          <cell r="J106">
            <v>-78488</v>
          </cell>
          <cell r="K106">
            <v>-94124</v>
          </cell>
          <cell r="L106">
            <v>157305</v>
          </cell>
          <cell r="N106">
            <v>-75095</v>
          </cell>
          <cell r="O106">
            <v>5554</v>
          </cell>
          <cell r="P106">
            <v>95109</v>
          </cell>
          <cell r="Q106">
            <v>46105</v>
          </cell>
          <cell r="S106">
            <v>-121000</v>
          </cell>
          <cell r="T106">
            <v>65000</v>
          </cell>
          <cell r="U106">
            <v>-12000</v>
          </cell>
          <cell r="V106">
            <v>-351000</v>
          </cell>
          <cell r="X106">
            <v>272000</v>
          </cell>
          <cell r="Y106">
            <v>120000</v>
          </cell>
          <cell r="Z106">
            <v>0</v>
          </cell>
          <cell r="AA106">
            <v>383000</v>
          </cell>
          <cell r="AC106">
            <v>129979</v>
          </cell>
          <cell r="AD106">
            <v>287000</v>
          </cell>
          <cell r="AE106">
            <v>521000</v>
          </cell>
          <cell r="AF106">
            <v>-66000</v>
          </cell>
          <cell r="AH106">
            <v>13000</v>
          </cell>
          <cell r="AI106">
            <v>123000</v>
          </cell>
        </row>
        <row r="107">
          <cell r="B107" t="str">
            <v>Distributions to common shareholders</v>
          </cell>
          <cell r="I107">
            <v>-59298</v>
          </cell>
          <cell r="J107">
            <v>-119739</v>
          </cell>
          <cell r="K107">
            <v>-181087</v>
          </cell>
          <cell r="L107">
            <v>-242475</v>
          </cell>
          <cell r="N107">
            <v>-61502</v>
          </cell>
          <cell r="O107">
            <v>-123098</v>
          </cell>
          <cell r="P107">
            <v>-185506</v>
          </cell>
          <cell r="Q107">
            <v>-248100</v>
          </cell>
          <cell r="S107">
            <v>-63259</v>
          </cell>
          <cell r="T107">
            <v>-128616</v>
          </cell>
          <cell r="U107">
            <v>-194748</v>
          </cell>
          <cell r="V107">
            <v>-261061</v>
          </cell>
          <cell r="X107">
            <v>-66456</v>
          </cell>
          <cell r="Y107">
            <v>-133175</v>
          </cell>
          <cell r="Z107">
            <v>-200595</v>
          </cell>
          <cell r="AA107">
            <v>-408816</v>
          </cell>
          <cell r="AC107">
            <v>-63683</v>
          </cell>
          <cell r="AD107">
            <v>-127075</v>
          </cell>
          <cell r="AE107">
            <v>-191256</v>
          </cell>
          <cell r="AF107">
            <v>-255502</v>
          </cell>
          <cell r="AH107">
            <v>-65004</v>
          </cell>
          <cell r="AI107">
            <v>-130050</v>
          </cell>
        </row>
        <row r="108">
          <cell r="B108" t="str">
            <v>Distributions to preferred shareholders</v>
          </cell>
          <cell r="I108">
            <v>-12108</v>
          </cell>
          <cell r="J108">
            <v>-24215</v>
          </cell>
          <cell r="K108">
            <v>-35968</v>
          </cell>
          <cell r="L108">
            <v>-47053</v>
          </cell>
          <cell r="N108">
            <v>-8752</v>
          </cell>
          <cell r="O108">
            <v>-17504</v>
          </cell>
          <cell r="P108">
            <v>-26255</v>
          </cell>
          <cell r="Q108">
            <v>-37321</v>
          </cell>
          <cell r="S108">
            <v>-6381</v>
          </cell>
          <cell r="T108">
            <v>-15188</v>
          </cell>
          <cell r="U108">
            <v>-23508</v>
          </cell>
          <cell r="V108">
            <v>-31828</v>
          </cell>
          <cell r="X108">
            <v>-11620</v>
          </cell>
          <cell r="Y108">
            <v>-23240</v>
          </cell>
          <cell r="Z108">
            <v>-34859</v>
          </cell>
          <cell r="AA108">
            <v>-46479</v>
          </cell>
          <cell r="AC108">
            <v>-12712</v>
          </cell>
          <cell r="AD108">
            <v>-25967</v>
          </cell>
          <cell r="AE108">
            <v>-41193</v>
          </cell>
          <cell r="AF108">
            <v>-56419</v>
          </cell>
          <cell r="AH108">
            <v>-15226</v>
          </cell>
          <cell r="AI108">
            <v>-30452</v>
          </cell>
        </row>
        <row r="109">
          <cell r="B109" t="str">
            <v>Distributions to preferred unitholders</v>
          </cell>
          <cell r="I109">
            <v>-2102</v>
          </cell>
          <cell r="J109">
            <v>-4204</v>
          </cell>
          <cell r="K109">
            <v>-6159</v>
          </cell>
          <cell r="L109">
            <v>-7559</v>
          </cell>
          <cell r="N109">
            <v>-1402</v>
          </cell>
          <cell r="O109">
            <v>-2804</v>
          </cell>
          <cell r="P109">
            <v>-4205</v>
          </cell>
          <cell r="Q109">
            <v>-4859</v>
          </cell>
          <cell r="S109">
            <v>0</v>
          </cell>
          <cell r="T109">
            <v>0</v>
          </cell>
          <cell r="U109">
            <v>0</v>
          </cell>
          <cell r="V109">
            <v>0</v>
          </cell>
          <cell r="X109">
            <v>0</v>
          </cell>
          <cell r="Y109">
            <v>0</v>
          </cell>
        </row>
        <row r="110">
          <cell r="B110" t="str">
            <v>Distributions to minority interest</v>
          </cell>
          <cell r="I110">
            <v>-7796</v>
          </cell>
          <cell r="J110">
            <v>-14941</v>
          </cell>
          <cell r="K110">
            <v>-21765</v>
          </cell>
          <cell r="L110">
            <v>-28576</v>
          </cell>
          <cell r="N110">
            <v>-7453</v>
          </cell>
          <cell r="O110">
            <v>-14483</v>
          </cell>
          <cell r="P110">
            <v>-21522</v>
          </cell>
          <cell r="Q110">
            <v>-28484</v>
          </cell>
          <cell r="S110">
            <v>-6671</v>
          </cell>
          <cell r="T110">
            <v>-13337</v>
          </cell>
          <cell r="U110">
            <v>-19971</v>
          </cell>
          <cell r="V110">
            <v>-26941</v>
          </cell>
          <cell r="X110">
            <v>-6512</v>
          </cell>
          <cell r="Y110">
            <v>-12794</v>
          </cell>
          <cell r="Z110">
            <v>-19141</v>
          </cell>
          <cell r="AA110">
            <v>-40722</v>
          </cell>
          <cell r="AC110">
            <v>-6366</v>
          </cell>
          <cell r="AD110">
            <v>-12698</v>
          </cell>
          <cell r="AE110">
            <v>-17238</v>
          </cell>
          <cell r="AF110">
            <v>-24207</v>
          </cell>
          <cell r="AH110">
            <v>-4662</v>
          </cell>
          <cell r="AI110">
            <v>-9306</v>
          </cell>
        </row>
        <row r="111">
          <cell r="B111" t="str">
            <v>Deferred financing costs</v>
          </cell>
          <cell r="I111">
            <v>-154</v>
          </cell>
          <cell r="J111">
            <v>-177</v>
          </cell>
          <cell r="K111">
            <v>-3040</v>
          </cell>
          <cell r="L111">
            <v>-3263</v>
          </cell>
          <cell r="N111">
            <v>-2701</v>
          </cell>
          <cell r="O111">
            <v>-4092</v>
          </cell>
          <cell r="P111">
            <v>-4304</v>
          </cell>
          <cell r="Q111">
            <v>-5867</v>
          </cell>
          <cell r="S111">
            <v>-3963</v>
          </cell>
          <cell r="T111">
            <v>-4151</v>
          </cell>
          <cell r="U111">
            <v>-29659</v>
          </cell>
          <cell r="V111">
            <v>-30159</v>
          </cell>
          <cell r="X111">
            <v>-462</v>
          </cell>
          <cell r="Y111">
            <v>-469</v>
          </cell>
          <cell r="Z111">
            <v>-529</v>
          </cell>
          <cell r="AA111">
            <v>-599</v>
          </cell>
          <cell r="AC111">
            <v>-18779</v>
          </cell>
          <cell r="AD111">
            <v>-19034</v>
          </cell>
          <cell r="AE111">
            <v>-27198</v>
          </cell>
          <cell r="AF111">
            <v>-67893</v>
          </cell>
          <cell r="AH111">
            <v>-1403</v>
          </cell>
          <cell r="AI111">
            <v>-1423</v>
          </cell>
        </row>
        <row r="113">
          <cell r="B113" t="str">
            <v>Net cash provided by (used for)  financing activities</v>
          </cell>
          <cell r="D113">
            <v>0</v>
          </cell>
          <cell r="E113">
            <v>0</v>
          </cell>
          <cell r="F113">
            <v>0</v>
          </cell>
          <cell r="G113">
            <v>0</v>
          </cell>
          <cell r="I113">
            <v>-159020</v>
          </cell>
          <cell r="J113">
            <v>-231301</v>
          </cell>
          <cell r="K113">
            <v>-236132</v>
          </cell>
          <cell r="L113">
            <v>-223693</v>
          </cell>
          <cell r="N113">
            <v>-2461</v>
          </cell>
          <cell r="O113">
            <v>-31065</v>
          </cell>
          <cell r="P113">
            <v>11844</v>
          </cell>
          <cell r="Q113">
            <v>-52714</v>
          </cell>
          <cell r="S113">
            <v>35026</v>
          </cell>
          <cell r="T113">
            <v>81870</v>
          </cell>
          <cell r="U113">
            <v>72101</v>
          </cell>
          <cell r="V113">
            <v>44667</v>
          </cell>
          <cell r="X113">
            <v>20886</v>
          </cell>
          <cell r="Y113">
            <v>177256</v>
          </cell>
          <cell r="Z113">
            <v>-659887</v>
          </cell>
          <cell r="AA113">
            <v>-711178</v>
          </cell>
          <cell r="AC113">
            <v>882689</v>
          </cell>
          <cell r="AD113">
            <v>1045935</v>
          </cell>
          <cell r="AE113">
            <v>1185225</v>
          </cell>
          <cell r="AF113">
            <v>1002922</v>
          </cell>
          <cell r="AH113">
            <v>-79502</v>
          </cell>
          <cell r="AI113">
            <v>-54075</v>
          </cell>
        </row>
        <row r="115">
          <cell r="B115" t="str">
            <v>Net increase (decrease) in cash and cash equivalents</v>
          </cell>
          <cell r="I115">
            <v>4027</v>
          </cell>
          <cell r="J115">
            <v>-6978</v>
          </cell>
          <cell r="K115">
            <v>33554</v>
          </cell>
          <cell r="L115">
            <v>7931</v>
          </cell>
          <cell r="N115">
            <v>-4905</v>
          </cell>
          <cell r="O115">
            <v>-5743</v>
          </cell>
          <cell r="P115">
            <v>-16483</v>
          </cell>
          <cell r="Q115">
            <v>-4782</v>
          </cell>
          <cell r="S115">
            <v>-733</v>
          </cell>
          <cell r="T115">
            <v>-1841</v>
          </cell>
          <cell r="U115">
            <v>-12632</v>
          </cell>
          <cell r="V115">
            <v>-7043</v>
          </cell>
          <cell r="X115">
            <v>-1910</v>
          </cell>
          <cell r="Y115">
            <v>898</v>
          </cell>
          <cell r="Z115">
            <v>119278</v>
          </cell>
          <cell r="AA115">
            <v>21143</v>
          </cell>
          <cell r="AC115">
            <v>-26732</v>
          </cell>
          <cell r="AD115">
            <v>-19693</v>
          </cell>
          <cell r="AE115">
            <v>-1732</v>
          </cell>
          <cell r="AF115">
            <v>41751</v>
          </cell>
          <cell r="AH115">
            <v>-58991</v>
          </cell>
          <cell r="AI115">
            <v>-23027</v>
          </cell>
        </row>
        <row r="117">
          <cell r="B117" t="str">
            <v>Cash and cash equivalents at beginning of period</v>
          </cell>
          <cell r="I117">
            <v>9483</v>
          </cell>
          <cell r="J117">
            <v>9483</v>
          </cell>
          <cell r="K117">
            <v>9483</v>
          </cell>
          <cell r="L117">
            <v>9483</v>
          </cell>
          <cell r="N117">
            <v>17414</v>
          </cell>
          <cell r="O117">
            <v>17414</v>
          </cell>
          <cell r="P117">
            <v>17414</v>
          </cell>
          <cell r="Q117">
            <v>17414</v>
          </cell>
          <cell r="S117">
            <v>12632</v>
          </cell>
          <cell r="T117">
            <v>12632</v>
          </cell>
          <cell r="U117">
            <v>12632</v>
          </cell>
          <cell r="V117">
            <v>12632</v>
          </cell>
          <cell r="X117">
            <v>5589</v>
          </cell>
          <cell r="Y117">
            <v>5589</v>
          </cell>
          <cell r="Z117">
            <v>5589</v>
          </cell>
          <cell r="AA117">
            <v>5589</v>
          </cell>
          <cell r="AC117">
            <v>26732</v>
          </cell>
          <cell r="AD117">
            <v>26732</v>
          </cell>
          <cell r="AE117">
            <v>26732</v>
          </cell>
          <cell r="AF117">
            <v>26732</v>
          </cell>
          <cell r="AH117">
            <v>68483</v>
          </cell>
          <cell r="AI117">
            <v>68483</v>
          </cell>
        </row>
        <row r="118">
          <cell r="B118" t="str">
            <v>Cash and cash equivalents at end of period</v>
          </cell>
          <cell r="I118">
            <v>13510</v>
          </cell>
          <cell r="J118">
            <v>2505</v>
          </cell>
          <cell r="K118">
            <v>43037</v>
          </cell>
          <cell r="L118">
            <v>17414</v>
          </cell>
          <cell r="N118">
            <v>12509</v>
          </cell>
          <cell r="O118">
            <v>11671</v>
          </cell>
          <cell r="P118">
            <v>931</v>
          </cell>
          <cell r="Q118">
            <v>12632</v>
          </cell>
          <cell r="S118">
            <v>11899</v>
          </cell>
          <cell r="T118">
            <v>10791</v>
          </cell>
          <cell r="U118">
            <v>0</v>
          </cell>
          <cell r="V118">
            <v>5589</v>
          </cell>
          <cell r="X118">
            <v>3679</v>
          </cell>
          <cell r="Y118">
            <v>6487</v>
          </cell>
          <cell r="Z118">
            <v>124867</v>
          </cell>
          <cell r="AA118">
            <v>26732</v>
          </cell>
          <cell r="AC118">
            <v>0</v>
          </cell>
          <cell r="AD118">
            <v>7039</v>
          </cell>
          <cell r="AE118">
            <v>25000</v>
          </cell>
          <cell r="AF118">
            <v>68483</v>
          </cell>
          <cell r="AH118">
            <v>9492</v>
          </cell>
          <cell r="AI118">
            <v>45456</v>
          </cell>
        </row>
      </sheetData>
      <sheetData sheetId="12" refreshError="1"/>
      <sheetData sheetId="13" refreshError="1">
        <row r="1">
          <cell r="AO1">
            <v>20000</v>
          </cell>
          <cell r="AP1">
            <v>65000</v>
          </cell>
        </row>
        <row r="2">
          <cell r="AO2">
            <v>60000</v>
          </cell>
          <cell r="AP2">
            <v>983126</v>
          </cell>
        </row>
        <row r="3">
          <cell r="A3" t="str">
            <v>Duke-Weeks Realty Corporation</v>
          </cell>
        </row>
        <row r="4">
          <cell r="A4" t="str">
            <v>Acquisitions &amp; Developments</v>
          </cell>
          <cell r="AO4">
            <v>27548</v>
          </cell>
        </row>
        <row r="5">
          <cell r="A5" t="str">
            <v>(Dollars In Thousands, Except Per-Share)</v>
          </cell>
          <cell r="AO5">
            <v>1057743</v>
          </cell>
        </row>
        <row r="7">
          <cell r="AV7">
            <v>153660</v>
          </cell>
        </row>
        <row r="9">
          <cell r="B9">
            <v>1998</v>
          </cell>
          <cell r="H9">
            <v>1999</v>
          </cell>
          <cell r="N9">
            <v>2000</v>
          </cell>
          <cell r="S9">
            <v>2001</v>
          </cell>
          <cell r="X9">
            <v>2002</v>
          </cell>
          <cell r="AC9">
            <v>2003</v>
          </cell>
          <cell r="AH9">
            <v>2004</v>
          </cell>
          <cell r="AM9">
            <v>2005</v>
          </cell>
          <cell r="AR9">
            <v>2006</v>
          </cell>
          <cell r="AW9">
            <v>2007</v>
          </cell>
          <cell r="BB9">
            <v>2008</v>
          </cell>
          <cell r="BG9">
            <v>2009</v>
          </cell>
          <cell r="BL9">
            <v>2010</v>
          </cell>
        </row>
        <row r="10">
          <cell r="A10" t="str">
            <v>Year Ends December 31</v>
          </cell>
          <cell r="B10" t="str">
            <v>1QA</v>
          </cell>
          <cell r="C10" t="str">
            <v>2QE</v>
          </cell>
          <cell r="D10" t="str">
            <v>3QE</v>
          </cell>
          <cell r="E10" t="str">
            <v>4QE</v>
          </cell>
          <cell r="F10" t="str">
            <v>1998E</v>
          </cell>
          <cell r="H10" t="str">
            <v>1QE</v>
          </cell>
          <cell r="I10" t="str">
            <v>2QE</v>
          </cell>
          <cell r="J10" t="str">
            <v>3QE</v>
          </cell>
          <cell r="K10" t="str">
            <v>4QE</v>
          </cell>
          <cell r="L10" t="str">
            <v>1999E</v>
          </cell>
          <cell r="N10" t="str">
            <v>1QE</v>
          </cell>
          <cell r="O10" t="str">
            <v>2QE</v>
          </cell>
          <cell r="P10" t="str">
            <v>3QE</v>
          </cell>
          <cell r="Q10" t="str">
            <v>4QE</v>
          </cell>
          <cell r="R10" t="str">
            <v>2000E</v>
          </cell>
          <cell r="S10" t="str">
            <v>1QE</v>
          </cell>
          <cell r="T10" t="str">
            <v>2QE</v>
          </cell>
          <cell r="U10" t="str">
            <v>3QE</v>
          </cell>
          <cell r="V10" t="str">
            <v>4QE</v>
          </cell>
          <cell r="W10" t="str">
            <v>2001E</v>
          </cell>
          <cell r="X10" t="str">
            <v>1QE</v>
          </cell>
          <cell r="Y10" t="str">
            <v>2QE</v>
          </cell>
          <cell r="Z10" t="str">
            <v>3QE</v>
          </cell>
          <cell r="AA10" t="str">
            <v>4QE</v>
          </cell>
          <cell r="AB10" t="str">
            <v>2002E</v>
          </cell>
          <cell r="AC10" t="str">
            <v>1QE</v>
          </cell>
          <cell r="AD10" t="str">
            <v>2QE</v>
          </cell>
          <cell r="AE10" t="str">
            <v>3QE</v>
          </cell>
          <cell r="AF10" t="str">
            <v>4QE</v>
          </cell>
          <cell r="AG10" t="str">
            <v>2003E</v>
          </cell>
          <cell r="AH10" t="str">
            <v>1QA</v>
          </cell>
          <cell r="AI10" t="str">
            <v>2QA</v>
          </cell>
          <cell r="AJ10" t="str">
            <v>3QA</v>
          </cell>
          <cell r="AK10" t="str">
            <v>4QA</v>
          </cell>
          <cell r="AL10" t="str">
            <v>2004A</v>
          </cell>
          <cell r="AM10" t="str">
            <v>1QA</v>
          </cell>
          <cell r="AN10" t="str">
            <v>2QA</v>
          </cell>
          <cell r="AO10" t="str">
            <v>3QA</v>
          </cell>
          <cell r="AP10" t="str">
            <v>4QA</v>
          </cell>
          <cell r="AQ10" t="str">
            <v>2005A</v>
          </cell>
          <cell r="AR10" t="str">
            <v>1QA</v>
          </cell>
          <cell r="AS10" t="str">
            <v>2QA</v>
          </cell>
          <cell r="AT10" t="str">
            <v>3QA</v>
          </cell>
          <cell r="AU10" t="str">
            <v>4QA</v>
          </cell>
          <cell r="AV10" t="str">
            <v>2006E</v>
          </cell>
          <cell r="AW10" t="str">
            <v>1QA</v>
          </cell>
          <cell r="AX10" t="str">
            <v>2QA</v>
          </cell>
          <cell r="AY10" t="str">
            <v>3QA</v>
          </cell>
          <cell r="AZ10" t="str">
            <v>4QA</v>
          </cell>
          <cell r="BA10" t="str">
            <v>2007E</v>
          </cell>
          <cell r="BB10" t="str">
            <v>1QE</v>
          </cell>
          <cell r="BC10" t="str">
            <v>2QE</v>
          </cell>
          <cell r="BD10" t="str">
            <v>3QE</v>
          </cell>
          <cell r="BE10" t="str">
            <v>4QE</v>
          </cell>
          <cell r="BF10" t="str">
            <v>2008E</v>
          </cell>
          <cell r="BG10" t="str">
            <v>1QE</v>
          </cell>
          <cell r="BH10" t="str">
            <v>2QE</v>
          </cell>
          <cell r="BI10" t="str">
            <v>3QE</v>
          </cell>
          <cell r="BJ10" t="str">
            <v>4QE</v>
          </cell>
          <cell r="BK10" t="str">
            <v>2009E</v>
          </cell>
          <cell r="BL10" t="str">
            <v>1QE</v>
          </cell>
          <cell r="BM10" t="str">
            <v>2QE</v>
          </cell>
          <cell r="BN10" t="str">
            <v>3QE</v>
          </cell>
          <cell r="BO10" t="str">
            <v>4QE</v>
          </cell>
          <cell r="BP10" t="str">
            <v>2010E</v>
          </cell>
        </row>
        <row r="11">
          <cell r="X11" t="str">
            <v>2002-Q1</v>
          </cell>
          <cell r="Y11" t="str">
            <v>2002-Q2</v>
          </cell>
          <cell r="Z11" t="str">
            <v>2002-Q3</v>
          </cell>
          <cell r="AA11" t="str">
            <v>2002-Q4</v>
          </cell>
          <cell r="AB11" t="str">
            <v>2002-FY</v>
          </cell>
          <cell r="AC11" t="str">
            <v>2003-Q1</v>
          </cell>
          <cell r="AD11" t="str">
            <v>2003-Q2</v>
          </cell>
          <cell r="AE11" t="str">
            <v>2003-Q3</v>
          </cell>
          <cell r="AF11" t="str">
            <v>2003-Q4</v>
          </cell>
          <cell r="AG11" t="str">
            <v>2003-FY</v>
          </cell>
          <cell r="AH11" t="str">
            <v>2004-Q1</v>
          </cell>
          <cell r="AI11" t="str">
            <v>2004-Q2</v>
          </cell>
          <cell r="AJ11" t="str">
            <v>2004-Q3</v>
          </cell>
          <cell r="AK11" t="str">
            <v>2004-Q4</v>
          </cell>
          <cell r="AL11" t="str">
            <v>2004-FY</v>
          </cell>
          <cell r="AM11" t="str">
            <v>2005-Q1</v>
          </cell>
          <cell r="AN11" t="str">
            <v>2005-Q2</v>
          </cell>
          <cell r="AO11" t="str">
            <v>2005-Q3</v>
          </cell>
          <cell r="AP11" t="str">
            <v>2005-Q4</v>
          </cell>
          <cell r="AQ11" t="str">
            <v>2005-FY</v>
          </cell>
          <cell r="AR11" t="str">
            <v>2006-Q1</v>
          </cell>
          <cell r="AS11" t="str">
            <v>2006-Q2</v>
          </cell>
          <cell r="AT11" t="str">
            <v>2006-Q3</v>
          </cell>
          <cell r="AU11" t="str">
            <v>2006-Q4</v>
          </cell>
          <cell r="AV11" t="str">
            <v>2006-FY</v>
          </cell>
          <cell r="AW11" t="str">
            <v>2007-Q1</v>
          </cell>
          <cell r="AX11" t="str">
            <v>2007-Q2</v>
          </cell>
          <cell r="AY11" t="str">
            <v>2007-Q3</v>
          </cell>
          <cell r="AZ11" t="str">
            <v>2007-Q4</v>
          </cell>
          <cell r="BA11" t="str">
            <v>2007-FY</v>
          </cell>
          <cell r="BB11" t="str">
            <v>2008-Q1</v>
          </cell>
          <cell r="BC11" t="str">
            <v>2008-Q2</v>
          </cell>
          <cell r="BD11" t="str">
            <v>2008-Q3</v>
          </cell>
          <cell r="BE11" t="str">
            <v>2008-Q4</v>
          </cell>
          <cell r="BF11" t="str">
            <v>2008-FY</v>
          </cell>
          <cell r="BG11" t="str">
            <v>2009-Q1</v>
          </cell>
          <cell r="BH11" t="str">
            <v>2009-Q2</v>
          </cell>
          <cell r="BI11" t="str">
            <v>2009-Q3</v>
          </cell>
          <cell r="BJ11" t="str">
            <v>2009-Q4</v>
          </cell>
          <cell r="BK11" t="str">
            <v>2009-FY</v>
          </cell>
          <cell r="BL11" t="str">
            <v>2010-Q1</v>
          </cell>
          <cell r="BM11" t="str">
            <v>2010-Q2</v>
          </cell>
          <cell r="BN11" t="str">
            <v>2010-Q3</v>
          </cell>
          <cell r="BO11" t="str">
            <v>2010-Q4</v>
          </cell>
          <cell r="BP11" t="str">
            <v>2010-FY</v>
          </cell>
        </row>
        <row r="13">
          <cell r="A13" t="str">
            <v>Acquisitions</v>
          </cell>
          <cell r="B13">
            <v>40947</v>
          </cell>
          <cell r="C13">
            <v>166033</v>
          </cell>
          <cell r="D13">
            <v>42462</v>
          </cell>
          <cell r="E13">
            <v>0</v>
          </cell>
          <cell r="F13">
            <v>249442</v>
          </cell>
          <cell r="H13">
            <v>63200</v>
          </cell>
          <cell r="I13">
            <v>63800</v>
          </cell>
          <cell r="J13">
            <v>16500</v>
          </cell>
          <cell r="K13">
            <v>16500</v>
          </cell>
          <cell r="L13">
            <v>160000</v>
          </cell>
          <cell r="N13">
            <v>-149600</v>
          </cell>
          <cell r="O13">
            <v>41166</v>
          </cell>
          <cell r="P13">
            <v>-150000</v>
          </cell>
          <cell r="Q13">
            <v>-150000</v>
          </cell>
          <cell r="R13">
            <v>-408434</v>
          </cell>
          <cell r="S13">
            <v>-125000</v>
          </cell>
          <cell r="T13">
            <v>-100000</v>
          </cell>
          <cell r="U13">
            <v>-281000</v>
          </cell>
          <cell r="V13">
            <v>-50000</v>
          </cell>
          <cell r="W13">
            <v>-556000</v>
          </cell>
          <cell r="X13">
            <v>-124299</v>
          </cell>
          <cell r="Y13">
            <v>-62514</v>
          </cell>
          <cell r="Z13">
            <v>-18349</v>
          </cell>
          <cell r="AA13">
            <v>67235</v>
          </cell>
          <cell r="AB13">
            <v>-137927</v>
          </cell>
          <cell r="AC13">
            <v>-6800</v>
          </cell>
          <cell r="AD13">
            <v>0</v>
          </cell>
          <cell r="AE13">
            <v>98848</v>
          </cell>
          <cell r="AF13">
            <v>96894</v>
          </cell>
          <cell r="AG13">
            <v>188942</v>
          </cell>
          <cell r="AH13">
            <v>15402</v>
          </cell>
          <cell r="AI13">
            <v>43553</v>
          </cell>
          <cell r="AJ13">
            <v>204562</v>
          </cell>
          <cell r="AK13">
            <v>0</v>
          </cell>
          <cell r="AL13">
            <v>263517</v>
          </cell>
          <cell r="AM13">
            <v>12473</v>
          </cell>
          <cell r="AN13">
            <v>288668</v>
          </cell>
          <cell r="AO13">
            <v>27548</v>
          </cell>
          <cell r="AP13">
            <v>0</v>
          </cell>
          <cell r="AQ13">
            <v>328689</v>
          </cell>
          <cell r="AR13">
            <v>914312</v>
          </cell>
          <cell r="AS13">
            <v>5250</v>
          </cell>
          <cell r="AT13">
            <v>34098</v>
          </cell>
          <cell r="AU13">
            <v>0</v>
          </cell>
          <cell r="AV13">
            <v>953660</v>
          </cell>
          <cell r="AW13">
            <v>0</v>
          </cell>
          <cell r="AX13">
            <v>69688</v>
          </cell>
          <cell r="AY13">
            <v>0</v>
          </cell>
          <cell r="AZ13">
            <v>69825</v>
          </cell>
          <cell r="BA13">
            <v>139513</v>
          </cell>
          <cell r="BB13">
            <v>25000</v>
          </cell>
          <cell r="BC13">
            <v>25000</v>
          </cell>
          <cell r="BD13">
            <v>25000</v>
          </cell>
          <cell r="BE13">
            <v>25000</v>
          </cell>
          <cell r="BF13">
            <v>100000</v>
          </cell>
          <cell r="BG13">
            <v>50000</v>
          </cell>
          <cell r="BH13">
            <v>50000</v>
          </cell>
          <cell r="BI13">
            <v>50000</v>
          </cell>
          <cell r="BJ13">
            <v>50000</v>
          </cell>
          <cell r="BK13">
            <v>200000</v>
          </cell>
          <cell r="BL13">
            <v>37500</v>
          </cell>
          <cell r="BM13">
            <v>37500</v>
          </cell>
          <cell r="BN13">
            <v>37500</v>
          </cell>
          <cell r="BO13">
            <v>37500</v>
          </cell>
          <cell r="BP13">
            <v>150000</v>
          </cell>
        </row>
        <row r="14">
          <cell r="A14" t="str">
            <v>Dispositions - op</v>
          </cell>
          <cell r="AD14">
            <v>14498</v>
          </cell>
          <cell r="AE14">
            <v>17852</v>
          </cell>
          <cell r="AF14">
            <v>127310</v>
          </cell>
          <cell r="AG14">
            <v>159660</v>
          </cell>
          <cell r="AH14">
            <v>17696</v>
          </cell>
          <cell r="AI14">
            <v>3698</v>
          </cell>
          <cell r="AJ14">
            <v>104493</v>
          </cell>
          <cell r="AK14">
            <v>25459</v>
          </cell>
          <cell r="AL14">
            <v>151346</v>
          </cell>
          <cell r="AM14">
            <v>13554</v>
          </cell>
          <cell r="AN14">
            <v>74710</v>
          </cell>
          <cell r="AO14">
            <v>1024121</v>
          </cell>
          <cell r="AP14">
            <v>18183</v>
          </cell>
          <cell r="AQ14">
            <v>1130568</v>
          </cell>
          <cell r="AR14">
            <v>57905</v>
          </cell>
          <cell r="AS14">
            <v>40102</v>
          </cell>
          <cell r="AT14">
            <v>101260</v>
          </cell>
          <cell r="AU14">
            <v>33152</v>
          </cell>
          <cell r="AV14">
            <v>232419</v>
          </cell>
          <cell r="AW14">
            <v>151006</v>
          </cell>
          <cell r="AX14">
            <v>68031</v>
          </cell>
          <cell r="AY14">
            <v>103801</v>
          </cell>
          <cell r="AZ14">
            <v>36621</v>
          </cell>
          <cell r="BA14">
            <v>359459</v>
          </cell>
          <cell r="BB14">
            <v>62500</v>
          </cell>
          <cell r="BC14">
            <v>62500</v>
          </cell>
          <cell r="BD14">
            <v>62500</v>
          </cell>
          <cell r="BE14">
            <v>62500</v>
          </cell>
          <cell r="BF14">
            <v>250000</v>
          </cell>
          <cell r="BG14">
            <v>87500</v>
          </cell>
          <cell r="BH14">
            <v>87500</v>
          </cell>
          <cell r="BI14">
            <v>87500</v>
          </cell>
          <cell r="BJ14">
            <v>87500</v>
          </cell>
          <cell r="BK14">
            <v>350000</v>
          </cell>
          <cell r="BL14">
            <v>87500</v>
          </cell>
          <cell r="BM14">
            <v>87500</v>
          </cell>
          <cell r="BN14">
            <v>87500</v>
          </cell>
          <cell r="BO14">
            <v>87500</v>
          </cell>
          <cell r="BP14">
            <v>350000</v>
          </cell>
        </row>
        <row r="15">
          <cell r="A15" t="str">
            <v>Net Acquisitions</v>
          </cell>
          <cell r="AD15">
            <v>-14498</v>
          </cell>
          <cell r="AE15">
            <v>80996</v>
          </cell>
          <cell r="AF15">
            <v>-30416</v>
          </cell>
          <cell r="AG15">
            <v>29282</v>
          </cell>
          <cell r="AH15">
            <v>-2294</v>
          </cell>
          <cell r="AI15">
            <v>39855</v>
          </cell>
          <cell r="AJ15">
            <v>100069</v>
          </cell>
          <cell r="AK15">
            <v>-25459</v>
          </cell>
          <cell r="AL15">
            <v>112171</v>
          </cell>
          <cell r="AM15">
            <v>-1081</v>
          </cell>
          <cell r="AN15">
            <v>213958</v>
          </cell>
          <cell r="AO15">
            <v>-996573</v>
          </cell>
          <cell r="AP15">
            <v>-18183</v>
          </cell>
          <cell r="AQ15">
            <v>-801879</v>
          </cell>
          <cell r="AR15">
            <v>856407</v>
          </cell>
          <cell r="AS15">
            <v>-34852</v>
          </cell>
          <cell r="AT15">
            <v>-67162</v>
          </cell>
          <cell r="AU15">
            <v>-33152</v>
          </cell>
          <cell r="AV15">
            <v>721241</v>
          </cell>
          <cell r="AW15">
            <v>-151006</v>
          </cell>
          <cell r="AX15">
            <v>1657</v>
          </cell>
          <cell r="AY15">
            <v>-103801</v>
          </cell>
          <cell r="AZ15">
            <v>33204</v>
          </cell>
          <cell r="BA15">
            <v>-219946</v>
          </cell>
          <cell r="BB15">
            <v>-37500</v>
          </cell>
          <cell r="BC15">
            <v>-37500</v>
          </cell>
          <cell r="BD15">
            <v>-37500</v>
          </cell>
          <cell r="BE15">
            <v>-37500</v>
          </cell>
          <cell r="BF15">
            <v>-150000</v>
          </cell>
          <cell r="BG15">
            <v>-37500</v>
          </cell>
          <cell r="BH15">
            <v>-37500</v>
          </cell>
          <cell r="BI15">
            <v>-37500</v>
          </cell>
          <cell r="BJ15">
            <v>-37500</v>
          </cell>
          <cell r="BK15">
            <v>-150000</v>
          </cell>
          <cell r="BL15">
            <v>-50000</v>
          </cell>
          <cell r="BM15">
            <v>-50000</v>
          </cell>
          <cell r="BN15">
            <v>-50000</v>
          </cell>
          <cell r="BO15">
            <v>-50000</v>
          </cell>
          <cell r="BP15">
            <v>-200000</v>
          </cell>
        </row>
        <row r="16">
          <cell r="A16" t="str">
            <v>Cap Rate</v>
          </cell>
          <cell r="B16">
            <v>0.10340000000000001</v>
          </cell>
          <cell r="C16">
            <v>9.9500000000000005E-2</v>
          </cell>
          <cell r="D16">
            <v>9.8900000000000002E-2</v>
          </cell>
          <cell r="E16">
            <v>0.1</v>
          </cell>
          <cell r="H16">
            <v>0.11</v>
          </cell>
          <cell r="I16">
            <v>0.1</v>
          </cell>
          <cell r="J16">
            <v>0.1</v>
          </cell>
          <cell r="K16">
            <v>0.1</v>
          </cell>
          <cell r="N16">
            <v>0.1</v>
          </cell>
          <cell r="O16">
            <v>0.1</v>
          </cell>
          <cell r="P16">
            <v>0.1</v>
          </cell>
          <cell r="Q16">
            <v>0.1</v>
          </cell>
          <cell r="S16">
            <v>0.1</v>
          </cell>
          <cell r="T16">
            <v>0.1</v>
          </cell>
          <cell r="U16">
            <v>9.7500000000000003E-2</v>
          </cell>
          <cell r="V16">
            <v>9.7500000000000003E-2</v>
          </cell>
          <cell r="X16">
            <v>0.1</v>
          </cell>
          <cell r="Y16">
            <v>0.1</v>
          </cell>
          <cell r="Z16">
            <v>0.1</v>
          </cell>
          <cell r="AA16">
            <v>0.1</v>
          </cell>
          <cell r="AC16">
            <v>9.6000000000000002E-2</v>
          </cell>
          <cell r="AD16">
            <v>9.0200000000000002E-2</v>
          </cell>
          <cell r="AE16">
            <v>9.9000000000000005E-2</v>
          </cell>
          <cell r="AF16">
            <v>9.6000000000000002E-2</v>
          </cell>
          <cell r="AH16">
            <v>9.7361596009975057E-2</v>
          </cell>
          <cell r="AI16">
            <v>9.2999999999999999E-2</v>
          </cell>
          <cell r="AJ16">
            <v>8.5000000000000006E-2</v>
          </cell>
          <cell r="AK16">
            <v>8.4500000000000006E-2</v>
          </cell>
          <cell r="AM16">
            <v>0.08</v>
          </cell>
          <cell r="AN16">
            <v>8.5000000000000006E-2</v>
          </cell>
          <cell r="AO16">
            <v>7.9993839696710672E-2</v>
          </cell>
          <cell r="AP16">
            <v>8.3599999999999994E-2</v>
          </cell>
          <cell r="AR16">
            <v>6.9856408805853004E-2</v>
          </cell>
          <cell r="AS16">
            <v>7.5046035455988702E-2</v>
          </cell>
          <cell r="AT16">
            <v>8.1631284445692162E-2</v>
          </cell>
          <cell r="AU16">
            <v>8.2299999999999998E-2</v>
          </cell>
          <cell r="AW16">
            <v>8.2299999999999998E-2</v>
          </cell>
          <cell r="AX16">
            <v>7.8781884126373269E-2</v>
          </cell>
          <cell r="AY16">
            <v>8.0600000000000005E-2</v>
          </cell>
          <cell r="AZ16">
            <v>8.2400000000000001E-2</v>
          </cell>
          <cell r="BB16">
            <v>8.1000000000000003E-2</v>
          </cell>
          <cell r="BC16">
            <v>8.1000000000000003E-2</v>
          </cell>
          <cell r="BD16">
            <v>8.1000000000000003E-2</v>
          </cell>
          <cell r="BE16">
            <v>8.1000000000000003E-2</v>
          </cell>
          <cell r="BG16">
            <v>0.08</v>
          </cell>
          <cell r="BH16">
            <v>0.08</v>
          </cell>
          <cell r="BI16">
            <v>0.08</v>
          </cell>
          <cell r="BJ16">
            <v>0.08</v>
          </cell>
          <cell r="BL16">
            <v>0.08</v>
          </cell>
          <cell r="BM16">
            <v>0.08</v>
          </cell>
          <cell r="BN16">
            <v>0.08</v>
          </cell>
          <cell r="BO16">
            <v>0.08</v>
          </cell>
        </row>
        <row r="17">
          <cell r="A17" t="str">
            <v>Quarter or Year</v>
          </cell>
          <cell r="B17">
            <v>0.25</v>
          </cell>
          <cell r="C17">
            <v>0.25</v>
          </cell>
          <cell r="D17">
            <v>0.25</v>
          </cell>
          <cell r="E17">
            <v>0.25</v>
          </cell>
          <cell r="H17">
            <v>0.25</v>
          </cell>
          <cell r="I17">
            <v>0.25</v>
          </cell>
          <cell r="J17">
            <v>0.25</v>
          </cell>
          <cell r="K17">
            <v>0.25</v>
          </cell>
          <cell r="N17">
            <v>0.25</v>
          </cell>
          <cell r="O17">
            <v>0.25</v>
          </cell>
          <cell r="P17">
            <v>0.25</v>
          </cell>
          <cell r="Q17">
            <v>0.25</v>
          </cell>
          <cell r="S17">
            <v>0.25</v>
          </cell>
          <cell r="T17">
            <v>0.25</v>
          </cell>
          <cell r="U17">
            <v>0.25</v>
          </cell>
          <cell r="V17">
            <v>0.25</v>
          </cell>
          <cell r="X17">
            <v>0.25</v>
          </cell>
          <cell r="Y17">
            <v>0.25</v>
          </cell>
          <cell r="Z17">
            <v>0.25</v>
          </cell>
          <cell r="AA17">
            <v>0.25</v>
          </cell>
          <cell r="AC17">
            <v>0.25</v>
          </cell>
          <cell r="AD17">
            <v>0.25</v>
          </cell>
          <cell r="AE17">
            <v>0.25</v>
          </cell>
          <cell r="AF17">
            <v>0.25</v>
          </cell>
          <cell r="AH17">
            <v>0.25</v>
          </cell>
          <cell r="AI17">
            <v>0.25</v>
          </cell>
          <cell r="AJ17">
            <v>0.25</v>
          </cell>
          <cell r="AK17">
            <v>0.25</v>
          </cell>
          <cell r="AM17">
            <v>0.25</v>
          </cell>
          <cell r="AN17">
            <v>0.25</v>
          </cell>
          <cell r="AO17">
            <v>0.25</v>
          </cell>
          <cell r="AP17">
            <v>0.25</v>
          </cell>
          <cell r="AR17">
            <v>0.25</v>
          </cell>
          <cell r="AS17">
            <v>0.25</v>
          </cell>
          <cell r="AT17">
            <v>0.25</v>
          </cell>
          <cell r="AU17">
            <v>0.25</v>
          </cell>
          <cell r="AW17">
            <v>0.25</v>
          </cell>
          <cell r="AX17">
            <v>0.25</v>
          </cell>
          <cell r="AY17">
            <v>0.25</v>
          </cell>
          <cell r="AZ17">
            <v>0.25</v>
          </cell>
          <cell r="BB17">
            <v>0.25</v>
          </cell>
          <cell r="BC17">
            <v>0.25</v>
          </cell>
          <cell r="BD17">
            <v>0.25</v>
          </cell>
          <cell r="BE17">
            <v>0.25</v>
          </cell>
          <cell r="BG17">
            <v>0.25</v>
          </cell>
          <cell r="BH17">
            <v>0.25</v>
          </cell>
          <cell r="BI17">
            <v>0.25</v>
          </cell>
          <cell r="BJ17">
            <v>0.25</v>
          </cell>
          <cell r="BL17">
            <v>0.25</v>
          </cell>
          <cell r="BM17">
            <v>0.25</v>
          </cell>
          <cell r="BN17">
            <v>0.25</v>
          </cell>
          <cell r="BO17">
            <v>0.25</v>
          </cell>
        </row>
        <row r="18">
          <cell r="A18" t="str">
            <v>Timing of Transaction</v>
          </cell>
          <cell r="B18">
            <v>0.5</v>
          </cell>
          <cell r="C18">
            <v>0.5</v>
          </cell>
          <cell r="D18">
            <v>0.5</v>
          </cell>
          <cell r="E18">
            <v>0.5</v>
          </cell>
          <cell r="H18">
            <v>0.5</v>
          </cell>
          <cell r="I18">
            <v>0.5</v>
          </cell>
          <cell r="J18">
            <v>0.5</v>
          </cell>
          <cell r="K18">
            <v>0.5</v>
          </cell>
          <cell r="N18">
            <v>0.5</v>
          </cell>
          <cell r="O18">
            <v>0.5</v>
          </cell>
          <cell r="P18">
            <v>0.5</v>
          </cell>
          <cell r="Q18">
            <v>0.5</v>
          </cell>
          <cell r="S18">
            <v>0.5</v>
          </cell>
          <cell r="T18">
            <v>0.5</v>
          </cell>
          <cell r="U18">
            <v>0.5</v>
          </cell>
          <cell r="V18">
            <v>0.5</v>
          </cell>
          <cell r="X18">
            <v>0.5</v>
          </cell>
          <cell r="Y18">
            <v>0.5</v>
          </cell>
          <cell r="Z18">
            <v>0.5</v>
          </cell>
          <cell r="AA18">
            <v>0.5</v>
          </cell>
          <cell r="AC18">
            <v>0.5</v>
          </cell>
          <cell r="AD18">
            <v>0.5</v>
          </cell>
          <cell r="AE18">
            <v>0.5</v>
          </cell>
          <cell r="AF18">
            <v>0.5</v>
          </cell>
          <cell r="AH18">
            <v>0.5</v>
          </cell>
          <cell r="AI18">
            <v>0.5</v>
          </cell>
          <cell r="AJ18">
            <v>0.5</v>
          </cell>
          <cell r="AK18">
            <v>0.5</v>
          </cell>
          <cell r="AM18">
            <v>0.5</v>
          </cell>
          <cell r="AN18">
            <v>0.33333333333333331</v>
          </cell>
          <cell r="AO18">
            <v>0.66</v>
          </cell>
          <cell r="AP18">
            <v>0.5</v>
          </cell>
          <cell r="AR18">
            <v>0.4</v>
          </cell>
          <cell r="AS18">
            <v>0.5</v>
          </cell>
          <cell r="AT18">
            <v>0.8</v>
          </cell>
          <cell r="AU18">
            <v>0.2</v>
          </cell>
          <cell r="AW18">
            <v>0.5</v>
          </cell>
          <cell r="AX18">
            <v>0.5</v>
          </cell>
          <cell r="AY18">
            <v>0.5</v>
          </cell>
          <cell r="AZ18">
            <v>0.9</v>
          </cell>
          <cell r="BB18">
            <v>0.5</v>
          </cell>
          <cell r="BC18">
            <v>0.5</v>
          </cell>
          <cell r="BD18">
            <v>0.5</v>
          </cell>
          <cell r="BE18">
            <v>0.5</v>
          </cell>
          <cell r="BG18">
            <v>0.5</v>
          </cell>
          <cell r="BH18">
            <v>0.5</v>
          </cell>
          <cell r="BI18">
            <v>0.5</v>
          </cell>
          <cell r="BJ18">
            <v>0.5</v>
          </cell>
          <cell r="BL18">
            <v>0.5</v>
          </cell>
          <cell r="BM18">
            <v>0.5</v>
          </cell>
          <cell r="BN18">
            <v>0.5</v>
          </cell>
          <cell r="BO18">
            <v>0.5</v>
          </cell>
        </row>
        <row r="19">
          <cell r="A19" t="str">
            <v>NOI Contribution - Partial Quarter</v>
          </cell>
          <cell r="B19">
            <v>529.23997500000007</v>
          </cell>
          <cell r="C19">
            <v>2065.0354375000002</v>
          </cell>
          <cell r="D19">
            <v>524.93647499999997</v>
          </cell>
          <cell r="E19">
            <v>0</v>
          </cell>
          <cell r="H19">
            <v>869</v>
          </cell>
          <cell r="I19">
            <v>797.5</v>
          </cell>
          <cell r="J19">
            <v>206.25</v>
          </cell>
          <cell r="K19">
            <v>206.25</v>
          </cell>
          <cell r="N19">
            <v>-1870</v>
          </cell>
          <cell r="O19">
            <v>514.57500000000005</v>
          </cell>
          <cell r="P19">
            <v>-1875</v>
          </cell>
          <cell r="Q19">
            <v>-1875</v>
          </cell>
          <cell r="S19">
            <v>-1562.5</v>
          </cell>
          <cell r="T19">
            <v>-1250</v>
          </cell>
          <cell r="U19">
            <v>-3424.6875</v>
          </cell>
          <cell r="V19">
            <v>-609.375</v>
          </cell>
          <cell r="X19">
            <v>-1553.7375000000002</v>
          </cell>
          <cell r="Y19">
            <v>-781.42500000000007</v>
          </cell>
          <cell r="Z19">
            <v>-229.36250000000001</v>
          </cell>
          <cell r="AA19">
            <v>840.4375</v>
          </cell>
          <cell r="AC19">
            <v>-81.600000000000009</v>
          </cell>
          <cell r="AD19">
            <v>-163.46495000000002</v>
          </cell>
          <cell r="AE19">
            <v>1002.3255</v>
          </cell>
          <cell r="AF19">
            <v>-364.99200000000002</v>
          </cell>
          <cell r="AH19">
            <v>-27.918437655860348</v>
          </cell>
          <cell r="AI19">
            <v>463.31437499999998</v>
          </cell>
          <cell r="AJ19">
            <v>1063.233125</v>
          </cell>
          <cell r="AK19">
            <v>-268.91068749999999</v>
          </cell>
          <cell r="AM19">
            <v>-10.81</v>
          </cell>
          <cell r="AN19">
            <v>1515.5358333333334</v>
          </cell>
          <cell r="AO19">
            <v>-13153.750633331558</v>
          </cell>
          <cell r="AP19">
            <v>-190.01235</v>
          </cell>
          <cell r="AR19">
            <v>5982.5517496194152</v>
          </cell>
          <cell r="AS19">
            <v>-326.93805346401479</v>
          </cell>
          <cell r="AT19">
            <v>-1096.5040651883155</v>
          </cell>
          <cell r="AU19">
            <v>-136.42048</v>
          </cell>
          <cell r="AW19">
            <v>-1553.4742249999999</v>
          </cell>
          <cell r="AX19">
            <v>16.317697749675062</v>
          </cell>
          <cell r="AY19">
            <v>-1045.795075</v>
          </cell>
          <cell r="AZ19">
            <v>615.60216000000003</v>
          </cell>
          <cell r="BB19">
            <v>-379.6875</v>
          </cell>
          <cell r="BC19">
            <v>-379.6875</v>
          </cell>
          <cell r="BD19">
            <v>-379.6875</v>
          </cell>
          <cell r="BE19">
            <v>-379.6875</v>
          </cell>
          <cell r="BG19">
            <v>-375</v>
          </cell>
          <cell r="BH19">
            <v>-375</v>
          </cell>
          <cell r="BI19">
            <v>-375</v>
          </cell>
          <cell r="BJ19">
            <v>-375</v>
          </cell>
          <cell r="BL19">
            <v>-500</v>
          </cell>
          <cell r="BM19">
            <v>-500</v>
          </cell>
          <cell r="BN19">
            <v>-500</v>
          </cell>
          <cell r="BO19">
            <v>-500</v>
          </cell>
        </row>
        <row r="20">
          <cell r="A20" t="str">
            <v>NOI Contribution - Full Quarter</v>
          </cell>
          <cell r="B20">
            <v>1058.4799500000001</v>
          </cell>
          <cell r="C20">
            <v>4130.0708750000003</v>
          </cell>
          <cell r="D20">
            <v>1049.8729499999999</v>
          </cell>
          <cell r="E20">
            <v>0</v>
          </cell>
          <cell r="H20">
            <v>1738</v>
          </cell>
          <cell r="I20">
            <v>1595</v>
          </cell>
          <cell r="J20">
            <v>412.5</v>
          </cell>
          <cell r="K20">
            <v>412.5</v>
          </cell>
          <cell r="N20">
            <v>-3740</v>
          </cell>
          <cell r="O20">
            <v>1029.1500000000001</v>
          </cell>
          <cell r="P20">
            <v>-3750</v>
          </cell>
          <cell r="Q20">
            <v>-3750</v>
          </cell>
          <cell r="S20">
            <v>-3125</v>
          </cell>
          <cell r="T20">
            <v>-2500</v>
          </cell>
          <cell r="U20">
            <v>-6849.375</v>
          </cell>
          <cell r="V20">
            <v>-1218.75</v>
          </cell>
          <cell r="X20">
            <v>-3107.4750000000004</v>
          </cell>
          <cell r="Y20">
            <v>-1562.8500000000001</v>
          </cell>
          <cell r="Z20">
            <v>-458.72500000000002</v>
          </cell>
          <cell r="AA20">
            <v>1680.875</v>
          </cell>
          <cell r="AC20">
            <v>-163.20000000000002</v>
          </cell>
          <cell r="AD20">
            <v>-326.92990000000003</v>
          </cell>
          <cell r="AE20">
            <v>2004.6510000000001</v>
          </cell>
          <cell r="AF20">
            <v>-729.98400000000004</v>
          </cell>
          <cell r="AH20">
            <v>-55.836875311720696</v>
          </cell>
          <cell r="AI20">
            <v>926.62874999999997</v>
          </cell>
          <cell r="AJ20">
            <v>2126.4662499999999</v>
          </cell>
          <cell r="AK20">
            <v>-537.82137499999999</v>
          </cell>
          <cell r="AM20">
            <v>-21.62</v>
          </cell>
          <cell r="AN20">
            <v>4546.6075000000001</v>
          </cell>
          <cell r="AO20">
            <v>-19929.925202017512</v>
          </cell>
          <cell r="AP20">
            <v>-380.0247</v>
          </cell>
          <cell r="AR20">
            <v>14956.379374048538</v>
          </cell>
          <cell r="AS20">
            <v>-653.87610692802957</v>
          </cell>
          <cell r="AT20">
            <v>-1370.6300814853942</v>
          </cell>
          <cell r="AU20">
            <v>-682.10239999999999</v>
          </cell>
          <cell r="AW20">
            <v>-3106.9484499999999</v>
          </cell>
          <cell r="AX20">
            <v>32.635395499350125</v>
          </cell>
          <cell r="AY20">
            <v>-2091.59015</v>
          </cell>
          <cell r="AZ20">
            <v>684.00239999999997</v>
          </cell>
          <cell r="BB20">
            <v>-759.375</v>
          </cell>
          <cell r="BC20">
            <v>-759.375</v>
          </cell>
          <cell r="BD20">
            <v>-759.375</v>
          </cell>
          <cell r="BE20">
            <v>-759.375</v>
          </cell>
          <cell r="BG20">
            <v>-750</v>
          </cell>
          <cell r="BH20">
            <v>-750</v>
          </cell>
          <cell r="BI20">
            <v>-750</v>
          </cell>
          <cell r="BJ20">
            <v>-750</v>
          </cell>
          <cell r="BL20">
            <v>-1000</v>
          </cell>
          <cell r="BM20">
            <v>-1000</v>
          </cell>
          <cell r="BN20">
            <v>-1000</v>
          </cell>
          <cell r="BO20">
            <v>-1000</v>
          </cell>
        </row>
        <row r="21">
          <cell r="A21" t="str">
            <v>Growth Rate for Acquisitions</v>
          </cell>
          <cell r="B21">
            <v>2.5000000000000001E-3</v>
          </cell>
          <cell r="C21">
            <v>2.5000000000000001E-3</v>
          </cell>
          <cell r="D21">
            <v>2.5000000000000001E-3</v>
          </cell>
          <cell r="E21">
            <v>2.5000000000000001E-3</v>
          </cell>
          <cell r="H21">
            <v>2.5000000000000001E-3</v>
          </cell>
          <cell r="I21">
            <v>2.5000000000000001E-3</v>
          </cell>
          <cell r="J21">
            <v>2.5000000000000001E-3</v>
          </cell>
          <cell r="K21">
            <v>2.5000000000000001E-3</v>
          </cell>
          <cell r="N21">
            <v>2.5000000000000001E-3</v>
          </cell>
          <cell r="O21">
            <v>2.5000000000000001E-3</v>
          </cell>
          <cell r="P21">
            <v>2.5000000000000001E-3</v>
          </cell>
          <cell r="Q21">
            <v>2.5000000000000001E-3</v>
          </cell>
          <cell r="S21">
            <v>2.5000000000000001E-3</v>
          </cell>
          <cell r="T21">
            <v>2.5000000000000001E-3</v>
          </cell>
          <cell r="U21">
            <v>2.5000000000000001E-3</v>
          </cell>
          <cell r="V21">
            <v>2.5000000000000001E-3</v>
          </cell>
          <cell r="X21">
            <v>2.5000000000000001E-3</v>
          </cell>
          <cell r="Y21">
            <v>2.5000000000000001E-3</v>
          </cell>
          <cell r="Z21">
            <v>2.5000000000000001E-3</v>
          </cell>
          <cell r="AA21">
            <v>2.5000000000000001E-3</v>
          </cell>
          <cell r="AC21">
            <v>2.5000000000000001E-3</v>
          </cell>
          <cell r="AD21">
            <v>2.5000000000000001E-3</v>
          </cell>
          <cell r="AE21">
            <v>2.5000000000000001E-3</v>
          </cell>
          <cell r="AF21">
            <v>2.5000000000000001E-3</v>
          </cell>
          <cell r="AH21">
            <v>2.5000000000000001E-3</v>
          </cell>
          <cell r="AI21">
            <v>2.5000000000000001E-3</v>
          </cell>
          <cell r="AJ21">
            <v>2.5000000000000001E-3</v>
          </cell>
          <cell r="AK21">
            <v>2.5000000000000001E-3</v>
          </cell>
          <cell r="AM21">
            <v>2.5000000000000001E-3</v>
          </cell>
          <cell r="AN21">
            <v>2.5000000000000001E-3</v>
          </cell>
          <cell r="AO21">
            <v>2.5000000000000001E-3</v>
          </cell>
          <cell r="AP21">
            <v>2.5000000000000001E-3</v>
          </cell>
          <cell r="AR21">
            <v>2.5000000000000001E-3</v>
          </cell>
          <cell r="AS21">
            <v>2.5000000000000001E-3</v>
          </cell>
          <cell r="AT21">
            <v>2.5000000000000001E-3</v>
          </cell>
          <cell r="AU21">
            <v>2.5000000000000001E-3</v>
          </cell>
          <cell r="AW21">
            <v>2.5000000000000001E-3</v>
          </cell>
          <cell r="AX21">
            <v>2.5000000000000001E-3</v>
          </cell>
          <cell r="AY21">
            <v>2.5000000000000001E-3</v>
          </cell>
          <cell r="AZ21">
            <v>2.5000000000000001E-3</v>
          </cell>
          <cell r="BB21">
            <v>2.5000000000000001E-3</v>
          </cell>
          <cell r="BC21">
            <v>2.5000000000000001E-3</v>
          </cell>
          <cell r="BD21">
            <v>2.5000000000000001E-3</v>
          </cell>
          <cell r="BE21">
            <v>2.5000000000000001E-3</v>
          </cell>
          <cell r="BG21">
            <v>2.5000000000000001E-3</v>
          </cell>
          <cell r="BH21">
            <v>2.5000000000000001E-3</v>
          </cell>
          <cell r="BI21">
            <v>2.5000000000000001E-3</v>
          </cell>
          <cell r="BJ21">
            <v>2.5000000000000001E-3</v>
          </cell>
          <cell r="BL21">
            <v>2.5000000000000001E-3</v>
          </cell>
          <cell r="BM21">
            <v>2.5000000000000001E-3</v>
          </cell>
          <cell r="BN21">
            <v>2.5000000000000001E-3</v>
          </cell>
          <cell r="BO21">
            <v>2.5000000000000001E-3</v>
          </cell>
        </row>
        <row r="23">
          <cell r="A23" t="str">
            <v>1Q98</v>
          </cell>
        </row>
        <row r="24">
          <cell r="A24" t="str">
            <v>2Q98</v>
          </cell>
          <cell r="D24">
            <v>0</v>
          </cell>
          <cell r="E24">
            <v>0</v>
          </cell>
          <cell r="H24">
            <v>0</v>
          </cell>
          <cell r="I24">
            <v>0</v>
          </cell>
          <cell r="J24">
            <v>0</v>
          </cell>
          <cell r="K24">
            <v>0</v>
          </cell>
          <cell r="N24">
            <v>0</v>
          </cell>
          <cell r="O24">
            <v>0</v>
          </cell>
          <cell r="P24">
            <v>0</v>
          </cell>
          <cell r="Q24">
            <v>0</v>
          </cell>
          <cell r="S24">
            <v>0</v>
          </cell>
          <cell r="T24">
            <v>0</v>
          </cell>
          <cell r="U24">
            <v>0</v>
          </cell>
          <cell r="V24">
            <v>0</v>
          </cell>
          <cell r="X24">
            <v>0</v>
          </cell>
          <cell r="Y24">
            <v>0</v>
          </cell>
          <cell r="Z24">
            <v>0</v>
          </cell>
          <cell r="AA24">
            <v>0</v>
          </cell>
          <cell r="AC24">
            <v>0</v>
          </cell>
          <cell r="AD24">
            <v>0</v>
          </cell>
          <cell r="AE24">
            <v>0</v>
          </cell>
          <cell r="AF24">
            <v>0</v>
          </cell>
          <cell r="AH24">
            <v>0</v>
          </cell>
          <cell r="AI24">
            <v>0</v>
          </cell>
          <cell r="AJ24">
            <v>0</v>
          </cell>
          <cell r="AK24">
            <v>0</v>
          </cell>
          <cell r="AM24">
            <v>0</v>
          </cell>
          <cell r="AN24">
            <v>0</v>
          </cell>
          <cell r="AO24">
            <v>0</v>
          </cell>
          <cell r="AP24">
            <v>0</v>
          </cell>
          <cell r="AR24">
            <v>0</v>
          </cell>
          <cell r="AS24">
            <v>0</v>
          </cell>
          <cell r="AT24">
            <v>0</v>
          </cell>
          <cell r="AU24">
            <v>0</v>
          </cell>
          <cell r="AW24">
            <v>0</v>
          </cell>
          <cell r="AX24">
            <v>0</v>
          </cell>
          <cell r="AY24">
            <v>0</v>
          </cell>
          <cell r="AZ24">
            <v>0</v>
          </cell>
          <cell r="BB24">
            <v>0</v>
          </cell>
          <cell r="BC24">
            <v>0</v>
          </cell>
          <cell r="BD24">
            <v>0</v>
          </cell>
          <cell r="BE24">
            <v>0</v>
          </cell>
          <cell r="BG24">
            <v>0</v>
          </cell>
          <cell r="BH24">
            <v>0</v>
          </cell>
          <cell r="BI24">
            <v>0</v>
          </cell>
          <cell r="BJ24">
            <v>0</v>
          </cell>
          <cell r="BL24">
            <v>0</v>
          </cell>
          <cell r="BM24">
            <v>0</v>
          </cell>
          <cell r="BN24">
            <v>0</v>
          </cell>
          <cell r="BO24">
            <v>0</v>
          </cell>
        </row>
        <row r="25">
          <cell r="A25" t="str">
            <v>3Q98</v>
          </cell>
          <cell r="D25">
            <v>0</v>
          </cell>
          <cell r="E25">
            <v>0</v>
          </cell>
          <cell r="H25">
            <v>0</v>
          </cell>
          <cell r="I25">
            <v>0</v>
          </cell>
          <cell r="J25">
            <v>0</v>
          </cell>
          <cell r="K25">
            <v>0</v>
          </cell>
          <cell r="N25">
            <v>0</v>
          </cell>
          <cell r="O25">
            <v>0</v>
          </cell>
          <cell r="P25">
            <v>0</v>
          </cell>
          <cell r="Q25">
            <v>0</v>
          </cell>
          <cell r="S25">
            <v>0</v>
          </cell>
          <cell r="T25">
            <v>0</v>
          </cell>
          <cell r="U25">
            <v>0</v>
          </cell>
          <cell r="V25">
            <v>0</v>
          </cell>
          <cell r="X25">
            <v>0</v>
          </cell>
          <cell r="Y25">
            <v>0</v>
          </cell>
          <cell r="Z25">
            <v>0</v>
          </cell>
          <cell r="AA25">
            <v>0</v>
          </cell>
          <cell r="AC25">
            <v>0</v>
          </cell>
          <cell r="AD25">
            <v>0</v>
          </cell>
          <cell r="AE25">
            <v>0</v>
          </cell>
          <cell r="AF25">
            <v>0</v>
          </cell>
          <cell r="AH25">
            <v>0</v>
          </cell>
          <cell r="AI25">
            <v>0</v>
          </cell>
          <cell r="AJ25">
            <v>0</v>
          </cell>
          <cell r="AK25">
            <v>0</v>
          </cell>
          <cell r="AM25">
            <v>0</v>
          </cell>
          <cell r="AN25">
            <v>0</v>
          </cell>
          <cell r="AO25">
            <v>0</v>
          </cell>
          <cell r="AP25">
            <v>0</v>
          </cell>
          <cell r="AR25">
            <v>0</v>
          </cell>
          <cell r="AS25">
            <v>0</v>
          </cell>
          <cell r="AT25">
            <v>0</v>
          </cell>
          <cell r="AU25">
            <v>0</v>
          </cell>
          <cell r="AW25">
            <v>0</v>
          </cell>
          <cell r="AX25">
            <v>0</v>
          </cell>
          <cell r="AY25">
            <v>0</v>
          </cell>
          <cell r="AZ25">
            <v>0</v>
          </cell>
          <cell r="BB25">
            <v>0</v>
          </cell>
          <cell r="BC25">
            <v>0</v>
          </cell>
          <cell r="BD25">
            <v>0</v>
          </cell>
          <cell r="BE25">
            <v>0</v>
          </cell>
          <cell r="BG25">
            <v>0</v>
          </cell>
          <cell r="BH25">
            <v>0</v>
          </cell>
          <cell r="BI25">
            <v>0</v>
          </cell>
          <cell r="BJ25">
            <v>0</v>
          </cell>
          <cell r="BL25">
            <v>0</v>
          </cell>
          <cell r="BM25">
            <v>0</v>
          </cell>
          <cell r="BN25">
            <v>0</v>
          </cell>
          <cell r="BO25">
            <v>0</v>
          </cell>
        </row>
        <row r="26">
          <cell r="A26" t="str">
            <v>4Q98</v>
          </cell>
          <cell r="E26">
            <v>0</v>
          </cell>
          <cell r="H26">
            <v>0</v>
          </cell>
          <cell r="I26">
            <v>0</v>
          </cell>
          <cell r="J26">
            <v>0</v>
          </cell>
          <cell r="K26">
            <v>0</v>
          </cell>
          <cell r="N26">
            <v>0</v>
          </cell>
          <cell r="O26">
            <v>0</v>
          </cell>
          <cell r="P26">
            <v>0</v>
          </cell>
          <cell r="Q26">
            <v>0</v>
          </cell>
          <cell r="S26">
            <v>0</v>
          </cell>
          <cell r="T26">
            <v>0</v>
          </cell>
          <cell r="U26">
            <v>0</v>
          </cell>
          <cell r="V26">
            <v>0</v>
          </cell>
          <cell r="X26">
            <v>0</v>
          </cell>
          <cell r="Y26">
            <v>0</v>
          </cell>
          <cell r="Z26">
            <v>0</v>
          </cell>
          <cell r="AA26">
            <v>0</v>
          </cell>
          <cell r="AC26">
            <v>0</v>
          </cell>
          <cell r="AD26">
            <v>0</v>
          </cell>
          <cell r="AE26">
            <v>0</v>
          </cell>
          <cell r="AF26">
            <v>0</v>
          </cell>
          <cell r="AH26">
            <v>0</v>
          </cell>
          <cell r="AI26">
            <v>0</v>
          </cell>
          <cell r="AJ26">
            <v>0</v>
          </cell>
          <cell r="AK26">
            <v>0</v>
          </cell>
          <cell r="AM26">
            <v>0</v>
          </cell>
          <cell r="AN26">
            <v>0</v>
          </cell>
          <cell r="AO26">
            <v>0</v>
          </cell>
          <cell r="AP26">
            <v>0</v>
          </cell>
          <cell r="AR26">
            <v>0</v>
          </cell>
          <cell r="AS26">
            <v>0</v>
          </cell>
          <cell r="AT26">
            <v>0</v>
          </cell>
          <cell r="AU26">
            <v>0</v>
          </cell>
          <cell r="AW26">
            <v>0</v>
          </cell>
          <cell r="AX26">
            <v>0</v>
          </cell>
          <cell r="AY26">
            <v>0</v>
          </cell>
          <cell r="AZ26">
            <v>0</v>
          </cell>
          <cell r="BB26">
            <v>0</v>
          </cell>
          <cell r="BC26">
            <v>0</v>
          </cell>
          <cell r="BD26">
            <v>0</v>
          </cell>
          <cell r="BE26">
            <v>0</v>
          </cell>
          <cell r="BG26">
            <v>0</v>
          </cell>
          <cell r="BH26">
            <v>0</v>
          </cell>
          <cell r="BI26">
            <v>0</v>
          </cell>
          <cell r="BJ26">
            <v>0</v>
          </cell>
          <cell r="BL26">
            <v>0</v>
          </cell>
          <cell r="BM26">
            <v>0</v>
          </cell>
          <cell r="BN26">
            <v>0</v>
          </cell>
          <cell r="BO26">
            <v>0</v>
          </cell>
        </row>
        <row r="27">
          <cell r="A27" t="str">
            <v>1Q99</v>
          </cell>
          <cell r="H27">
            <v>0</v>
          </cell>
          <cell r="I27">
            <v>0</v>
          </cell>
          <cell r="J27">
            <v>0</v>
          </cell>
          <cell r="K27">
            <v>0</v>
          </cell>
          <cell r="N27">
            <v>0</v>
          </cell>
          <cell r="O27">
            <v>0</v>
          </cell>
          <cell r="P27">
            <v>0</v>
          </cell>
          <cell r="Q27">
            <v>0</v>
          </cell>
          <cell r="S27">
            <v>0</v>
          </cell>
          <cell r="T27">
            <v>0</v>
          </cell>
          <cell r="U27">
            <v>0</v>
          </cell>
          <cell r="V27">
            <v>0</v>
          </cell>
          <cell r="X27">
            <v>0</v>
          </cell>
          <cell r="Y27">
            <v>0</v>
          </cell>
          <cell r="Z27">
            <v>0</v>
          </cell>
          <cell r="AA27">
            <v>0</v>
          </cell>
          <cell r="AC27">
            <v>0</v>
          </cell>
          <cell r="AD27">
            <v>0</v>
          </cell>
          <cell r="AE27">
            <v>0</v>
          </cell>
          <cell r="AF27">
            <v>0</v>
          </cell>
          <cell r="AH27">
            <v>0</v>
          </cell>
          <cell r="AI27">
            <v>0</v>
          </cell>
          <cell r="AJ27">
            <v>0</v>
          </cell>
          <cell r="AK27">
            <v>0</v>
          </cell>
          <cell r="AM27">
            <v>0</v>
          </cell>
          <cell r="AN27">
            <v>0</v>
          </cell>
          <cell r="AO27">
            <v>0</v>
          </cell>
          <cell r="AP27">
            <v>0</v>
          </cell>
          <cell r="AR27">
            <v>0</v>
          </cell>
          <cell r="AS27">
            <v>0</v>
          </cell>
          <cell r="AT27">
            <v>0</v>
          </cell>
          <cell r="AU27">
            <v>0</v>
          </cell>
          <cell r="AW27">
            <v>0</v>
          </cell>
          <cell r="AX27">
            <v>0</v>
          </cell>
          <cell r="AY27">
            <v>0</v>
          </cell>
          <cell r="AZ27">
            <v>0</v>
          </cell>
          <cell r="BB27">
            <v>0</v>
          </cell>
          <cell r="BC27">
            <v>0</v>
          </cell>
          <cell r="BD27">
            <v>0</v>
          </cell>
          <cell r="BE27">
            <v>0</v>
          </cell>
          <cell r="BG27">
            <v>0</v>
          </cell>
          <cell r="BH27">
            <v>0</v>
          </cell>
          <cell r="BI27">
            <v>0</v>
          </cell>
          <cell r="BJ27">
            <v>0</v>
          </cell>
          <cell r="BL27">
            <v>0</v>
          </cell>
          <cell r="BM27">
            <v>0</v>
          </cell>
          <cell r="BN27">
            <v>0</v>
          </cell>
          <cell r="BO27">
            <v>0</v>
          </cell>
        </row>
        <row r="28">
          <cell r="A28" t="str">
            <v>2Q99</v>
          </cell>
          <cell r="I28">
            <v>0</v>
          </cell>
          <cell r="J28">
            <v>0</v>
          </cell>
          <cell r="K28">
            <v>0</v>
          </cell>
          <cell r="N28">
            <v>0</v>
          </cell>
          <cell r="O28">
            <v>0</v>
          </cell>
          <cell r="P28">
            <v>0</v>
          </cell>
          <cell r="Q28">
            <v>0</v>
          </cell>
          <cell r="S28">
            <v>0</v>
          </cell>
          <cell r="T28">
            <v>0</v>
          </cell>
          <cell r="U28">
            <v>0</v>
          </cell>
          <cell r="V28">
            <v>0</v>
          </cell>
          <cell r="X28">
            <v>0</v>
          </cell>
          <cell r="Y28">
            <v>0</v>
          </cell>
          <cell r="Z28">
            <v>0</v>
          </cell>
          <cell r="AA28">
            <v>0</v>
          </cell>
          <cell r="AC28">
            <v>0</v>
          </cell>
          <cell r="AD28">
            <v>0</v>
          </cell>
          <cell r="AE28">
            <v>0</v>
          </cell>
          <cell r="AF28">
            <v>0</v>
          </cell>
          <cell r="AH28">
            <v>0</v>
          </cell>
          <cell r="AI28">
            <v>0</v>
          </cell>
          <cell r="AJ28">
            <v>0</v>
          </cell>
          <cell r="AK28">
            <v>0</v>
          </cell>
          <cell r="AM28">
            <v>0</v>
          </cell>
          <cell r="AN28">
            <v>0</v>
          </cell>
          <cell r="AO28">
            <v>0</v>
          </cell>
          <cell r="AP28">
            <v>0</v>
          </cell>
          <cell r="AR28">
            <v>0</v>
          </cell>
          <cell r="AS28">
            <v>0</v>
          </cell>
          <cell r="AT28">
            <v>0</v>
          </cell>
          <cell r="AU28">
            <v>0</v>
          </cell>
          <cell r="AW28">
            <v>0</v>
          </cell>
          <cell r="AX28">
            <v>0</v>
          </cell>
          <cell r="AY28">
            <v>0</v>
          </cell>
          <cell r="AZ28">
            <v>0</v>
          </cell>
          <cell r="BB28">
            <v>0</v>
          </cell>
          <cell r="BC28">
            <v>0</v>
          </cell>
          <cell r="BD28">
            <v>0</v>
          </cell>
          <cell r="BE28">
            <v>0</v>
          </cell>
          <cell r="BG28">
            <v>0</v>
          </cell>
          <cell r="BH28">
            <v>0</v>
          </cell>
          <cell r="BI28">
            <v>0</v>
          </cell>
          <cell r="BJ28">
            <v>0</v>
          </cell>
          <cell r="BL28">
            <v>0</v>
          </cell>
          <cell r="BM28">
            <v>0</v>
          </cell>
          <cell r="BN28">
            <v>0</v>
          </cell>
          <cell r="BO28">
            <v>0</v>
          </cell>
        </row>
        <row r="29">
          <cell r="A29" t="str">
            <v>3Q99</v>
          </cell>
          <cell r="J29">
            <v>0</v>
          </cell>
          <cell r="K29">
            <v>0</v>
          </cell>
          <cell r="N29">
            <v>0</v>
          </cell>
          <cell r="O29">
            <v>0</v>
          </cell>
          <cell r="P29">
            <v>0</v>
          </cell>
          <cell r="Q29">
            <v>0</v>
          </cell>
          <cell r="S29">
            <v>0</v>
          </cell>
          <cell r="T29">
            <v>0</v>
          </cell>
          <cell r="U29">
            <v>0</v>
          </cell>
          <cell r="V29">
            <v>0</v>
          </cell>
          <cell r="X29">
            <v>0</v>
          </cell>
          <cell r="Y29">
            <v>0</v>
          </cell>
          <cell r="Z29">
            <v>0</v>
          </cell>
          <cell r="AA29">
            <v>0</v>
          </cell>
          <cell r="AC29">
            <v>0</v>
          </cell>
          <cell r="AD29">
            <v>0</v>
          </cell>
          <cell r="AE29">
            <v>0</v>
          </cell>
          <cell r="AF29">
            <v>0</v>
          </cell>
          <cell r="AH29">
            <v>0</v>
          </cell>
          <cell r="AI29">
            <v>0</v>
          </cell>
          <cell r="AJ29">
            <v>0</v>
          </cell>
          <cell r="AK29">
            <v>0</v>
          </cell>
          <cell r="AM29">
            <v>0</v>
          </cell>
          <cell r="AN29">
            <v>0</v>
          </cell>
          <cell r="AO29">
            <v>0</v>
          </cell>
          <cell r="AP29">
            <v>0</v>
          </cell>
          <cell r="AR29">
            <v>0</v>
          </cell>
          <cell r="AS29">
            <v>0</v>
          </cell>
          <cell r="AT29">
            <v>0</v>
          </cell>
          <cell r="AU29">
            <v>0</v>
          </cell>
          <cell r="AW29">
            <v>0</v>
          </cell>
          <cell r="AX29">
            <v>0</v>
          </cell>
          <cell r="AY29">
            <v>0</v>
          </cell>
          <cell r="AZ29">
            <v>0</v>
          </cell>
          <cell r="BB29">
            <v>0</v>
          </cell>
          <cell r="BC29">
            <v>0</v>
          </cell>
          <cell r="BD29">
            <v>0</v>
          </cell>
          <cell r="BE29">
            <v>0</v>
          </cell>
          <cell r="BG29">
            <v>0</v>
          </cell>
          <cell r="BH29">
            <v>0</v>
          </cell>
          <cell r="BI29">
            <v>0</v>
          </cell>
          <cell r="BJ29">
            <v>0</v>
          </cell>
          <cell r="BL29">
            <v>0</v>
          </cell>
          <cell r="BM29">
            <v>0</v>
          </cell>
          <cell r="BN29">
            <v>0</v>
          </cell>
          <cell r="BO29">
            <v>0</v>
          </cell>
        </row>
        <row r="30">
          <cell r="A30" t="str">
            <v>4Q99</v>
          </cell>
          <cell r="K30">
            <v>0</v>
          </cell>
          <cell r="N30">
            <v>0</v>
          </cell>
          <cell r="O30">
            <v>0</v>
          </cell>
          <cell r="P30">
            <v>0</v>
          </cell>
          <cell r="Q30">
            <v>0</v>
          </cell>
          <cell r="S30">
            <v>0</v>
          </cell>
          <cell r="T30">
            <v>0</v>
          </cell>
          <cell r="U30">
            <v>0</v>
          </cell>
          <cell r="V30">
            <v>0</v>
          </cell>
          <cell r="X30">
            <v>0</v>
          </cell>
          <cell r="Y30">
            <v>0</v>
          </cell>
          <cell r="Z30">
            <v>0</v>
          </cell>
          <cell r="AA30">
            <v>0</v>
          </cell>
          <cell r="AC30">
            <v>0</v>
          </cell>
          <cell r="AD30">
            <v>0</v>
          </cell>
          <cell r="AE30">
            <v>0</v>
          </cell>
          <cell r="AF30">
            <v>0</v>
          </cell>
          <cell r="AH30">
            <v>0</v>
          </cell>
          <cell r="AI30">
            <v>0</v>
          </cell>
          <cell r="AJ30">
            <v>0</v>
          </cell>
          <cell r="AK30">
            <v>0</v>
          </cell>
          <cell r="AM30">
            <v>0</v>
          </cell>
          <cell r="AN30">
            <v>0</v>
          </cell>
          <cell r="AO30">
            <v>0</v>
          </cell>
          <cell r="AP30">
            <v>0</v>
          </cell>
          <cell r="AR30">
            <v>0</v>
          </cell>
          <cell r="AS30">
            <v>0</v>
          </cell>
          <cell r="AT30">
            <v>0</v>
          </cell>
          <cell r="AU30">
            <v>0</v>
          </cell>
          <cell r="AW30">
            <v>0</v>
          </cell>
          <cell r="AX30">
            <v>0</v>
          </cell>
          <cell r="AY30">
            <v>0</v>
          </cell>
          <cell r="AZ30">
            <v>0</v>
          </cell>
          <cell r="BB30">
            <v>0</v>
          </cell>
          <cell r="BC30">
            <v>0</v>
          </cell>
          <cell r="BD30">
            <v>0</v>
          </cell>
          <cell r="BE30">
            <v>0</v>
          </cell>
          <cell r="BG30">
            <v>0</v>
          </cell>
          <cell r="BH30">
            <v>0</v>
          </cell>
          <cell r="BI30">
            <v>0</v>
          </cell>
          <cell r="BJ30">
            <v>0</v>
          </cell>
          <cell r="BL30">
            <v>0</v>
          </cell>
          <cell r="BM30">
            <v>0</v>
          </cell>
          <cell r="BN30">
            <v>0</v>
          </cell>
          <cell r="BO30">
            <v>0</v>
          </cell>
        </row>
        <row r="31">
          <cell r="A31" t="str">
            <v>1Q00</v>
          </cell>
          <cell r="N31">
            <v>0</v>
          </cell>
          <cell r="O31">
            <v>0</v>
          </cell>
          <cell r="P31">
            <v>0</v>
          </cell>
          <cell r="Q31">
            <v>0</v>
          </cell>
          <cell r="S31">
            <v>0</v>
          </cell>
          <cell r="T31">
            <v>0</v>
          </cell>
          <cell r="U31">
            <v>0</v>
          </cell>
          <cell r="V31">
            <v>0</v>
          </cell>
          <cell r="X31">
            <v>0</v>
          </cell>
          <cell r="Y31">
            <v>0</v>
          </cell>
          <cell r="Z31">
            <v>0</v>
          </cell>
          <cell r="AA31">
            <v>0</v>
          </cell>
          <cell r="AC31">
            <v>0</v>
          </cell>
          <cell r="AD31">
            <v>0</v>
          </cell>
          <cell r="AE31">
            <v>0</v>
          </cell>
          <cell r="AF31">
            <v>0</v>
          </cell>
          <cell r="AH31">
            <v>0</v>
          </cell>
          <cell r="AI31">
            <v>0</v>
          </cell>
          <cell r="AJ31">
            <v>0</v>
          </cell>
          <cell r="AK31">
            <v>0</v>
          </cell>
          <cell r="AM31">
            <v>0</v>
          </cell>
          <cell r="AN31">
            <v>0</v>
          </cell>
          <cell r="AO31">
            <v>0</v>
          </cell>
          <cell r="AP31">
            <v>0</v>
          </cell>
          <cell r="AR31">
            <v>0</v>
          </cell>
          <cell r="AS31">
            <v>0</v>
          </cell>
          <cell r="AT31">
            <v>0</v>
          </cell>
          <cell r="AU31">
            <v>0</v>
          </cell>
          <cell r="AW31">
            <v>0</v>
          </cell>
          <cell r="AX31">
            <v>0</v>
          </cell>
          <cell r="AY31">
            <v>0</v>
          </cell>
          <cell r="AZ31">
            <v>0</v>
          </cell>
          <cell r="BB31">
            <v>0</v>
          </cell>
          <cell r="BC31">
            <v>0</v>
          </cell>
          <cell r="BD31">
            <v>0</v>
          </cell>
          <cell r="BE31">
            <v>0</v>
          </cell>
          <cell r="BG31">
            <v>0</v>
          </cell>
          <cell r="BH31">
            <v>0</v>
          </cell>
          <cell r="BI31">
            <v>0</v>
          </cell>
          <cell r="BJ31">
            <v>0</v>
          </cell>
          <cell r="BL31">
            <v>0</v>
          </cell>
          <cell r="BM31">
            <v>0</v>
          </cell>
          <cell r="BN31">
            <v>0</v>
          </cell>
          <cell r="BO31">
            <v>0</v>
          </cell>
        </row>
        <row r="32">
          <cell r="A32" t="str">
            <v>2Q00</v>
          </cell>
          <cell r="O32">
            <v>0</v>
          </cell>
          <cell r="P32">
            <v>0</v>
          </cell>
          <cell r="Q32">
            <v>0</v>
          </cell>
          <cell r="S32">
            <v>0</v>
          </cell>
          <cell r="T32">
            <v>0</v>
          </cell>
          <cell r="U32">
            <v>0</v>
          </cell>
          <cell r="V32">
            <v>0</v>
          </cell>
          <cell r="X32">
            <v>0</v>
          </cell>
          <cell r="Y32">
            <v>0</v>
          </cell>
          <cell r="Z32">
            <v>0</v>
          </cell>
          <cell r="AA32">
            <v>0</v>
          </cell>
          <cell r="AC32">
            <v>0</v>
          </cell>
          <cell r="AD32">
            <v>0</v>
          </cell>
          <cell r="AE32">
            <v>0</v>
          </cell>
          <cell r="AF32">
            <v>0</v>
          </cell>
          <cell r="AH32">
            <v>0</v>
          </cell>
          <cell r="AI32">
            <v>0</v>
          </cell>
          <cell r="AJ32">
            <v>0</v>
          </cell>
          <cell r="AK32">
            <v>0</v>
          </cell>
          <cell r="AM32">
            <v>0</v>
          </cell>
          <cell r="AN32">
            <v>0</v>
          </cell>
          <cell r="AO32">
            <v>0</v>
          </cell>
          <cell r="AP32">
            <v>0</v>
          </cell>
          <cell r="AR32">
            <v>0</v>
          </cell>
          <cell r="AS32">
            <v>0</v>
          </cell>
          <cell r="AT32">
            <v>0</v>
          </cell>
          <cell r="AU32">
            <v>0</v>
          </cell>
          <cell r="AW32">
            <v>0</v>
          </cell>
          <cell r="AX32">
            <v>0</v>
          </cell>
          <cell r="AY32">
            <v>0</v>
          </cell>
          <cell r="AZ32">
            <v>0</v>
          </cell>
          <cell r="BB32">
            <v>0</v>
          </cell>
          <cell r="BC32">
            <v>0</v>
          </cell>
          <cell r="BD32">
            <v>0</v>
          </cell>
          <cell r="BE32">
            <v>0</v>
          </cell>
          <cell r="BG32">
            <v>0</v>
          </cell>
          <cell r="BH32">
            <v>0</v>
          </cell>
          <cell r="BI32">
            <v>0</v>
          </cell>
          <cell r="BJ32">
            <v>0</v>
          </cell>
          <cell r="BL32">
            <v>0</v>
          </cell>
          <cell r="BM32">
            <v>0</v>
          </cell>
          <cell r="BN32">
            <v>0</v>
          </cell>
          <cell r="BO32">
            <v>0</v>
          </cell>
        </row>
        <row r="33">
          <cell r="A33" t="str">
            <v>3Q00</v>
          </cell>
          <cell r="P33">
            <v>0</v>
          </cell>
          <cell r="Q33">
            <v>0</v>
          </cell>
          <cell r="S33">
            <v>0</v>
          </cell>
          <cell r="T33">
            <v>0</v>
          </cell>
          <cell r="U33">
            <v>0</v>
          </cell>
          <cell r="V33">
            <v>0</v>
          </cell>
          <cell r="X33">
            <v>0</v>
          </cell>
          <cell r="Y33">
            <v>0</v>
          </cell>
          <cell r="Z33">
            <v>0</v>
          </cell>
          <cell r="AA33">
            <v>0</v>
          </cell>
          <cell r="AC33">
            <v>0</v>
          </cell>
          <cell r="AD33">
            <v>0</v>
          </cell>
          <cell r="AE33">
            <v>0</v>
          </cell>
          <cell r="AF33">
            <v>0</v>
          </cell>
          <cell r="AH33">
            <v>0</v>
          </cell>
          <cell r="AI33">
            <v>0</v>
          </cell>
          <cell r="AJ33">
            <v>0</v>
          </cell>
          <cell r="AK33">
            <v>0</v>
          </cell>
          <cell r="AM33">
            <v>0</v>
          </cell>
          <cell r="AN33">
            <v>0</v>
          </cell>
          <cell r="AO33">
            <v>0</v>
          </cell>
          <cell r="AP33">
            <v>0</v>
          </cell>
          <cell r="AR33">
            <v>0</v>
          </cell>
          <cell r="AS33">
            <v>0</v>
          </cell>
          <cell r="AT33">
            <v>0</v>
          </cell>
          <cell r="AU33">
            <v>0</v>
          </cell>
          <cell r="AW33">
            <v>0</v>
          </cell>
          <cell r="AX33">
            <v>0</v>
          </cell>
          <cell r="AY33">
            <v>0</v>
          </cell>
          <cell r="AZ33">
            <v>0</v>
          </cell>
          <cell r="BB33">
            <v>0</v>
          </cell>
          <cell r="BC33">
            <v>0</v>
          </cell>
          <cell r="BD33">
            <v>0</v>
          </cell>
          <cell r="BE33">
            <v>0</v>
          </cell>
          <cell r="BG33">
            <v>0</v>
          </cell>
          <cell r="BH33">
            <v>0</v>
          </cell>
          <cell r="BI33">
            <v>0</v>
          </cell>
          <cell r="BJ33">
            <v>0</v>
          </cell>
          <cell r="BL33">
            <v>0</v>
          </cell>
          <cell r="BM33">
            <v>0</v>
          </cell>
          <cell r="BN33">
            <v>0</v>
          </cell>
          <cell r="BO33">
            <v>0</v>
          </cell>
        </row>
        <row r="34">
          <cell r="A34" t="str">
            <v>4Q00</v>
          </cell>
          <cell r="Q34">
            <v>0</v>
          </cell>
          <cell r="S34">
            <v>0</v>
          </cell>
          <cell r="T34">
            <v>0</v>
          </cell>
          <cell r="U34">
            <v>0</v>
          </cell>
          <cell r="V34">
            <v>0</v>
          </cell>
          <cell r="X34">
            <v>0</v>
          </cell>
          <cell r="Y34">
            <v>0</v>
          </cell>
          <cell r="Z34">
            <v>0</v>
          </cell>
          <cell r="AA34">
            <v>0</v>
          </cell>
          <cell r="AC34">
            <v>0</v>
          </cell>
          <cell r="AD34">
            <v>0</v>
          </cell>
          <cell r="AE34">
            <v>0</v>
          </cell>
          <cell r="AF34">
            <v>0</v>
          </cell>
          <cell r="AH34">
            <v>0</v>
          </cell>
          <cell r="AI34">
            <v>0</v>
          </cell>
          <cell r="AJ34">
            <v>0</v>
          </cell>
          <cell r="AK34">
            <v>0</v>
          </cell>
          <cell r="AM34">
            <v>0</v>
          </cell>
          <cell r="AN34">
            <v>0</v>
          </cell>
          <cell r="AO34">
            <v>0</v>
          </cell>
          <cell r="AP34">
            <v>0</v>
          </cell>
          <cell r="AR34">
            <v>0</v>
          </cell>
          <cell r="AS34">
            <v>0</v>
          </cell>
          <cell r="AT34">
            <v>0</v>
          </cell>
          <cell r="AU34">
            <v>0</v>
          </cell>
          <cell r="AW34">
            <v>0</v>
          </cell>
          <cell r="AX34">
            <v>0</v>
          </cell>
          <cell r="AY34">
            <v>0</v>
          </cell>
          <cell r="AZ34">
            <v>0</v>
          </cell>
          <cell r="BB34">
            <v>0</v>
          </cell>
          <cell r="BC34">
            <v>0</v>
          </cell>
          <cell r="BD34">
            <v>0</v>
          </cell>
          <cell r="BE34">
            <v>0</v>
          </cell>
          <cell r="BG34">
            <v>0</v>
          </cell>
          <cell r="BH34">
            <v>0</v>
          </cell>
          <cell r="BI34">
            <v>0</v>
          </cell>
          <cell r="BJ34">
            <v>0</v>
          </cell>
          <cell r="BL34">
            <v>0</v>
          </cell>
          <cell r="BM34">
            <v>0</v>
          </cell>
          <cell r="BN34">
            <v>0</v>
          </cell>
          <cell r="BO34">
            <v>0</v>
          </cell>
        </row>
        <row r="35">
          <cell r="A35" t="str">
            <v>1Q01</v>
          </cell>
          <cell r="S35">
            <v>0</v>
          </cell>
          <cell r="T35">
            <v>0</v>
          </cell>
          <cell r="U35">
            <v>0</v>
          </cell>
          <cell r="V35">
            <v>0</v>
          </cell>
          <cell r="X35">
            <v>0</v>
          </cell>
          <cell r="Y35">
            <v>0</v>
          </cell>
          <cell r="Z35">
            <v>0</v>
          </cell>
          <cell r="AA35">
            <v>0</v>
          </cell>
          <cell r="AC35">
            <v>0</v>
          </cell>
          <cell r="AD35">
            <v>0</v>
          </cell>
          <cell r="AE35">
            <v>0</v>
          </cell>
          <cell r="AF35">
            <v>0</v>
          </cell>
          <cell r="AH35">
            <v>0</v>
          </cell>
          <cell r="AI35">
            <v>0</v>
          </cell>
          <cell r="AJ35">
            <v>0</v>
          </cell>
          <cell r="AK35">
            <v>0</v>
          </cell>
          <cell r="AM35">
            <v>0</v>
          </cell>
          <cell r="AN35">
            <v>0</v>
          </cell>
          <cell r="AO35">
            <v>0</v>
          </cell>
          <cell r="AP35">
            <v>0</v>
          </cell>
          <cell r="AR35">
            <v>0</v>
          </cell>
          <cell r="AS35">
            <v>0</v>
          </cell>
          <cell r="AT35">
            <v>0</v>
          </cell>
          <cell r="AU35">
            <v>0</v>
          </cell>
          <cell r="AW35">
            <v>0</v>
          </cell>
          <cell r="AX35">
            <v>0</v>
          </cell>
          <cell r="AY35">
            <v>0</v>
          </cell>
          <cell r="AZ35">
            <v>0</v>
          </cell>
          <cell r="BB35">
            <v>0</v>
          </cell>
          <cell r="BC35">
            <v>0</v>
          </cell>
          <cell r="BD35">
            <v>0</v>
          </cell>
          <cell r="BE35">
            <v>0</v>
          </cell>
          <cell r="BG35">
            <v>0</v>
          </cell>
          <cell r="BH35">
            <v>0</v>
          </cell>
          <cell r="BI35">
            <v>0</v>
          </cell>
          <cell r="BJ35">
            <v>0</v>
          </cell>
          <cell r="BL35">
            <v>0</v>
          </cell>
          <cell r="BM35">
            <v>0</v>
          </cell>
          <cell r="BN35">
            <v>0</v>
          </cell>
          <cell r="BO35">
            <v>0</v>
          </cell>
        </row>
        <row r="36">
          <cell r="A36" t="str">
            <v>2Q01</v>
          </cell>
          <cell r="T36">
            <v>0</v>
          </cell>
          <cell r="U36">
            <v>0</v>
          </cell>
          <cell r="V36">
            <v>0</v>
          </cell>
          <cell r="X36">
            <v>0</v>
          </cell>
          <cell r="Y36">
            <v>0</v>
          </cell>
          <cell r="Z36">
            <v>0</v>
          </cell>
          <cell r="AA36">
            <v>0</v>
          </cell>
          <cell r="AC36">
            <v>0</v>
          </cell>
          <cell r="AD36">
            <v>0</v>
          </cell>
          <cell r="AE36">
            <v>0</v>
          </cell>
          <cell r="AF36">
            <v>0</v>
          </cell>
          <cell r="AH36">
            <v>0</v>
          </cell>
          <cell r="AI36">
            <v>0</v>
          </cell>
          <cell r="AJ36">
            <v>0</v>
          </cell>
          <cell r="AK36">
            <v>0</v>
          </cell>
          <cell r="AM36">
            <v>0</v>
          </cell>
          <cell r="AN36">
            <v>0</v>
          </cell>
          <cell r="AO36">
            <v>0</v>
          </cell>
          <cell r="AP36">
            <v>0</v>
          </cell>
          <cell r="AR36">
            <v>0</v>
          </cell>
          <cell r="AS36">
            <v>0</v>
          </cell>
          <cell r="AT36">
            <v>0</v>
          </cell>
          <cell r="AU36">
            <v>0</v>
          </cell>
          <cell r="AW36">
            <v>0</v>
          </cell>
          <cell r="AX36">
            <v>0</v>
          </cell>
          <cell r="AY36">
            <v>0</v>
          </cell>
          <cell r="AZ36">
            <v>0</v>
          </cell>
          <cell r="BB36">
            <v>0</v>
          </cell>
          <cell r="BC36">
            <v>0</v>
          </cell>
          <cell r="BD36">
            <v>0</v>
          </cell>
          <cell r="BE36">
            <v>0</v>
          </cell>
          <cell r="BG36">
            <v>0</v>
          </cell>
          <cell r="BH36">
            <v>0</v>
          </cell>
          <cell r="BI36">
            <v>0</v>
          </cell>
          <cell r="BJ36">
            <v>0</v>
          </cell>
          <cell r="BL36">
            <v>0</v>
          </cell>
          <cell r="BM36">
            <v>0</v>
          </cell>
          <cell r="BN36">
            <v>0</v>
          </cell>
          <cell r="BO36">
            <v>0</v>
          </cell>
        </row>
        <row r="37">
          <cell r="A37" t="str">
            <v>3Q01</v>
          </cell>
          <cell r="U37">
            <v>0</v>
          </cell>
          <cell r="V37">
            <v>0</v>
          </cell>
          <cell r="X37">
            <v>0</v>
          </cell>
          <cell r="Y37">
            <v>0</v>
          </cell>
          <cell r="Z37">
            <v>0</v>
          </cell>
          <cell r="AA37">
            <v>0</v>
          </cell>
          <cell r="AC37">
            <v>0</v>
          </cell>
          <cell r="AD37">
            <v>0</v>
          </cell>
          <cell r="AE37">
            <v>0</v>
          </cell>
          <cell r="AF37">
            <v>0</v>
          </cell>
          <cell r="AH37">
            <v>0</v>
          </cell>
          <cell r="AI37">
            <v>0</v>
          </cell>
          <cell r="AJ37">
            <v>0</v>
          </cell>
          <cell r="AK37">
            <v>0</v>
          </cell>
          <cell r="AM37">
            <v>0</v>
          </cell>
          <cell r="AN37">
            <v>0</v>
          </cell>
          <cell r="AO37">
            <v>0</v>
          </cell>
          <cell r="AP37">
            <v>0</v>
          </cell>
          <cell r="AR37">
            <v>0</v>
          </cell>
          <cell r="AS37">
            <v>0</v>
          </cell>
          <cell r="AT37">
            <v>0</v>
          </cell>
          <cell r="AU37">
            <v>0</v>
          </cell>
          <cell r="AW37">
            <v>0</v>
          </cell>
          <cell r="AX37">
            <v>0</v>
          </cell>
          <cell r="AY37">
            <v>0</v>
          </cell>
          <cell r="AZ37">
            <v>0</v>
          </cell>
          <cell r="BB37">
            <v>0</v>
          </cell>
          <cell r="BC37">
            <v>0</v>
          </cell>
          <cell r="BD37">
            <v>0</v>
          </cell>
          <cell r="BE37">
            <v>0</v>
          </cell>
          <cell r="BG37">
            <v>0</v>
          </cell>
          <cell r="BH37">
            <v>0</v>
          </cell>
          <cell r="BI37">
            <v>0</v>
          </cell>
          <cell r="BJ37">
            <v>0</v>
          </cell>
          <cell r="BL37">
            <v>0</v>
          </cell>
          <cell r="BM37">
            <v>0</v>
          </cell>
          <cell r="BN37">
            <v>0</v>
          </cell>
          <cell r="BO37">
            <v>0</v>
          </cell>
        </row>
        <row r="38">
          <cell r="A38" t="str">
            <v>4Q01</v>
          </cell>
          <cell r="V38">
            <v>0</v>
          </cell>
          <cell r="X38">
            <v>0</v>
          </cell>
          <cell r="Y38">
            <v>0</v>
          </cell>
          <cell r="Z38">
            <v>0</v>
          </cell>
          <cell r="AA38">
            <v>0</v>
          </cell>
          <cell r="AC38">
            <v>0</v>
          </cell>
          <cell r="AD38">
            <v>0</v>
          </cell>
          <cell r="AE38">
            <v>0</v>
          </cell>
          <cell r="AF38">
            <v>0</v>
          </cell>
          <cell r="AH38">
            <v>0</v>
          </cell>
          <cell r="AI38">
            <v>0</v>
          </cell>
          <cell r="AJ38">
            <v>0</v>
          </cell>
          <cell r="AK38">
            <v>0</v>
          </cell>
          <cell r="AM38">
            <v>0</v>
          </cell>
          <cell r="AN38">
            <v>0</v>
          </cell>
          <cell r="AO38">
            <v>0</v>
          </cell>
          <cell r="AP38">
            <v>0</v>
          </cell>
          <cell r="AR38">
            <v>0</v>
          </cell>
          <cell r="AS38">
            <v>0</v>
          </cell>
          <cell r="AT38">
            <v>0</v>
          </cell>
          <cell r="AU38">
            <v>0</v>
          </cell>
          <cell r="AW38">
            <v>0</v>
          </cell>
          <cell r="AX38">
            <v>0</v>
          </cell>
          <cell r="AY38">
            <v>0</v>
          </cell>
          <cell r="AZ38">
            <v>0</v>
          </cell>
          <cell r="BB38">
            <v>0</v>
          </cell>
          <cell r="BC38">
            <v>0</v>
          </cell>
          <cell r="BD38">
            <v>0</v>
          </cell>
          <cell r="BE38">
            <v>0</v>
          </cell>
          <cell r="BG38">
            <v>0</v>
          </cell>
          <cell r="BH38">
            <v>0</v>
          </cell>
          <cell r="BI38">
            <v>0</v>
          </cell>
          <cell r="BJ38">
            <v>0</v>
          </cell>
          <cell r="BL38">
            <v>0</v>
          </cell>
          <cell r="BM38">
            <v>0</v>
          </cell>
          <cell r="BN38">
            <v>0</v>
          </cell>
          <cell r="BO38">
            <v>0</v>
          </cell>
        </row>
        <row r="39">
          <cell r="A39" t="str">
            <v>1Q02</v>
          </cell>
          <cell r="X39">
            <v>0</v>
          </cell>
          <cell r="Y39">
            <v>0</v>
          </cell>
          <cell r="Z39">
            <v>0</v>
          </cell>
          <cell r="AA39">
            <v>0</v>
          </cell>
          <cell r="AC39">
            <v>0</v>
          </cell>
          <cell r="AD39">
            <v>0</v>
          </cell>
          <cell r="AE39">
            <v>0</v>
          </cell>
          <cell r="AF39">
            <v>0</v>
          </cell>
          <cell r="AH39">
            <v>0</v>
          </cell>
          <cell r="AI39">
            <v>0</v>
          </cell>
          <cell r="AJ39">
            <v>0</v>
          </cell>
          <cell r="AK39">
            <v>0</v>
          </cell>
          <cell r="AM39">
            <v>0</v>
          </cell>
          <cell r="AN39">
            <v>0</v>
          </cell>
          <cell r="AO39">
            <v>0</v>
          </cell>
          <cell r="AP39">
            <v>0</v>
          </cell>
          <cell r="AR39">
            <v>0</v>
          </cell>
          <cell r="AS39">
            <v>0</v>
          </cell>
          <cell r="AT39">
            <v>0</v>
          </cell>
          <cell r="AU39">
            <v>0</v>
          </cell>
          <cell r="AW39">
            <v>0</v>
          </cell>
          <cell r="AX39">
            <v>0</v>
          </cell>
          <cell r="AY39">
            <v>0</v>
          </cell>
          <cell r="AZ39">
            <v>0</v>
          </cell>
          <cell r="BB39">
            <v>0</v>
          </cell>
          <cell r="BC39">
            <v>0</v>
          </cell>
          <cell r="BD39">
            <v>0</v>
          </cell>
          <cell r="BE39">
            <v>0</v>
          </cell>
          <cell r="BG39">
            <v>0</v>
          </cell>
          <cell r="BH39">
            <v>0</v>
          </cell>
          <cell r="BI39">
            <v>0</v>
          </cell>
          <cell r="BJ39">
            <v>0</v>
          </cell>
          <cell r="BL39">
            <v>0</v>
          </cell>
          <cell r="BM39">
            <v>0</v>
          </cell>
          <cell r="BN39">
            <v>0</v>
          </cell>
          <cell r="BO39">
            <v>0</v>
          </cell>
        </row>
        <row r="40">
          <cell r="A40" t="str">
            <v>2Q02</v>
          </cell>
          <cell r="Y40">
            <v>0</v>
          </cell>
          <cell r="Z40">
            <v>0</v>
          </cell>
          <cell r="AA40">
            <v>0</v>
          </cell>
          <cell r="AC40">
            <v>0</v>
          </cell>
          <cell r="AD40">
            <v>0</v>
          </cell>
          <cell r="AE40">
            <v>0</v>
          </cell>
          <cell r="AF40">
            <v>0</v>
          </cell>
          <cell r="AH40">
            <v>0</v>
          </cell>
          <cell r="AI40">
            <v>0</v>
          </cell>
          <cell r="AJ40">
            <v>0</v>
          </cell>
          <cell r="AK40">
            <v>0</v>
          </cell>
          <cell r="AM40">
            <v>0</v>
          </cell>
          <cell r="AN40">
            <v>0</v>
          </cell>
          <cell r="AO40">
            <v>0</v>
          </cell>
          <cell r="AP40">
            <v>0</v>
          </cell>
          <cell r="AR40">
            <v>0</v>
          </cell>
          <cell r="AS40">
            <v>0</v>
          </cell>
          <cell r="AT40">
            <v>0</v>
          </cell>
          <cell r="AU40">
            <v>0</v>
          </cell>
          <cell r="AW40">
            <v>0</v>
          </cell>
          <cell r="AX40">
            <v>0</v>
          </cell>
          <cell r="AY40">
            <v>0</v>
          </cell>
          <cell r="AZ40">
            <v>0</v>
          </cell>
          <cell r="BB40">
            <v>0</v>
          </cell>
          <cell r="BC40">
            <v>0</v>
          </cell>
          <cell r="BD40">
            <v>0</v>
          </cell>
          <cell r="BE40">
            <v>0</v>
          </cell>
          <cell r="BG40">
            <v>0</v>
          </cell>
          <cell r="BH40">
            <v>0</v>
          </cell>
          <cell r="BI40">
            <v>0</v>
          </cell>
          <cell r="BJ40">
            <v>0</v>
          </cell>
          <cell r="BL40">
            <v>0</v>
          </cell>
          <cell r="BM40">
            <v>0</v>
          </cell>
          <cell r="BN40">
            <v>0</v>
          </cell>
          <cell r="BO40">
            <v>0</v>
          </cell>
        </row>
        <row r="41">
          <cell r="A41" t="str">
            <v>3Q02</v>
          </cell>
          <cell r="Z41">
            <v>0</v>
          </cell>
          <cell r="AA41">
            <v>0</v>
          </cell>
          <cell r="AC41">
            <v>0</v>
          </cell>
          <cell r="AD41">
            <v>0</v>
          </cell>
          <cell r="AE41">
            <v>0</v>
          </cell>
          <cell r="AF41">
            <v>0</v>
          </cell>
          <cell r="AH41">
            <v>0</v>
          </cell>
          <cell r="AI41">
            <v>0</v>
          </cell>
          <cell r="AJ41">
            <v>0</v>
          </cell>
          <cell r="AK41">
            <v>0</v>
          </cell>
          <cell r="AM41">
            <v>0</v>
          </cell>
          <cell r="AN41">
            <v>0</v>
          </cell>
          <cell r="AO41">
            <v>0</v>
          </cell>
          <cell r="AP41">
            <v>0</v>
          </cell>
          <cell r="AR41">
            <v>0</v>
          </cell>
          <cell r="AS41">
            <v>0</v>
          </cell>
          <cell r="AT41">
            <v>0</v>
          </cell>
          <cell r="AU41">
            <v>0</v>
          </cell>
          <cell r="AW41">
            <v>0</v>
          </cell>
          <cell r="AX41">
            <v>0</v>
          </cell>
          <cell r="AY41">
            <v>0</v>
          </cell>
          <cell r="AZ41">
            <v>0</v>
          </cell>
          <cell r="BB41">
            <v>0</v>
          </cell>
          <cell r="BC41">
            <v>0</v>
          </cell>
          <cell r="BD41">
            <v>0</v>
          </cell>
          <cell r="BE41">
            <v>0</v>
          </cell>
          <cell r="BG41">
            <v>0</v>
          </cell>
          <cell r="BH41">
            <v>0</v>
          </cell>
          <cell r="BI41">
            <v>0</v>
          </cell>
          <cell r="BJ41">
            <v>0</v>
          </cell>
          <cell r="BL41">
            <v>0</v>
          </cell>
          <cell r="BM41">
            <v>0</v>
          </cell>
          <cell r="BN41">
            <v>0</v>
          </cell>
          <cell r="BO41">
            <v>0</v>
          </cell>
        </row>
        <row r="42">
          <cell r="A42" t="str">
            <v>4Q02</v>
          </cell>
          <cell r="AA42">
            <v>0</v>
          </cell>
          <cell r="AC42">
            <v>0</v>
          </cell>
          <cell r="AD42">
            <v>0</v>
          </cell>
          <cell r="AE42">
            <v>0</v>
          </cell>
          <cell r="AF42">
            <v>0</v>
          </cell>
          <cell r="AH42">
            <v>0</v>
          </cell>
          <cell r="AI42">
            <v>0</v>
          </cell>
          <cell r="AJ42">
            <v>0</v>
          </cell>
          <cell r="AK42">
            <v>0</v>
          </cell>
          <cell r="AM42">
            <v>0</v>
          </cell>
          <cell r="AN42">
            <v>0</v>
          </cell>
          <cell r="AO42">
            <v>0</v>
          </cell>
          <cell r="AP42">
            <v>0</v>
          </cell>
          <cell r="AR42">
            <v>0</v>
          </cell>
          <cell r="AS42">
            <v>0</v>
          </cell>
          <cell r="AT42">
            <v>0</v>
          </cell>
          <cell r="AU42">
            <v>0</v>
          </cell>
          <cell r="AW42">
            <v>0</v>
          </cell>
          <cell r="AX42">
            <v>0</v>
          </cell>
          <cell r="AY42">
            <v>0</v>
          </cell>
          <cell r="AZ42">
            <v>0</v>
          </cell>
          <cell r="BB42">
            <v>0</v>
          </cell>
          <cell r="BC42">
            <v>0</v>
          </cell>
          <cell r="BD42">
            <v>0</v>
          </cell>
          <cell r="BE42">
            <v>0</v>
          </cell>
          <cell r="BG42">
            <v>0</v>
          </cell>
          <cell r="BH42">
            <v>0</v>
          </cell>
          <cell r="BI42">
            <v>0</v>
          </cell>
          <cell r="BJ42">
            <v>0</v>
          </cell>
          <cell r="BL42">
            <v>0</v>
          </cell>
          <cell r="BM42">
            <v>0</v>
          </cell>
          <cell r="BN42">
            <v>0</v>
          </cell>
          <cell r="BO42">
            <v>0</v>
          </cell>
        </row>
        <row r="43">
          <cell r="A43" t="str">
            <v>1Q03</v>
          </cell>
          <cell r="AC43">
            <v>0</v>
          </cell>
          <cell r="AD43">
            <v>0</v>
          </cell>
          <cell r="AE43">
            <v>0</v>
          </cell>
          <cell r="AF43">
            <v>0</v>
          </cell>
          <cell r="AH43">
            <v>0</v>
          </cell>
          <cell r="AI43">
            <v>0</v>
          </cell>
          <cell r="AJ43">
            <v>0</v>
          </cell>
          <cell r="AK43">
            <v>0</v>
          </cell>
          <cell r="AM43">
            <v>0</v>
          </cell>
          <cell r="AN43">
            <v>0</v>
          </cell>
          <cell r="AO43">
            <v>0</v>
          </cell>
          <cell r="AP43">
            <v>0</v>
          </cell>
          <cell r="AR43">
            <v>0</v>
          </cell>
          <cell r="AS43">
            <v>0</v>
          </cell>
          <cell r="AT43">
            <v>0</v>
          </cell>
          <cell r="AU43">
            <v>0</v>
          </cell>
          <cell r="AW43">
            <v>0</v>
          </cell>
          <cell r="AX43">
            <v>0</v>
          </cell>
          <cell r="AY43">
            <v>0</v>
          </cell>
          <cell r="AZ43">
            <v>0</v>
          </cell>
          <cell r="BB43">
            <v>0</v>
          </cell>
          <cell r="BC43">
            <v>-380.63671875</v>
          </cell>
          <cell r="BD43">
            <v>-381.58831054687499</v>
          </cell>
          <cell r="BE43">
            <v>-382.54228132324215</v>
          </cell>
          <cell r="BG43">
            <v>-383.49863702655023</v>
          </cell>
          <cell r="BH43">
            <v>-766.99727405310045</v>
          </cell>
          <cell r="BI43">
            <v>-768.91476723823314</v>
          </cell>
          <cell r="BJ43">
            <v>-770.83705415632869</v>
          </cell>
          <cell r="BL43">
            <v>-772.76414679171944</v>
          </cell>
          <cell r="BM43">
            <v>-774.69605715869875</v>
          </cell>
          <cell r="BN43">
            <v>-776.63279730159547</v>
          </cell>
          <cell r="BO43">
            <v>-778.57437929484945</v>
          </cell>
        </row>
        <row r="44">
          <cell r="A44" t="str">
            <v>2Q03</v>
          </cell>
          <cell r="AD44">
            <v>0</v>
          </cell>
          <cell r="AE44">
            <v>0</v>
          </cell>
          <cell r="AF44">
            <v>0</v>
          </cell>
          <cell r="AH44">
            <v>0</v>
          </cell>
          <cell r="AI44">
            <v>0</v>
          </cell>
          <cell r="AJ44">
            <v>0</v>
          </cell>
          <cell r="AK44">
            <v>0</v>
          </cell>
          <cell r="AM44">
            <v>0</v>
          </cell>
          <cell r="AN44">
            <v>0</v>
          </cell>
          <cell r="AO44">
            <v>0</v>
          </cell>
          <cell r="AP44">
            <v>0</v>
          </cell>
          <cell r="AR44">
            <v>0</v>
          </cell>
          <cell r="AS44">
            <v>0</v>
          </cell>
          <cell r="AT44">
            <v>0</v>
          </cell>
          <cell r="AU44">
            <v>0</v>
          </cell>
          <cell r="AW44">
            <v>0</v>
          </cell>
          <cell r="AX44">
            <v>0</v>
          </cell>
          <cell r="AY44">
            <v>0</v>
          </cell>
          <cell r="AZ44">
            <v>0</v>
          </cell>
          <cell r="BB44">
            <v>0</v>
          </cell>
          <cell r="BC44">
            <v>0</v>
          </cell>
          <cell r="BD44">
            <v>-380.63671875</v>
          </cell>
          <cell r="BE44">
            <v>-381.58831054687499</v>
          </cell>
          <cell r="BG44">
            <v>-382.54228132324215</v>
          </cell>
          <cell r="BH44">
            <v>-383.49863702655023</v>
          </cell>
          <cell r="BI44">
            <v>-766.99727405310045</v>
          </cell>
          <cell r="BJ44">
            <v>-768.91476723823314</v>
          </cell>
          <cell r="BL44">
            <v>-770.83705415632869</v>
          </cell>
          <cell r="BM44">
            <v>-772.76414679171944</v>
          </cell>
          <cell r="BN44">
            <v>-774.69605715869875</v>
          </cell>
          <cell r="BO44">
            <v>-776.63279730159547</v>
          </cell>
        </row>
        <row r="45">
          <cell r="A45" t="str">
            <v>3Q03</v>
          </cell>
          <cell r="AE45">
            <v>0</v>
          </cell>
          <cell r="AF45">
            <v>0</v>
          </cell>
          <cell r="AH45">
            <v>0</v>
          </cell>
          <cell r="AI45">
            <v>0</v>
          </cell>
          <cell r="AJ45">
            <v>0</v>
          </cell>
          <cell r="AK45">
            <v>0</v>
          </cell>
          <cell r="AM45">
            <v>0</v>
          </cell>
          <cell r="AN45">
            <v>0</v>
          </cell>
          <cell r="AO45">
            <v>0</v>
          </cell>
          <cell r="AP45">
            <v>0</v>
          </cell>
          <cell r="AR45">
            <v>0</v>
          </cell>
          <cell r="AS45">
            <v>0</v>
          </cell>
          <cell r="AT45">
            <v>0</v>
          </cell>
          <cell r="AU45">
            <v>0</v>
          </cell>
          <cell r="AW45">
            <v>0</v>
          </cell>
          <cell r="AX45">
            <v>0</v>
          </cell>
          <cell r="AY45">
            <v>0</v>
          </cell>
          <cell r="AZ45">
            <v>0</v>
          </cell>
          <cell r="BB45">
            <v>0</v>
          </cell>
          <cell r="BC45">
            <v>0</v>
          </cell>
          <cell r="BD45">
            <v>0</v>
          </cell>
          <cell r="BE45">
            <v>-380.63671875</v>
          </cell>
          <cell r="BG45">
            <v>-381.58831054687499</v>
          </cell>
          <cell r="BH45">
            <v>-382.54228132324215</v>
          </cell>
          <cell r="BI45">
            <v>-383.49863702655023</v>
          </cell>
          <cell r="BJ45">
            <v>-766.99727405310045</v>
          </cell>
          <cell r="BL45">
            <v>-768.91476723823314</v>
          </cell>
          <cell r="BM45">
            <v>-770.83705415632869</v>
          </cell>
          <cell r="BN45">
            <v>-772.76414679171944</v>
          </cell>
          <cell r="BO45">
            <v>-774.69605715869875</v>
          </cell>
        </row>
        <row r="46">
          <cell r="A46" t="str">
            <v>4Q03</v>
          </cell>
          <cell r="AF46">
            <v>0</v>
          </cell>
          <cell r="AH46">
            <v>0</v>
          </cell>
          <cell r="AI46">
            <v>0</v>
          </cell>
          <cell r="AJ46">
            <v>0</v>
          </cell>
          <cell r="AK46">
            <v>0</v>
          </cell>
          <cell r="AM46">
            <v>0</v>
          </cell>
          <cell r="AN46">
            <v>0</v>
          </cell>
          <cell r="AO46">
            <v>0</v>
          </cell>
          <cell r="AP46">
            <v>0</v>
          </cell>
          <cell r="AR46">
            <v>0</v>
          </cell>
          <cell r="AS46">
            <v>0</v>
          </cell>
          <cell r="AT46">
            <v>0</v>
          </cell>
          <cell r="AU46">
            <v>0</v>
          </cell>
          <cell r="AW46">
            <v>0</v>
          </cell>
          <cell r="AX46">
            <v>0</v>
          </cell>
          <cell r="AY46">
            <v>0</v>
          </cell>
          <cell r="AZ46">
            <v>0</v>
          </cell>
          <cell r="BB46">
            <v>0</v>
          </cell>
          <cell r="BC46">
            <v>0</v>
          </cell>
          <cell r="BD46">
            <v>0</v>
          </cell>
          <cell r="BE46">
            <v>0</v>
          </cell>
          <cell r="BG46">
            <v>0</v>
          </cell>
          <cell r="BH46">
            <v>0</v>
          </cell>
          <cell r="BI46">
            <v>0</v>
          </cell>
          <cell r="BJ46">
            <v>0</v>
          </cell>
          <cell r="BL46">
            <v>0</v>
          </cell>
          <cell r="BM46">
            <v>0</v>
          </cell>
          <cell r="BN46">
            <v>0</v>
          </cell>
          <cell r="BO46">
            <v>0</v>
          </cell>
        </row>
        <row r="47">
          <cell r="A47" t="str">
            <v>1Q04</v>
          </cell>
          <cell r="AH47">
            <v>0</v>
          </cell>
          <cell r="AI47">
            <v>0</v>
          </cell>
          <cell r="AJ47">
            <v>0</v>
          </cell>
          <cell r="AK47">
            <v>0</v>
          </cell>
          <cell r="AM47">
            <v>0</v>
          </cell>
          <cell r="AN47">
            <v>0</v>
          </cell>
          <cell r="AO47">
            <v>0</v>
          </cell>
          <cell r="AP47">
            <v>0</v>
          </cell>
          <cell r="AR47">
            <v>0</v>
          </cell>
          <cell r="AS47">
            <v>0</v>
          </cell>
          <cell r="AT47">
            <v>0</v>
          </cell>
          <cell r="AU47">
            <v>0</v>
          </cell>
          <cell r="AW47">
            <v>0</v>
          </cell>
          <cell r="AX47">
            <v>0</v>
          </cell>
          <cell r="AY47">
            <v>0</v>
          </cell>
          <cell r="AZ47">
            <v>0</v>
          </cell>
          <cell r="BB47">
            <v>0</v>
          </cell>
          <cell r="BC47">
            <v>0</v>
          </cell>
          <cell r="BD47">
            <v>0</v>
          </cell>
          <cell r="BE47">
            <v>0</v>
          </cell>
          <cell r="BG47">
            <v>0</v>
          </cell>
          <cell r="BH47">
            <v>0</v>
          </cell>
          <cell r="BI47">
            <v>0</v>
          </cell>
          <cell r="BJ47">
            <v>0</v>
          </cell>
          <cell r="BL47">
            <v>0</v>
          </cell>
          <cell r="BM47">
            <v>0</v>
          </cell>
          <cell r="BN47">
            <v>0</v>
          </cell>
          <cell r="BO47">
            <v>0</v>
          </cell>
        </row>
        <row r="48">
          <cell r="A48" t="str">
            <v>2Q04</v>
          </cell>
          <cell r="AI48">
            <v>0</v>
          </cell>
          <cell r="AJ48">
            <v>0</v>
          </cell>
          <cell r="AK48">
            <v>0</v>
          </cell>
          <cell r="AM48">
            <v>0</v>
          </cell>
          <cell r="AN48">
            <v>0</v>
          </cell>
          <cell r="AO48">
            <v>0</v>
          </cell>
          <cell r="AP48">
            <v>0</v>
          </cell>
          <cell r="AR48">
            <v>0</v>
          </cell>
          <cell r="AS48">
            <v>0</v>
          </cell>
          <cell r="AT48">
            <v>0</v>
          </cell>
          <cell r="AU48">
            <v>0</v>
          </cell>
          <cell r="AW48">
            <v>0</v>
          </cell>
          <cell r="AX48">
            <v>0</v>
          </cell>
          <cell r="AY48">
            <v>0</v>
          </cell>
          <cell r="AZ48">
            <v>0</v>
          </cell>
          <cell r="BB48">
            <v>0</v>
          </cell>
          <cell r="BC48">
            <v>0</v>
          </cell>
          <cell r="BD48">
            <v>0</v>
          </cell>
          <cell r="BE48">
            <v>0</v>
          </cell>
          <cell r="BG48">
            <v>0</v>
          </cell>
          <cell r="BH48">
            <v>0</v>
          </cell>
          <cell r="BI48">
            <v>0</v>
          </cell>
          <cell r="BJ48">
            <v>0</v>
          </cell>
          <cell r="BL48">
            <v>0</v>
          </cell>
          <cell r="BM48">
            <v>0</v>
          </cell>
          <cell r="BN48">
            <v>0</v>
          </cell>
          <cell r="BO48">
            <v>0</v>
          </cell>
        </row>
        <row r="49">
          <cell r="A49" t="str">
            <v>3Q04</v>
          </cell>
          <cell r="AJ49">
            <v>0</v>
          </cell>
          <cell r="AK49">
            <v>0</v>
          </cell>
          <cell r="AM49">
            <v>0</v>
          </cell>
          <cell r="AN49">
            <v>0</v>
          </cell>
          <cell r="AO49">
            <v>0</v>
          </cell>
          <cell r="AP49">
            <v>0</v>
          </cell>
          <cell r="AR49">
            <v>0</v>
          </cell>
          <cell r="AS49">
            <v>0</v>
          </cell>
          <cell r="AT49">
            <v>0</v>
          </cell>
          <cell r="AU49">
            <v>0</v>
          </cell>
          <cell r="AW49">
            <v>0</v>
          </cell>
          <cell r="AX49">
            <v>0</v>
          </cell>
          <cell r="AY49">
            <v>0</v>
          </cell>
          <cell r="AZ49">
            <v>0</v>
          </cell>
          <cell r="BB49">
            <v>0</v>
          </cell>
          <cell r="BC49">
            <v>0</v>
          </cell>
          <cell r="BD49">
            <v>0</v>
          </cell>
          <cell r="BE49">
            <v>0</v>
          </cell>
          <cell r="BG49">
            <v>0</v>
          </cell>
          <cell r="BH49">
            <v>0</v>
          </cell>
          <cell r="BI49">
            <v>0</v>
          </cell>
          <cell r="BJ49">
            <v>0</v>
          </cell>
          <cell r="BL49">
            <v>0</v>
          </cell>
          <cell r="BM49">
            <v>0</v>
          </cell>
          <cell r="BN49">
            <v>0</v>
          </cell>
          <cell r="BO49">
            <v>0</v>
          </cell>
        </row>
        <row r="50">
          <cell r="A50" t="str">
            <v>4Q04</v>
          </cell>
          <cell r="AK50">
            <v>0</v>
          </cell>
          <cell r="AM50">
            <v>0</v>
          </cell>
          <cell r="AN50">
            <v>0</v>
          </cell>
          <cell r="AO50">
            <v>0</v>
          </cell>
          <cell r="AP50">
            <v>0</v>
          </cell>
          <cell r="AR50">
            <v>0</v>
          </cell>
          <cell r="AS50">
            <v>0</v>
          </cell>
          <cell r="AT50">
            <v>0</v>
          </cell>
          <cell r="AU50">
            <v>0</v>
          </cell>
          <cell r="AW50">
            <v>0</v>
          </cell>
          <cell r="AX50">
            <v>0</v>
          </cell>
          <cell r="AY50">
            <v>0</v>
          </cell>
          <cell r="AZ50">
            <v>0</v>
          </cell>
          <cell r="BB50">
            <v>0</v>
          </cell>
          <cell r="BC50">
            <v>0</v>
          </cell>
          <cell r="BD50">
            <v>0</v>
          </cell>
          <cell r="BE50">
            <v>0</v>
          </cell>
          <cell r="BG50">
            <v>0</v>
          </cell>
          <cell r="BH50">
            <v>0</v>
          </cell>
          <cell r="BI50">
            <v>0</v>
          </cell>
          <cell r="BJ50">
            <v>0</v>
          </cell>
          <cell r="BL50">
            <v>0</v>
          </cell>
          <cell r="BM50">
            <v>0</v>
          </cell>
          <cell r="BN50">
            <v>0</v>
          </cell>
          <cell r="BO50">
            <v>0</v>
          </cell>
        </row>
        <row r="51">
          <cell r="A51" t="str">
            <v>1Q05</v>
          </cell>
          <cell r="AM51">
            <v>0</v>
          </cell>
          <cell r="AN51">
            <v>0</v>
          </cell>
          <cell r="AO51">
            <v>0</v>
          </cell>
          <cell r="AP51">
            <v>0</v>
          </cell>
          <cell r="AR51">
            <v>0</v>
          </cell>
          <cell r="AS51">
            <v>0</v>
          </cell>
          <cell r="AT51">
            <v>0</v>
          </cell>
          <cell r="AU51">
            <v>0</v>
          </cell>
          <cell r="AW51">
            <v>0</v>
          </cell>
          <cell r="AX51">
            <v>0</v>
          </cell>
          <cell r="AY51">
            <v>0</v>
          </cell>
          <cell r="AZ51">
            <v>0</v>
          </cell>
          <cell r="BB51">
            <v>0</v>
          </cell>
          <cell r="BC51">
            <v>0</v>
          </cell>
          <cell r="BD51">
            <v>0</v>
          </cell>
          <cell r="BE51">
            <v>0</v>
          </cell>
          <cell r="BG51">
            <v>0</v>
          </cell>
          <cell r="BH51">
            <v>0</v>
          </cell>
          <cell r="BI51">
            <v>0</v>
          </cell>
          <cell r="BJ51">
            <v>0</v>
          </cell>
          <cell r="BL51">
            <v>0</v>
          </cell>
          <cell r="BM51">
            <v>0</v>
          </cell>
          <cell r="BN51">
            <v>0</v>
          </cell>
          <cell r="BO51">
            <v>0</v>
          </cell>
        </row>
        <row r="52">
          <cell r="A52" t="str">
            <v>2Q05</v>
          </cell>
          <cell r="AN52">
            <v>0</v>
          </cell>
          <cell r="AO52">
            <v>0</v>
          </cell>
          <cell r="AP52">
            <v>0</v>
          </cell>
          <cell r="AR52">
            <v>0</v>
          </cell>
          <cell r="AS52">
            <v>0</v>
          </cell>
          <cell r="AT52">
            <v>0</v>
          </cell>
          <cell r="AU52">
            <v>0</v>
          </cell>
          <cell r="AW52">
            <v>0</v>
          </cell>
          <cell r="AX52">
            <v>0</v>
          </cell>
          <cell r="AY52">
            <v>0</v>
          </cell>
          <cell r="AZ52">
            <v>0</v>
          </cell>
          <cell r="BB52">
            <v>0</v>
          </cell>
          <cell r="BC52">
            <v>0</v>
          </cell>
          <cell r="BD52">
            <v>0</v>
          </cell>
          <cell r="BE52">
            <v>0</v>
          </cell>
          <cell r="BG52">
            <v>0</v>
          </cell>
          <cell r="BH52">
            <v>0</v>
          </cell>
          <cell r="BI52">
            <v>0</v>
          </cell>
          <cell r="BJ52">
            <v>0</v>
          </cell>
          <cell r="BL52">
            <v>0</v>
          </cell>
          <cell r="BM52">
            <v>0</v>
          </cell>
          <cell r="BN52">
            <v>0</v>
          </cell>
          <cell r="BO52">
            <v>0</v>
          </cell>
        </row>
        <row r="53">
          <cell r="A53" t="str">
            <v>3Q05</v>
          </cell>
          <cell r="AO53">
            <v>0</v>
          </cell>
          <cell r="AP53">
            <v>0</v>
          </cell>
          <cell r="AR53">
            <v>0</v>
          </cell>
          <cell r="AS53">
            <v>0</v>
          </cell>
          <cell r="AT53">
            <v>0</v>
          </cell>
          <cell r="AU53">
            <v>0</v>
          </cell>
          <cell r="AW53">
            <v>0</v>
          </cell>
          <cell r="AX53">
            <v>0</v>
          </cell>
          <cell r="AY53">
            <v>0</v>
          </cell>
          <cell r="AZ53">
            <v>0</v>
          </cell>
          <cell r="BB53">
            <v>0</v>
          </cell>
          <cell r="BC53">
            <v>0</v>
          </cell>
          <cell r="BD53">
            <v>0</v>
          </cell>
          <cell r="BE53">
            <v>0</v>
          </cell>
          <cell r="BG53">
            <v>0</v>
          </cell>
          <cell r="BH53">
            <v>0</v>
          </cell>
          <cell r="BI53">
            <v>0</v>
          </cell>
          <cell r="BJ53">
            <v>0</v>
          </cell>
          <cell r="BL53">
            <v>0</v>
          </cell>
          <cell r="BM53">
            <v>0</v>
          </cell>
          <cell r="BN53">
            <v>0</v>
          </cell>
          <cell r="BO53">
            <v>0</v>
          </cell>
        </row>
        <row r="54">
          <cell r="A54" t="str">
            <v>4Q05</v>
          </cell>
          <cell r="AP54">
            <v>0</v>
          </cell>
          <cell r="AR54">
            <v>0</v>
          </cell>
          <cell r="AS54">
            <v>0</v>
          </cell>
          <cell r="AT54">
            <v>0</v>
          </cell>
          <cell r="AU54">
            <v>0</v>
          </cell>
          <cell r="AW54">
            <v>0</v>
          </cell>
          <cell r="AX54">
            <v>0</v>
          </cell>
          <cell r="AY54">
            <v>0</v>
          </cell>
          <cell r="AZ54">
            <v>0</v>
          </cell>
          <cell r="BB54">
            <v>0</v>
          </cell>
          <cell r="BC54">
            <v>0</v>
          </cell>
          <cell r="BD54">
            <v>0</v>
          </cell>
          <cell r="BE54">
            <v>0</v>
          </cell>
          <cell r="BG54">
            <v>0</v>
          </cell>
          <cell r="BH54">
            <v>0</v>
          </cell>
          <cell r="BI54">
            <v>0</v>
          </cell>
          <cell r="BJ54">
            <v>0</v>
          </cell>
          <cell r="BL54">
            <v>0</v>
          </cell>
          <cell r="BM54">
            <v>0</v>
          </cell>
          <cell r="BN54">
            <v>0</v>
          </cell>
          <cell r="BO54">
            <v>0</v>
          </cell>
        </row>
        <row r="55">
          <cell r="A55" t="str">
            <v>1Q06</v>
          </cell>
          <cell r="AR55">
            <v>0</v>
          </cell>
          <cell r="AS55">
            <v>0</v>
          </cell>
          <cell r="AT55">
            <v>0</v>
          </cell>
          <cell r="AU55">
            <v>0</v>
          </cell>
          <cell r="AW55">
            <v>0</v>
          </cell>
          <cell r="AX55">
            <v>0</v>
          </cell>
          <cell r="AY55">
            <v>0</v>
          </cell>
          <cell r="AZ55">
            <v>0</v>
          </cell>
          <cell r="BB55">
            <v>0</v>
          </cell>
          <cell r="BC55">
            <v>0</v>
          </cell>
          <cell r="BD55">
            <v>0</v>
          </cell>
          <cell r="BE55">
            <v>0</v>
          </cell>
          <cell r="BG55">
            <v>0</v>
          </cell>
          <cell r="BH55">
            <v>0</v>
          </cell>
          <cell r="BI55">
            <v>0</v>
          </cell>
          <cell r="BJ55">
            <v>0</v>
          </cell>
          <cell r="BL55">
            <v>0</v>
          </cell>
          <cell r="BM55">
            <v>0</v>
          </cell>
          <cell r="BN55">
            <v>0</v>
          </cell>
          <cell r="BO55">
            <v>0</v>
          </cell>
        </row>
        <row r="56">
          <cell r="A56" t="str">
            <v>2Q06</v>
          </cell>
          <cell r="AS56">
            <v>0</v>
          </cell>
          <cell r="AT56">
            <v>0</v>
          </cell>
          <cell r="AU56">
            <v>0</v>
          </cell>
          <cell r="AW56">
            <v>0</v>
          </cell>
          <cell r="AX56">
            <v>0</v>
          </cell>
          <cell r="AY56">
            <v>0</v>
          </cell>
          <cell r="AZ56">
            <v>0</v>
          </cell>
          <cell r="BB56">
            <v>0</v>
          </cell>
          <cell r="BC56">
            <v>0</v>
          </cell>
          <cell r="BD56">
            <v>0</v>
          </cell>
          <cell r="BE56">
            <v>0</v>
          </cell>
          <cell r="BG56">
            <v>0</v>
          </cell>
          <cell r="BH56">
            <v>0</v>
          </cell>
          <cell r="BI56">
            <v>0</v>
          </cell>
          <cell r="BJ56">
            <v>0</v>
          </cell>
          <cell r="BL56">
            <v>0</v>
          </cell>
          <cell r="BM56">
            <v>0</v>
          </cell>
          <cell r="BN56">
            <v>0</v>
          </cell>
          <cell r="BO56">
            <v>0</v>
          </cell>
        </row>
        <row r="57">
          <cell r="A57" t="str">
            <v>3Q06</v>
          </cell>
          <cell r="AT57">
            <v>0</v>
          </cell>
          <cell r="AU57">
            <v>0</v>
          </cell>
          <cell r="AW57">
            <v>0</v>
          </cell>
          <cell r="AX57">
            <v>0</v>
          </cell>
          <cell r="AY57">
            <v>0</v>
          </cell>
          <cell r="AZ57">
            <v>0</v>
          </cell>
          <cell r="BB57">
            <v>0</v>
          </cell>
          <cell r="BC57">
            <v>0</v>
          </cell>
          <cell r="BD57">
            <v>0</v>
          </cell>
          <cell r="BE57">
            <v>0</v>
          </cell>
          <cell r="BG57">
            <v>0</v>
          </cell>
          <cell r="BH57">
            <v>0</v>
          </cell>
          <cell r="BI57">
            <v>0</v>
          </cell>
          <cell r="BJ57">
            <v>0</v>
          </cell>
          <cell r="BL57">
            <v>0</v>
          </cell>
          <cell r="BM57">
            <v>0</v>
          </cell>
          <cell r="BN57">
            <v>0</v>
          </cell>
          <cell r="BO57">
            <v>0</v>
          </cell>
        </row>
        <row r="58">
          <cell r="A58" t="str">
            <v>4Q06</v>
          </cell>
          <cell r="AU58">
            <v>0</v>
          </cell>
          <cell r="AW58">
            <v>0</v>
          </cell>
          <cell r="AX58">
            <v>0</v>
          </cell>
          <cell r="AY58">
            <v>0</v>
          </cell>
          <cell r="AZ58">
            <v>0</v>
          </cell>
          <cell r="BB58">
            <v>0</v>
          </cell>
          <cell r="BC58">
            <v>0</v>
          </cell>
          <cell r="BD58">
            <v>0</v>
          </cell>
          <cell r="BE58">
            <v>0</v>
          </cell>
          <cell r="BG58">
            <v>0</v>
          </cell>
          <cell r="BH58">
            <v>0</v>
          </cell>
          <cell r="BI58">
            <v>0</v>
          </cell>
          <cell r="BJ58">
            <v>0</v>
          </cell>
          <cell r="BL58">
            <v>0</v>
          </cell>
          <cell r="BM58">
            <v>0</v>
          </cell>
          <cell r="BN58">
            <v>0</v>
          </cell>
          <cell r="BO58">
            <v>0</v>
          </cell>
        </row>
        <row r="59">
          <cell r="A59" t="str">
            <v>1Q07</v>
          </cell>
          <cell r="AW59">
            <v>0</v>
          </cell>
          <cell r="AX59">
            <v>0</v>
          </cell>
          <cell r="AY59">
            <v>0</v>
          </cell>
          <cell r="AZ59">
            <v>0</v>
          </cell>
          <cell r="BB59">
            <v>0</v>
          </cell>
          <cell r="BC59">
            <v>0</v>
          </cell>
          <cell r="BD59">
            <v>0</v>
          </cell>
          <cell r="BE59">
            <v>0</v>
          </cell>
          <cell r="BG59">
            <v>0</v>
          </cell>
          <cell r="BH59">
            <v>0</v>
          </cell>
          <cell r="BI59">
            <v>0</v>
          </cell>
          <cell r="BJ59">
            <v>0</v>
          </cell>
          <cell r="BL59">
            <v>0</v>
          </cell>
          <cell r="BM59">
            <v>0</v>
          </cell>
          <cell r="BN59">
            <v>0</v>
          </cell>
          <cell r="BO59">
            <v>0</v>
          </cell>
        </row>
        <row r="60">
          <cell r="A60" t="str">
            <v>2Q07</v>
          </cell>
          <cell r="AX60">
            <v>0</v>
          </cell>
          <cell r="AY60">
            <v>0</v>
          </cell>
          <cell r="AZ60">
            <v>0</v>
          </cell>
          <cell r="BB60">
            <v>0</v>
          </cell>
          <cell r="BC60">
            <v>0</v>
          </cell>
          <cell r="BD60">
            <v>0</v>
          </cell>
          <cell r="BE60">
            <v>0</v>
          </cell>
          <cell r="BG60">
            <v>0</v>
          </cell>
          <cell r="BH60">
            <v>0</v>
          </cell>
          <cell r="BI60">
            <v>0</v>
          </cell>
          <cell r="BJ60">
            <v>0</v>
          </cell>
          <cell r="BL60">
            <v>0</v>
          </cell>
          <cell r="BM60">
            <v>0</v>
          </cell>
          <cell r="BN60">
            <v>0</v>
          </cell>
          <cell r="BO60">
            <v>0</v>
          </cell>
        </row>
        <row r="61">
          <cell r="A61" t="str">
            <v>3Q07</v>
          </cell>
          <cell r="AY61">
            <v>0</v>
          </cell>
          <cell r="AZ61">
            <v>0</v>
          </cell>
          <cell r="BB61">
            <v>0</v>
          </cell>
          <cell r="BC61">
            <v>0</v>
          </cell>
          <cell r="BD61">
            <v>0</v>
          </cell>
          <cell r="BE61">
            <v>0</v>
          </cell>
          <cell r="BG61">
            <v>0</v>
          </cell>
          <cell r="BH61">
            <v>0</v>
          </cell>
          <cell r="BI61">
            <v>0</v>
          </cell>
          <cell r="BJ61">
            <v>0</v>
          </cell>
          <cell r="BL61">
            <v>0</v>
          </cell>
          <cell r="BM61">
            <v>0</v>
          </cell>
          <cell r="BN61">
            <v>0</v>
          </cell>
          <cell r="BO61">
            <v>0</v>
          </cell>
        </row>
        <row r="62">
          <cell r="A62" t="str">
            <v>4Q07</v>
          </cell>
          <cell r="AZ62">
            <v>0</v>
          </cell>
          <cell r="BB62">
            <v>615.60216000000003</v>
          </cell>
          <cell r="BC62">
            <v>617.14116539999998</v>
          </cell>
          <cell r="BD62">
            <v>618.68401831349991</v>
          </cell>
          <cell r="BE62">
            <v>620.2307283592836</v>
          </cell>
          <cell r="BG62">
            <v>621.78130518018179</v>
          </cell>
          <cell r="BH62">
            <v>623.33575844313225</v>
          </cell>
          <cell r="BI62">
            <v>624.89409783924009</v>
          </cell>
          <cell r="BJ62">
            <v>626.4563330838381</v>
          </cell>
          <cell r="BL62">
            <v>628.02247391654771</v>
          </cell>
          <cell r="BM62">
            <v>629.59253010133909</v>
          </cell>
          <cell r="BN62">
            <v>631.16651142659236</v>
          </cell>
          <cell r="BO62">
            <v>632.74442770515884</v>
          </cell>
        </row>
        <row r="63">
          <cell r="A63" t="str">
            <v>1Q08</v>
          </cell>
          <cell r="BB63">
            <v>-379.6875</v>
          </cell>
          <cell r="BC63">
            <v>-759.375</v>
          </cell>
          <cell r="BD63">
            <v>-761.2734375</v>
          </cell>
          <cell r="BE63">
            <v>-763.17662109374999</v>
          </cell>
          <cell r="BG63">
            <v>-765.0845626464843</v>
          </cell>
          <cell r="BH63">
            <v>-766.99727405310045</v>
          </cell>
          <cell r="BI63">
            <v>-768.91476723823314</v>
          </cell>
          <cell r="BJ63">
            <v>-770.83705415632869</v>
          </cell>
          <cell r="BL63">
            <v>-772.76414679171944</v>
          </cell>
          <cell r="BM63">
            <v>-774.69605715869875</v>
          </cell>
          <cell r="BN63">
            <v>-776.63279730159547</v>
          </cell>
          <cell r="BO63">
            <v>-778.57437929484945</v>
          </cell>
        </row>
        <row r="64">
          <cell r="A64" t="str">
            <v>2Q08</v>
          </cell>
          <cell r="BC64">
            <v>-379.6875</v>
          </cell>
          <cell r="BD64">
            <v>-759.375</v>
          </cell>
          <cell r="BE64">
            <v>-761.2734375</v>
          </cell>
          <cell r="BG64">
            <v>-763.17662109374999</v>
          </cell>
          <cell r="BH64">
            <v>-765.0845626464843</v>
          </cell>
          <cell r="BI64">
            <v>-766.99727405310045</v>
          </cell>
          <cell r="BJ64">
            <v>-768.91476723823314</v>
          </cell>
          <cell r="BL64">
            <v>-770.83705415632869</v>
          </cell>
          <cell r="BM64">
            <v>-772.76414679171944</v>
          </cell>
          <cell r="BN64">
            <v>-774.69605715869875</v>
          </cell>
          <cell r="BO64">
            <v>-776.63279730159547</v>
          </cell>
        </row>
        <row r="65">
          <cell r="A65" t="str">
            <v>3Q08</v>
          </cell>
          <cell r="BD65">
            <v>-379.6875</v>
          </cell>
          <cell r="BE65">
            <v>-759.375</v>
          </cell>
          <cell r="BG65">
            <v>-761.2734375</v>
          </cell>
          <cell r="BH65">
            <v>-763.17662109374999</v>
          </cell>
          <cell r="BI65">
            <v>-765.0845626464843</v>
          </cell>
          <cell r="BJ65">
            <v>-766.99727405310045</v>
          </cell>
          <cell r="BL65">
            <v>-768.91476723823314</v>
          </cell>
          <cell r="BM65">
            <v>-770.83705415632869</v>
          </cell>
          <cell r="BN65">
            <v>-772.76414679171944</v>
          </cell>
          <cell r="BO65">
            <v>-774.69605715869875</v>
          </cell>
        </row>
        <row r="66">
          <cell r="A66" t="str">
            <v>4Q08</v>
          </cell>
          <cell r="BE66">
            <v>-379.6875</v>
          </cell>
          <cell r="BG66">
            <v>-759.375</v>
          </cell>
          <cell r="BH66">
            <v>-761.2734375</v>
          </cell>
          <cell r="BI66">
            <v>-763.17662109374999</v>
          </cell>
          <cell r="BJ66">
            <v>-765.0845626464843</v>
          </cell>
          <cell r="BL66">
            <v>-766.99727405310045</v>
          </cell>
          <cell r="BM66">
            <v>-768.91476723823314</v>
          </cell>
          <cell r="BN66">
            <v>-770.83705415632869</v>
          </cell>
          <cell r="BO66">
            <v>-772.76414679171944</v>
          </cell>
        </row>
        <row r="67">
          <cell r="A67" t="str">
            <v>1Q2009</v>
          </cell>
          <cell r="BG67">
            <v>-375</v>
          </cell>
          <cell r="BH67">
            <v>-750</v>
          </cell>
          <cell r="BI67">
            <v>-751.875</v>
          </cell>
          <cell r="BJ67">
            <v>-753.75468749999993</v>
          </cell>
          <cell r="BL67">
            <v>-755.6390742187499</v>
          </cell>
          <cell r="BM67">
            <v>-757.52817190429676</v>
          </cell>
          <cell r="BN67">
            <v>-759.42199233405745</v>
          </cell>
          <cell r="BO67">
            <v>-761.32054731489256</v>
          </cell>
        </row>
        <row r="68">
          <cell r="A68" t="str">
            <v>2Q2009</v>
          </cell>
          <cell r="BH68">
            <v>-375</v>
          </cell>
          <cell r="BI68">
            <v>-750</v>
          </cell>
          <cell r="BJ68">
            <v>-751.875</v>
          </cell>
          <cell r="BL68">
            <v>-753.75468749999993</v>
          </cell>
          <cell r="BM68">
            <v>-755.6390742187499</v>
          </cell>
          <cell r="BN68">
            <v>-757.52817190429676</v>
          </cell>
          <cell r="BO68">
            <v>-759.42199233405745</v>
          </cell>
        </row>
        <row r="69">
          <cell r="A69" t="str">
            <v>3Q2009</v>
          </cell>
          <cell r="BI69">
            <v>-375</v>
          </cell>
          <cell r="BJ69">
            <v>-750</v>
          </cell>
          <cell r="BL69">
            <v>-751.875</v>
          </cell>
          <cell r="BM69">
            <v>-753.75468749999993</v>
          </cell>
          <cell r="BN69">
            <v>-755.6390742187499</v>
          </cell>
          <cell r="BO69">
            <v>-757.52817190429676</v>
          </cell>
        </row>
        <row r="70">
          <cell r="A70" t="str">
            <v>4Q2009</v>
          </cell>
          <cell r="BJ70">
            <v>-375</v>
          </cell>
          <cell r="BL70">
            <v>-750</v>
          </cell>
          <cell r="BM70">
            <v>-751.875</v>
          </cell>
          <cell r="BN70">
            <v>-753.75468749999993</v>
          </cell>
          <cell r="BO70">
            <v>-755.6390742187499</v>
          </cell>
        </row>
        <row r="71">
          <cell r="A71" t="str">
            <v>1Q2010</v>
          </cell>
          <cell r="BL71">
            <v>-500</v>
          </cell>
          <cell r="BM71">
            <v>-1000</v>
          </cell>
          <cell r="BN71">
            <v>-1002.5</v>
          </cell>
          <cell r="BO71">
            <v>-1005.0062499999999</v>
          </cell>
        </row>
        <row r="72">
          <cell r="A72" t="str">
            <v>2Q2010</v>
          </cell>
          <cell r="BM72">
            <v>-500</v>
          </cell>
          <cell r="BN72">
            <v>-1000</v>
          </cell>
          <cell r="BO72">
            <v>-1002.5</v>
          </cell>
        </row>
        <row r="73">
          <cell r="A73" t="str">
            <v>3Q2010</v>
          </cell>
          <cell r="BN73">
            <v>-500</v>
          </cell>
          <cell r="BO73">
            <v>-1000</v>
          </cell>
        </row>
        <row r="74">
          <cell r="A74" t="str">
            <v>4Q2010</v>
          </cell>
          <cell r="BO74">
            <v>-500</v>
          </cell>
        </row>
        <row r="77">
          <cell r="A77" t="str">
            <v xml:space="preserve">   Total</v>
          </cell>
          <cell r="B77">
            <v>0</v>
          </cell>
          <cell r="C77">
            <v>0</v>
          </cell>
          <cell r="D77">
            <v>0</v>
          </cell>
          <cell r="E77">
            <v>0</v>
          </cell>
          <cell r="F77">
            <v>0</v>
          </cell>
          <cell r="H77">
            <v>0</v>
          </cell>
          <cell r="I77">
            <v>0</v>
          </cell>
          <cell r="J77">
            <v>0</v>
          </cell>
          <cell r="K77">
            <v>0</v>
          </cell>
          <cell r="L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235.91466000000003</v>
          </cell>
          <cell r="BC77">
            <v>-902.55805335000002</v>
          </cell>
          <cell r="BD77">
            <v>-2043.8769484833751</v>
          </cell>
          <cell r="BE77">
            <v>-3188.0491408545836</v>
          </cell>
          <cell r="BF77">
            <v>-5898.569482687959</v>
          </cell>
          <cell r="BG77">
            <v>-3949.7575449567198</v>
          </cell>
          <cell r="BH77">
            <v>-5091.234329253095</v>
          </cell>
          <cell r="BI77">
            <v>-6235.564805510212</v>
          </cell>
          <cell r="BJ77">
            <v>-7382.7561079579709</v>
          </cell>
          <cell r="BK77">
            <v>-22659.312787677998</v>
          </cell>
          <cell r="BL77">
            <v>-8275.2754982278639</v>
          </cell>
          <cell r="BM77">
            <v>-9294.713686973435</v>
          </cell>
          <cell r="BN77">
            <v>-10316.700471190867</v>
          </cell>
          <cell r="BO77">
            <v>-11341.242222368845</v>
          </cell>
          <cell r="BP77">
            <v>-39227.93187876101</v>
          </cell>
        </row>
        <row r="80">
          <cell r="A80" t="str">
            <v>Developments - Build-to-Suit</v>
          </cell>
          <cell r="AF80">
            <v>5560.73</v>
          </cell>
          <cell r="AH80">
            <v>37109.635999999999</v>
          </cell>
          <cell r="AI80">
            <v>2650.0349999999999</v>
          </cell>
          <cell r="AJ80">
            <v>19553.5</v>
          </cell>
          <cell r="AK80">
            <v>3010.6260000000002</v>
          </cell>
          <cell r="AL80">
            <v>62323.796999999999</v>
          </cell>
          <cell r="AM80">
            <v>28951.123</v>
          </cell>
          <cell r="AN80">
            <v>6216.3419999999996</v>
          </cell>
          <cell r="AO80">
            <v>13169.466</v>
          </cell>
          <cell r="AP80">
            <v>10071.753000000001</v>
          </cell>
          <cell r="AQ80">
            <v>58408.684000000001</v>
          </cell>
          <cell r="AR80">
            <v>37650.898999999998</v>
          </cell>
          <cell r="AS80">
            <v>98531.612999999998</v>
          </cell>
          <cell r="AT80">
            <v>46631.411999999997</v>
          </cell>
          <cell r="AU80">
            <v>54676.290999999997</v>
          </cell>
          <cell r="AV80">
            <v>237490.215</v>
          </cell>
          <cell r="AW80">
            <v>77218.371500000008</v>
          </cell>
          <cell r="AX80">
            <v>116207.548</v>
          </cell>
          <cell r="AY80">
            <v>277704.36300000001</v>
          </cell>
          <cell r="AZ80">
            <v>139675.66699999999</v>
          </cell>
          <cell r="BA80">
            <v>610805.94949999999</v>
          </cell>
          <cell r="BB80">
            <v>34877.589</v>
          </cell>
          <cell r="BC80">
            <v>85708.107999999993</v>
          </cell>
          <cell r="BD80">
            <v>78373.892999999996</v>
          </cell>
          <cell r="BE80">
            <v>78373.892999999996</v>
          </cell>
          <cell r="BF80">
            <v>277333.48299999995</v>
          </cell>
          <cell r="BG80">
            <v>128373.893</v>
          </cell>
          <cell r="BH80">
            <v>128373.893</v>
          </cell>
          <cell r="BI80">
            <v>128373.893</v>
          </cell>
          <cell r="BJ80">
            <v>128373.893</v>
          </cell>
          <cell r="BK80">
            <v>513495.57199999999</v>
          </cell>
          <cell r="BL80">
            <v>128373.893</v>
          </cell>
          <cell r="BM80">
            <v>128373.893</v>
          </cell>
          <cell r="BN80">
            <v>128373.893</v>
          </cell>
          <cell r="BO80">
            <v>128373.893</v>
          </cell>
          <cell r="BP80">
            <v>513495.57199999999</v>
          </cell>
        </row>
        <row r="81">
          <cell r="A81" t="str">
            <v>Developments - Core</v>
          </cell>
          <cell r="B81">
            <v>73713</v>
          </cell>
          <cell r="C81">
            <v>69918</v>
          </cell>
          <cell r="D81">
            <v>42615</v>
          </cell>
          <cell r="E81">
            <v>50000</v>
          </cell>
          <cell r="F81">
            <v>236246</v>
          </cell>
          <cell r="H81">
            <v>88000</v>
          </cell>
          <cell r="I81">
            <v>112000</v>
          </cell>
          <cell r="J81">
            <v>213000</v>
          </cell>
          <cell r="K81">
            <v>162000</v>
          </cell>
          <cell r="L81">
            <v>575000</v>
          </cell>
          <cell r="N81">
            <v>175000</v>
          </cell>
          <cell r="O81">
            <v>175000</v>
          </cell>
          <cell r="P81">
            <v>225741</v>
          </cell>
          <cell r="Q81">
            <v>180844</v>
          </cell>
          <cell r="R81">
            <v>756585</v>
          </cell>
          <cell r="S81">
            <v>115400</v>
          </cell>
          <cell r="T81">
            <v>69822</v>
          </cell>
          <cell r="U81">
            <v>158000</v>
          </cell>
          <cell r="V81">
            <v>50000</v>
          </cell>
          <cell r="W81">
            <v>393222</v>
          </cell>
          <cell r="X81">
            <v>85782.692999999999</v>
          </cell>
          <cell r="Y81">
            <v>51981.266000000003</v>
          </cell>
          <cell r="Z81">
            <v>34981.165000000001</v>
          </cell>
          <cell r="AA81">
            <v>36852.828999999998</v>
          </cell>
          <cell r="AB81">
            <v>209597.95300000001</v>
          </cell>
          <cell r="AC81">
            <v>28173</v>
          </cell>
          <cell r="AD81">
            <v>43414.52</v>
          </cell>
          <cell r="AE81">
            <v>16769.348000000002</v>
          </cell>
          <cell r="AF81">
            <v>44375.88</v>
          </cell>
          <cell r="AG81">
            <v>132732.74799999999</v>
          </cell>
          <cell r="AH81">
            <v>81643.816000000006</v>
          </cell>
          <cell r="AI81">
            <v>29380.745999999999</v>
          </cell>
          <cell r="AJ81">
            <v>26992.723000000002</v>
          </cell>
          <cell r="AK81">
            <v>33843.042999999998</v>
          </cell>
          <cell r="AL81">
            <v>171860.32800000001</v>
          </cell>
          <cell r="AM81">
            <v>62041.142999999996</v>
          </cell>
          <cell r="AN81">
            <v>47131.33</v>
          </cell>
          <cell r="AO81">
            <v>14430.629000000001</v>
          </cell>
          <cell r="AP81">
            <v>94575.937000000005</v>
          </cell>
          <cell r="AQ81">
            <v>218179.03899999999</v>
          </cell>
          <cell r="AR81">
            <v>54896.15</v>
          </cell>
          <cell r="AS81">
            <v>102513.734</v>
          </cell>
          <cell r="AT81">
            <v>88608.767999999996</v>
          </cell>
          <cell r="AU81">
            <v>174046.38999999998</v>
          </cell>
          <cell r="AV81">
            <v>420065.04200000002</v>
          </cell>
          <cell r="AW81">
            <v>71378.657999999996</v>
          </cell>
          <cell r="AX81">
            <v>79666.080000000002</v>
          </cell>
          <cell r="AY81">
            <v>88223.047000000006</v>
          </cell>
          <cell r="AZ81">
            <v>215813.95449999999</v>
          </cell>
          <cell r="BA81">
            <v>455081.73950000003</v>
          </cell>
          <cell r="BB81">
            <v>149335.66250000001</v>
          </cell>
          <cell r="BC81">
            <v>231851.14</v>
          </cell>
          <cell r="BD81">
            <v>198615.46599999999</v>
          </cell>
          <cell r="BE81">
            <v>100000</v>
          </cell>
          <cell r="BF81">
            <v>679802.26850000001</v>
          </cell>
          <cell r="BG81">
            <v>100000</v>
          </cell>
          <cell r="BH81">
            <v>100000</v>
          </cell>
          <cell r="BI81">
            <v>100000</v>
          </cell>
          <cell r="BJ81">
            <v>100000</v>
          </cell>
          <cell r="BK81">
            <v>400000</v>
          </cell>
          <cell r="BL81">
            <v>125000</v>
          </cell>
          <cell r="BM81">
            <v>125000</v>
          </cell>
          <cell r="BN81">
            <v>125000</v>
          </cell>
          <cell r="BO81">
            <v>125000</v>
          </cell>
          <cell r="BP81">
            <v>500000</v>
          </cell>
        </row>
        <row r="82">
          <cell r="A82" t="str">
            <v>Cap Rate</v>
          </cell>
          <cell r="B82">
            <v>0.1182</v>
          </cell>
          <cell r="C82">
            <v>0.11890000000000001</v>
          </cell>
          <cell r="D82">
            <v>0.1181</v>
          </cell>
          <cell r="E82">
            <v>0.11</v>
          </cell>
          <cell r="H82">
            <v>0.105</v>
          </cell>
          <cell r="I82">
            <v>0.105</v>
          </cell>
          <cell r="J82">
            <v>0.105</v>
          </cell>
          <cell r="K82">
            <v>0.105</v>
          </cell>
          <cell r="N82">
            <v>0.105</v>
          </cell>
          <cell r="O82">
            <v>0.105</v>
          </cell>
          <cell r="P82">
            <v>0.105</v>
          </cell>
          <cell r="Q82">
            <v>0.105</v>
          </cell>
          <cell r="S82">
            <v>0.11</v>
          </cell>
          <cell r="T82">
            <v>0.11</v>
          </cell>
          <cell r="U82">
            <v>0.112</v>
          </cell>
          <cell r="V82">
            <v>0.112</v>
          </cell>
          <cell r="X82">
            <v>9.1700000000000004E-2</v>
          </cell>
          <cell r="Y82">
            <v>0.1055</v>
          </cell>
          <cell r="Z82">
            <v>0.1114</v>
          </cell>
          <cell r="AA82">
            <v>0.1134</v>
          </cell>
          <cell r="AC82">
            <v>0.1016</v>
          </cell>
          <cell r="AD82">
            <v>0.1096</v>
          </cell>
          <cell r="AE82">
            <v>0.11</v>
          </cell>
          <cell r="AF82">
            <v>0.1089</v>
          </cell>
          <cell r="AH82">
            <v>0.1</v>
          </cell>
          <cell r="AI82">
            <v>0.1</v>
          </cell>
          <cell r="AJ82">
            <v>0.1</v>
          </cell>
          <cell r="AK82">
            <v>0.11</v>
          </cell>
          <cell r="AM82">
            <v>0.105</v>
          </cell>
          <cell r="AN82">
            <v>0.1</v>
          </cell>
          <cell r="AO82">
            <v>0.1017</v>
          </cell>
          <cell r="AP82">
            <v>9.7600000000000006E-2</v>
          </cell>
          <cell r="AR82">
            <v>0.1023</v>
          </cell>
          <cell r="AS82">
            <v>9.1816810269675114E-2</v>
          </cell>
          <cell r="AT82">
            <v>9.5941430273162903E-2</v>
          </cell>
          <cell r="AU82">
            <v>8.9435038123744287E-2</v>
          </cell>
          <cell r="AW82">
            <v>9.5040626651624938E-2</v>
          </cell>
          <cell r="AX82">
            <v>8.7860496450292952E-2</v>
          </cell>
          <cell r="AY82">
            <v>9.1300000000000006E-2</v>
          </cell>
          <cell r="AZ82">
            <v>9.1210334210277355E-2</v>
          </cell>
          <cell r="BB82">
            <v>9.257467122472457E-2</v>
          </cell>
          <cell r="BC82">
            <v>8.6088579980514363E-2</v>
          </cell>
          <cell r="BD82">
            <v>8.9964702019834628E-2</v>
          </cell>
          <cell r="BE82">
            <v>8.9964702019834628E-2</v>
          </cell>
          <cell r="BG82">
            <v>8.9964702019834628E-2</v>
          </cell>
          <cell r="BH82">
            <v>8.9964702019834628E-2</v>
          </cell>
          <cell r="BI82">
            <v>8.9964702019834628E-2</v>
          </cell>
          <cell r="BJ82">
            <v>8.9964702019834628E-2</v>
          </cell>
          <cell r="BL82">
            <v>8.9964702019834628E-2</v>
          </cell>
          <cell r="BM82">
            <v>8.9964702019834628E-2</v>
          </cell>
          <cell r="BN82">
            <v>8.9964702019834628E-2</v>
          </cell>
          <cell r="BO82">
            <v>8.9964702019834628E-2</v>
          </cell>
        </row>
        <row r="83">
          <cell r="A83" t="str">
            <v>Quarter or Year</v>
          </cell>
          <cell r="B83">
            <v>0.25</v>
          </cell>
          <cell r="C83">
            <v>0.25</v>
          </cell>
          <cell r="D83">
            <v>0.25</v>
          </cell>
          <cell r="E83">
            <v>0.25</v>
          </cell>
          <cell r="H83">
            <v>0.25</v>
          </cell>
          <cell r="I83">
            <v>0.25</v>
          </cell>
          <cell r="J83">
            <v>0.25</v>
          </cell>
          <cell r="K83">
            <v>0.25</v>
          </cell>
          <cell r="N83">
            <v>0.25</v>
          </cell>
          <cell r="O83">
            <v>0.25</v>
          </cell>
          <cell r="P83">
            <v>0.25</v>
          </cell>
          <cell r="Q83">
            <v>0.25</v>
          </cell>
          <cell r="S83">
            <v>0.25</v>
          </cell>
          <cell r="T83">
            <v>0.25</v>
          </cell>
          <cell r="U83">
            <v>0.25</v>
          </cell>
          <cell r="V83">
            <v>0.25</v>
          </cell>
          <cell r="X83">
            <v>0.2</v>
          </cell>
          <cell r="Y83">
            <v>0.2</v>
          </cell>
          <cell r="Z83">
            <v>0.2</v>
          </cell>
          <cell r="AA83">
            <v>0.2</v>
          </cell>
          <cell r="AC83">
            <v>0.25</v>
          </cell>
          <cell r="AD83">
            <v>0.25</v>
          </cell>
          <cell r="AE83">
            <v>0.25</v>
          </cell>
          <cell r="AF83">
            <v>0.25</v>
          </cell>
          <cell r="AH83">
            <v>0.25</v>
          </cell>
          <cell r="AI83">
            <v>0.25</v>
          </cell>
          <cell r="AJ83">
            <v>0.25</v>
          </cell>
          <cell r="AK83">
            <v>0.25</v>
          </cell>
          <cell r="AM83">
            <v>0.25</v>
          </cell>
          <cell r="AN83">
            <v>0.25</v>
          </cell>
          <cell r="AO83">
            <v>0.25</v>
          </cell>
          <cell r="AP83">
            <v>0.25</v>
          </cell>
          <cell r="AR83">
            <v>0.25</v>
          </cell>
          <cell r="AS83">
            <v>0.25</v>
          </cell>
          <cell r="AT83">
            <v>0.25</v>
          </cell>
          <cell r="AU83">
            <v>0.25</v>
          </cell>
          <cell r="AW83">
            <v>0.25</v>
          </cell>
          <cell r="AX83">
            <v>0.25</v>
          </cell>
          <cell r="AY83">
            <v>0.25</v>
          </cell>
          <cell r="AZ83">
            <v>0.25</v>
          </cell>
          <cell r="BB83">
            <v>0.25</v>
          </cell>
          <cell r="BC83">
            <v>0.25</v>
          </cell>
          <cell r="BD83">
            <v>0.25</v>
          </cell>
          <cell r="BE83">
            <v>0.25</v>
          </cell>
          <cell r="BG83">
            <v>0.25</v>
          </cell>
          <cell r="BH83">
            <v>0.25</v>
          </cell>
          <cell r="BI83">
            <v>0.25</v>
          </cell>
          <cell r="BJ83">
            <v>0.25</v>
          </cell>
          <cell r="BL83">
            <v>0.25</v>
          </cell>
          <cell r="BM83">
            <v>0.25</v>
          </cell>
          <cell r="BN83">
            <v>0.25</v>
          </cell>
          <cell r="BO83">
            <v>0.25</v>
          </cell>
        </row>
        <row r="84">
          <cell r="A84" t="str">
            <v>Timing of Transaction</v>
          </cell>
          <cell r="B84">
            <v>0.5</v>
          </cell>
          <cell r="C84">
            <v>0.5</v>
          </cell>
          <cell r="D84">
            <v>0.5</v>
          </cell>
          <cell r="E84">
            <v>0.5</v>
          </cell>
          <cell r="H84">
            <v>0.5</v>
          </cell>
          <cell r="I84">
            <v>0.5</v>
          </cell>
          <cell r="J84">
            <v>0.5</v>
          </cell>
          <cell r="K84">
            <v>0.5</v>
          </cell>
          <cell r="N84">
            <v>0.5</v>
          </cell>
          <cell r="O84">
            <v>0.5</v>
          </cell>
          <cell r="P84">
            <v>0.5</v>
          </cell>
          <cell r="Q84">
            <v>0.5</v>
          </cell>
          <cell r="S84">
            <v>0.5</v>
          </cell>
          <cell r="T84">
            <v>0.5</v>
          </cell>
          <cell r="U84">
            <v>0.5</v>
          </cell>
          <cell r="V84">
            <v>0.5</v>
          </cell>
          <cell r="X84">
            <v>0.5</v>
          </cell>
          <cell r="Y84">
            <v>0.5</v>
          </cell>
          <cell r="Z84">
            <v>0.5</v>
          </cell>
          <cell r="AA84">
            <v>0.5</v>
          </cell>
          <cell r="AC84">
            <v>0.5</v>
          </cell>
          <cell r="AD84">
            <v>0.5</v>
          </cell>
          <cell r="AE84">
            <v>0.5</v>
          </cell>
          <cell r="AF84">
            <v>0.5</v>
          </cell>
          <cell r="AH84">
            <v>0.5</v>
          </cell>
          <cell r="AI84">
            <v>0.5</v>
          </cell>
          <cell r="AJ84">
            <v>0.5</v>
          </cell>
          <cell r="AK84">
            <v>0.5</v>
          </cell>
          <cell r="AM84">
            <v>0.5</v>
          </cell>
          <cell r="AN84">
            <v>0.5</v>
          </cell>
          <cell r="AO84">
            <v>0.5</v>
          </cell>
          <cell r="AP84">
            <v>0.5</v>
          </cell>
          <cell r="AR84">
            <v>0.5</v>
          </cell>
          <cell r="AS84">
            <v>0.5</v>
          </cell>
          <cell r="AT84">
            <v>0.5</v>
          </cell>
          <cell r="AU84">
            <v>0.5</v>
          </cell>
          <cell r="AW84">
            <v>0.5</v>
          </cell>
          <cell r="AX84">
            <v>0.5</v>
          </cell>
          <cell r="AY84">
            <v>0.5</v>
          </cell>
          <cell r="AZ84">
            <v>0.5</v>
          </cell>
          <cell r="BB84">
            <v>0.5</v>
          </cell>
          <cell r="BC84">
            <v>0.5</v>
          </cell>
          <cell r="BD84">
            <v>0.5</v>
          </cell>
          <cell r="BE84">
            <v>0.5</v>
          </cell>
          <cell r="BG84">
            <v>0.5</v>
          </cell>
          <cell r="BH84">
            <v>0.5</v>
          </cell>
          <cell r="BI84">
            <v>0.5</v>
          </cell>
          <cell r="BJ84">
            <v>0.5</v>
          </cell>
          <cell r="BL84">
            <v>0.5</v>
          </cell>
          <cell r="BM84">
            <v>0.5</v>
          </cell>
          <cell r="BN84">
            <v>0.5</v>
          </cell>
          <cell r="BO84">
            <v>0.5</v>
          </cell>
        </row>
        <row r="85">
          <cell r="A85" t="str">
            <v>NOI Contribution - Partial Quarter</v>
          </cell>
          <cell r="B85">
            <v>1089.1095749999999</v>
          </cell>
          <cell r="C85">
            <v>1039.1562750000001</v>
          </cell>
          <cell r="D85">
            <v>629.10393750000003</v>
          </cell>
          <cell r="E85">
            <v>687.5</v>
          </cell>
          <cell r="H85">
            <v>1155</v>
          </cell>
          <cell r="I85">
            <v>1470</v>
          </cell>
          <cell r="J85">
            <v>2795.625</v>
          </cell>
          <cell r="K85">
            <v>2126.25</v>
          </cell>
          <cell r="N85">
            <v>2296.875</v>
          </cell>
          <cell r="O85">
            <v>2296.875</v>
          </cell>
          <cell r="P85">
            <v>2962.850625</v>
          </cell>
          <cell r="Q85">
            <v>2373.5774999999999</v>
          </cell>
          <cell r="S85">
            <v>1586.75</v>
          </cell>
          <cell r="T85">
            <v>960.05250000000001</v>
          </cell>
          <cell r="U85">
            <v>2212</v>
          </cell>
          <cell r="V85">
            <v>700</v>
          </cell>
          <cell r="X85">
            <v>786.62729481000008</v>
          </cell>
          <cell r="Y85">
            <v>548.40235630000006</v>
          </cell>
          <cell r="Z85">
            <v>389.69017810000003</v>
          </cell>
          <cell r="AA85">
            <v>417.91108086000003</v>
          </cell>
          <cell r="AC85">
            <v>357.7971</v>
          </cell>
          <cell r="AD85">
            <v>594.77892399999996</v>
          </cell>
          <cell r="AE85">
            <v>230.57853500000002</v>
          </cell>
          <cell r="AF85">
            <v>604.0666665</v>
          </cell>
          <cell r="AH85">
            <v>1020.5477000000001</v>
          </cell>
          <cell r="AI85">
            <v>367.25932499999999</v>
          </cell>
          <cell r="AJ85">
            <v>337.40903750000007</v>
          </cell>
          <cell r="AK85">
            <v>465.34184124999996</v>
          </cell>
          <cell r="AM85">
            <v>814.29000187499992</v>
          </cell>
          <cell r="AN85">
            <v>589.14162500000009</v>
          </cell>
          <cell r="AO85">
            <v>183.4493711625</v>
          </cell>
          <cell r="AP85">
            <v>1153.8264314</v>
          </cell>
          <cell r="AR85">
            <v>701.98451812500002</v>
          </cell>
          <cell r="AS85">
            <v>1176.5605080892428</v>
          </cell>
          <cell r="AT85">
            <v>1062.6564920828584</v>
          </cell>
          <cell r="AU85">
            <v>1945.7306906187582</v>
          </cell>
          <cell r="AW85">
            <v>847.98404823400267</v>
          </cell>
          <cell r="AX85">
            <v>874.93766738109434</v>
          </cell>
          <cell r="AY85">
            <v>1006.8455238875001</v>
          </cell>
          <cell r="AZ85">
            <v>2460.5578646483236</v>
          </cell>
          <cell r="BB85">
            <v>1728.0874822579913</v>
          </cell>
          <cell r="BC85">
            <v>2494.9669261829295</v>
          </cell>
          <cell r="BD85">
            <v>2233.5476519025742</v>
          </cell>
          <cell r="BE85">
            <v>1124.5587752479328</v>
          </cell>
          <cell r="BG85">
            <v>1124.5587752479328</v>
          </cell>
          <cell r="BH85">
            <v>1124.5587752479328</v>
          </cell>
          <cell r="BI85">
            <v>1124.5587752479328</v>
          </cell>
          <cell r="BJ85">
            <v>1124.5587752479328</v>
          </cell>
          <cell r="BL85">
            <v>1405.6984690599161</v>
          </cell>
          <cell r="BM85">
            <v>1405.6984690599161</v>
          </cell>
          <cell r="BN85">
            <v>1405.6984690599161</v>
          </cell>
          <cell r="BO85">
            <v>1405.6984690599161</v>
          </cell>
        </row>
        <row r="86">
          <cell r="A86" t="str">
            <v>NOI Contribution - Full Quarter</v>
          </cell>
          <cell r="B86">
            <v>2178.2191499999999</v>
          </cell>
          <cell r="C86">
            <v>2078.3125500000001</v>
          </cell>
          <cell r="D86">
            <v>1258.2078750000001</v>
          </cell>
          <cell r="E86">
            <v>1375</v>
          </cell>
          <cell r="H86">
            <v>2310</v>
          </cell>
          <cell r="I86">
            <v>2940</v>
          </cell>
          <cell r="J86">
            <v>5591.25</v>
          </cell>
          <cell r="K86">
            <v>4252.5</v>
          </cell>
          <cell r="N86">
            <v>4593.75</v>
          </cell>
          <cell r="O86">
            <v>4593.75</v>
          </cell>
          <cell r="P86">
            <v>5925.7012500000001</v>
          </cell>
          <cell r="Q86">
            <v>4747.1549999999997</v>
          </cell>
          <cell r="S86">
            <v>3173.5</v>
          </cell>
          <cell r="T86">
            <v>1920.105</v>
          </cell>
          <cell r="U86">
            <v>4424</v>
          </cell>
          <cell r="V86">
            <v>1400</v>
          </cell>
          <cell r="X86">
            <v>1573.2545896200002</v>
          </cell>
          <cell r="Y86">
            <v>1096.8047126000001</v>
          </cell>
          <cell r="Z86">
            <v>779.38035620000005</v>
          </cell>
          <cell r="AA86">
            <v>835.82216172000005</v>
          </cell>
          <cell r="AC86">
            <v>715.5942</v>
          </cell>
          <cell r="AD86">
            <v>1189.5578479999999</v>
          </cell>
          <cell r="AE86">
            <v>461.15707000000003</v>
          </cell>
          <cell r="AF86">
            <v>1208.133333</v>
          </cell>
          <cell r="AH86">
            <v>2041.0954000000002</v>
          </cell>
          <cell r="AI86">
            <v>734.51864999999998</v>
          </cell>
          <cell r="AJ86">
            <v>674.81807500000014</v>
          </cell>
          <cell r="AK86">
            <v>930.68368249999992</v>
          </cell>
          <cell r="AM86">
            <v>1628.5800037499998</v>
          </cell>
          <cell r="AN86">
            <v>1178.2832500000002</v>
          </cell>
          <cell r="AO86">
            <v>366.898742325</v>
          </cell>
          <cell r="AP86">
            <v>2307.6528628000001</v>
          </cell>
          <cell r="AR86">
            <v>1403.96903625</v>
          </cell>
          <cell r="AS86">
            <v>2353.1210161784857</v>
          </cell>
          <cell r="AT86">
            <v>2125.3129841657169</v>
          </cell>
          <cell r="AU86">
            <v>3891.4613812375164</v>
          </cell>
          <cell r="AW86">
            <v>1695.9680964680053</v>
          </cell>
          <cell r="AX86">
            <v>1749.8753347621887</v>
          </cell>
          <cell r="AY86">
            <v>2013.6910477750002</v>
          </cell>
          <cell r="AZ86">
            <v>4921.1157292966473</v>
          </cell>
          <cell r="BB86">
            <v>3456.1749645159825</v>
          </cell>
          <cell r="BC86">
            <v>4989.9338523658589</v>
          </cell>
          <cell r="BD86">
            <v>4467.0953038051484</v>
          </cell>
          <cell r="BE86">
            <v>2249.1175504958655</v>
          </cell>
          <cell r="BG86">
            <v>2249.1175504958655</v>
          </cell>
          <cell r="BH86">
            <v>2249.1175504958655</v>
          </cell>
          <cell r="BI86">
            <v>2249.1175504958655</v>
          </cell>
          <cell r="BJ86">
            <v>2249.1175504958655</v>
          </cell>
          <cell r="BL86">
            <v>2811.3969381198322</v>
          </cell>
          <cell r="BM86">
            <v>2811.3969381198322</v>
          </cell>
          <cell r="BN86">
            <v>2811.3969381198322</v>
          </cell>
          <cell r="BO86">
            <v>2811.3969381198322</v>
          </cell>
        </row>
        <row r="87">
          <cell r="A87" t="str">
            <v>Growth Rate for Developments</v>
          </cell>
          <cell r="B87">
            <v>2.5000000000000001E-3</v>
          </cell>
          <cell r="C87">
            <v>2.5000000000000001E-3</v>
          </cell>
          <cell r="D87">
            <v>2.5000000000000001E-3</v>
          </cell>
          <cell r="E87">
            <v>2.5000000000000001E-3</v>
          </cell>
          <cell r="H87">
            <v>2.5000000000000001E-3</v>
          </cell>
          <cell r="I87">
            <v>2.5000000000000001E-3</v>
          </cell>
          <cell r="J87">
            <v>2.5000000000000001E-3</v>
          </cell>
          <cell r="K87">
            <v>2.5000000000000001E-3</v>
          </cell>
          <cell r="N87">
            <v>2.5000000000000001E-3</v>
          </cell>
          <cell r="O87">
            <v>2.5000000000000001E-3</v>
          </cell>
          <cell r="P87">
            <v>2.5000000000000001E-3</v>
          </cell>
          <cell r="Q87">
            <v>2.5000000000000001E-3</v>
          </cell>
          <cell r="S87">
            <v>2.5000000000000001E-3</v>
          </cell>
          <cell r="T87">
            <v>2.5000000000000001E-3</v>
          </cell>
          <cell r="U87">
            <v>2.5000000000000001E-3</v>
          </cell>
          <cell r="V87">
            <v>2.5000000000000001E-3</v>
          </cell>
          <cell r="X87">
            <v>2.5000000000000001E-3</v>
          </cell>
          <cell r="Y87">
            <v>2.5000000000000001E-3</v>
          </cell>
          <cell r="Z87">
            <v>2.5000000000000001E-3</v>
          </cell>
          <cell r="AA87">
            <v>2.5000000000000001E-3</v>
          </cell>
          <cell r="AC87">
            <v>2.5000000000000001E-3</v>
          </cell>
          <cell r="AD87">
            <v>2.5000000000000001E-3</v>
          </cell>
          <cell r="AE87">
            <v>2.5000000000000001E-3</v>
          </cell>
          <cell r="AF87">
            <v>2.5000000000000001E-3</v>
          </cell>
          <cell r="AH87">
            <v>2.5000000000000001E-3</v>
          </cell>
          <cell r="AI87">
            <v>2.5000000000000001E-3</v>
          </cell>
          <cell r="AJ87">
            <v>2.5000000000000001E-3</v>
          </cell>
          <cell r="AK87">
            <v>2.5000000000000001E-3</v>
          </cell>
          <cell r="AM87">
            <v>2.5000000000000001E-3</v>
          </cell>
          <cell r="AN87">
            <v>2.5000000000000001E-3</v>
          </cell>
          <cell r="AO87">
            <v>2.5000000000000001E-3</v>
          </cell>
          <cell r="AP87">
            <v>2.5000000000000001E-3</v>
          </cell>
          <cell r="AR87">
            <v>2.5000000000000001E-3</v>
          </cell>
          <cell r="AS87">
            <v>2.5000000000000001E-3</v>
          </cell>
          <cell r="AT87">
            <v>2.5000000000000001E-3</v>
          </cell>
          <cell r="AU87">
            <v>2.5000000000000001E-3</v>
          </cell>
          <cell r="AW87">
            <v>2.5000000000000001E-3</v>
          </cell>
          <cell r="AX87">
            <v>2.5000000000000001E-3</v>
          </cell>
          <cell r="AY87">
            <v>2.5000000000000001E-3</v>
          </cell>
          <cell r="AZ87">
            <v>2.5000000000000001E-3</v>
          </cell>
          <cell r="BB87">
            <v>2.5000000000000001E-3</v>
          </cell>
          <cell r="BC87">
            <v>2.5000000000000001E-3</v>
          </cell>
          <cell r="BD87">
            <v>2.5000000000000001E-3</v>
          </cell>
          <cell r="BE87">
            <v>2.5000000000000001E-3</v>
          </cell>
          <cell r="BG87">
            <v>2.5000000000000001E-3</v>
          </cell>
          <cell r="BH87">
            <v>2.5000000000000001E-3</v>
          </cell>
          <cell r="BI87">
            <v>2.5000000000000001E-3</v>
          </cell>
          <cell r="BJ87">
            <v>2.5000000000000001E-3</v>
          </cell>
          <cell r="BL87">
            <v>2.5000000000000001E-3</v>
          </cell>
          <cell r="BM87">
            <v>2.5000000000000001E-3</v>
          </cell>
          <cell r="BN87">
            <v>2.5000000000000001E-3</v>
          </cell>
          <cell r="BO87">
            <v>2.5000000000000001E-3</v>
          </cell>
        </row>
        <row r="89">
          <cell r="A89" t="str">
            <v>1Q98</v>
          </cell>
        </row>
        <row r="90">
          <cell r="A90" t="str">
            <v>2Q98</v>
          </cell>
          <cell r="D90">
            <v>0</v>
          </cell>
          <cell r="E90">
            <v>0</v>
          </cell>
          <cell r="H90">
            <v>0</v>
          </cell>
          <cell r="I90">
            <v>0</v>
          </cell>
          <cell r="J90">
            <v>0</v>
          </cell>
          <cell r="K90">
            <v>0</v>
          </cell>
          <cell r="N90">
            <v>0</v>
          </cell>
          <cell r="O90">
            <v>0</v>
          </cell>
          <cell r="P90">
            <v>0</v>
          </cell>
          <cell r="Q90">
            <v>0</v>
          </cell>
          <cell r="S90">
            <v>0</v>
          </cell>
          <cell r="T90">
            <v>0</v>
          </cell>
          <cell r="U90">
            <v>0</v>
          </cell>
          <cell r="V90">
            <v>0</v>
          </cell>
          <cell r="X90">
            <v>0</v>
          </cell>
          <cell r="Y90">
            <v>0</v>
          </cell>
          <cell r="Z90">
            <v>0</v>
          </cell>
          <cell r="AA90">
            <v>0</v>
          </cell>
          <cell r="AC90">
            <v>0</v>
          </cell>
          <cell r="AD90">
            <v>0</v>
          </cell>
          <cell r="AE90">
            <v>0</v>
          </cell>
          <cell r="AF90">
            <v>0</v>
          </cell>
          <cell r="AH90">
            <v>0</v>
          </cell>
          <cell r="AI90">
            <v>0</v>
          </cell>
          <cell r="AJ90">
            <v>0</v>
          </cell>
          <cell r="AK90">
            <v>0</v>
          </cell>
          <cell r="AM90">
            <v>0</v>
          </cell>
          <cell r="AN90">
            <v>0</v>
          </cell>
          <cell r="AO90">
            <v>0</v>
          </cell>
          <cell r="AP90">
            <v>0</v>
          </cell>
          <cell r="AR90">
            <v>0</v>
          </cell>
          <cell r="AS90">
            <v>0</v>
          </cell>
          <cell r="AT90">
            <v>0</v>
          </cell>
          <cell r="AU90">
            <v>0</v>
          </cell>
          <cell r="AW90">
            <v>0</v>
          </cell>
          <cell r="AX90">
            <v>0</v>
          </cell>
          <cell r="AY90">
            <v>0</v>
          </cell>
          <cell r="AZ90">
            <v>0</v>
          </cell>
          <cell r="BB90">
            <v>0</v>
          </cell>
          <cell r="BC90">
            <v>0</v>
          </cell>
          <cell r="BD90">
            <v>0</v>
          </cell>
          <cell r="BE90">
            <v>0</v>
          </cell>
          <cell r="BG90">
            <v>0</v>
          </cell>
          <cell r="BH90">
            <v>0</v>
          </cell>
          <cell r="BI90">
            <v>0</v>
          </cell>
          <cell r="BJ90">
            <v>0</v>
          </cell>
          <cell r="BL90">
            <v>0</v>
          </cell>
          <cell r="BM90">
            <v>0</v>
          </cell>
          <cell r="BN90">
            <v>0</v>
          </cell>
          <cell r="BO90">
            <v>0</v>
          </cell>
        </row>
        <row r="91">
          <cell r="A91" t="str">
            <v>3Q98</v>
          </cell>
          <cell r="D91">
            <v>0</v>
          </cell>
          <cell r="E91">
            <v>0</v>
          </cell>
          <cell r="H91">
            <v>0</v>
          </cell>
          <cell r="I91">
            <v>0</v>
          </cell>
          <cell r="J91">
            <v>0</v>
          </cell>
          <cell r="K91">
            <v>0</v>
          </cell>
          <cell r="N91">
            <v>0</v>
          </cell>
          <cell r="O91">
            <v>0</v>
          </cell>
          <cell r="P91">
            <v>0</v>
          </cell>
          <cell r="Q91">
            <v>0</v>
          </cell>
          <cell r="S91">
            <v>0</v>
          </cell>
          <cell r="T91">
            <v>0</v>
          </cell>
          <cell r="U91">
            <v>0</v>
          </cell>
          <cell r="V91">
            <v>0</v>
          </cell>
          <cell r="X91">
            <v>0</v>
          </cell>
          <cell r="Y91">
            <v>0</v>
          </cell>
          <cell r="Z91">
            <v>0</v>
          </cell>
          <cell r="AA91">
            <v>0</v>
          </cell>
          <cell r="AC91">
            <v>0</v>
          </cell>
          <cell r="AD91">
            <v>0</v>
          </cell>
          <cell r="AE91">
            <v>0</v>
          </cell>
          <cell r="AF91">
            <v>0</v>
          </cell>
          <cell r="AH91">
            <v>0</v>
          </cell>
          <cell r="AI91">
            <v>0</v>
          </cell>
          <cell r="AJ91">
            <v>0</v>
          </cell>
          <cell r="AK91">
            <v>0</v>
          </cell>
          <cell r="AM91">
            <v>0</v>
          </cell>
          <cell r="AN91">
            <v>0</v>
          </cell>
          <cell r="AO91">
            <v>0</v>
          </cell>
          <cell r="AP91">
            <v>0</v>
          </cell>
          <cell r="AR91">
            <v>0</v>
          </cell>
          <cell r="AS91">
            <v>0</v>
          </cell>
          <cell r="AT91">
            <v>0</v>
          </cell>
          <cell r="AU91">
            <v>0</v>
          </cell>
          <cell r="AW91">
            <v>0</v>
          </cell>
          <cell r="AX91">
            <v>0</v>
          </cell>
          <cell r="AY91">
            <v>0</v>
          </cell>
          <cell r="AZ91">
            <v>0</v>
          </cell>
          <cell r="BB91">
            <v>0</v>
          </cell>
          <cell r="BC91">
            <v>0</v>
          </cell>
          <cell r="BD91">
            <v>0</v>
          </cell>
          <cell r="BE91">
            <v>0</v>
          </cell>
          <cell r="BG91">
            <v>0</v>
          </cell>
          <cell r="BH91">
            <v>0</v>
          </cell>
          <cell r="BI91">
            <v>0</v>
          </cell>
          <cell r="BJ91">
            <v>0</v>
          </cell>
          <cell r="BL91">
            <v>0</v>
          </cell>
          <cell r="BM91">
            <v>0</v>
          </cell>
          <cell r="BN91">
            <v>0</v>
          </cell>
          <cell r="BO91">
            <v>0</v>
          </cell>
        </row>
        <row r="92">
          <cell r="A92" t="str">
            <v>4Q98</v>
          </cell>
          <cell r="E92">
            <v>0</v>
          </cell>
          <cell r="H92">
            <v>0</v>
          </cell>
          <cell r="I92">
            <v>0</v>
          </cell>
          <cell r="J92">
            <v>0</v>
          </cell>
          <cell r="K92">
            <v>0</v>
          </cell>
          <cell r="N92">
            <v>0</v>
          </cell>
          <cell r="O92">
            <v>0</v>
          </cell>
          <cell r="P92">
            <v>0</v>
          </cell>
          <cell r="Q92">
            <v>0</v>
          </cell>
          <cell r="S92">
            <v>0</v>
          </cell>
          <cell r="T92">
            <v>0</v>
          </cell>
          <cell r="U92">
            <v>0</v>
          </cell>
          <cell r="V92">
            <v>0</v>
          </cell>
          <cell r="X92">
            <v>0</v>
          </cell>
          <cell r="Y92">
            <v>0</v>
          </cell>
          <cell r="Z92">
            <v>0</v>
          </cell>
          <cell r="AA92">
            <v>0</v>
          </cell>
          <cell r="AC92">
            <v>0</v>
          </cell>
          <cell r="AD92">
            <v>0</v>
          </cell>
          <cell r="AE92">
            <v>0</v>
          </cell>
          <cell r="AF92">
            <v>0</v>
          </cell>
          <cell r="AH92">
            <v>0</v>
          </cell>
          <cell r="AI92">
            <v>0</v>
          </cell>
          <cell r="AJ92">
            <v>0</v>
          </cell>
          <cell r="AK92">
            <v>0</v>
          </cell>
          <cell r="AM92">
            <v>0</v>
          </cell>
          <cell r="AN92">
            <v>0</v>
          </cell>
          <cell r="AO92">
            <v>0</v>
          </cell>
          <cell r="AP92">
            <v>0</v>
          </cell>
          <cell r="AR92">
            <v>0</v>
          </cell>
          <cell r="AS92">
            <v>0</v>
          </cell>
          <cell r="AT92">
            <v>0</v>
          </cell>
          <cell r="AU92">
            <v>0</v>
          </cell>
          <cell r="AW92">
            <v>0</v>
          </cell>
          <cell r="AX92">
            <v>0</v>
          </cell>
          <cell r="AY92">
            <v>0</v>
          </cell>
          <cell r="AZ92">
            <v>0</v>
          </cell>
          <cell r="BB92">
            <v>0</v>
          </cell>
          <cell r="BC92">
            <v>0</v>
          </cell>
          <cell r="BD92">
            <v>0</v>
          </cell>
          <cell r="BE92">
            <v>0</v>
          </cell>
          <cell r="BG92">
            <v>0</v>
          </cell>
          <cell r="BH92">
            <v>0</v>
          </cell>
          <cell r="BI92">
            <v>0</v>
          </cell>
          <cell r="BJ92">
            <v>0</v>
          </cell>
          <cell r="BL92">
            <v>0</v>
          </cell>
          <cell r="BM92">
            <v>0</v>
          </cell>
          <cell r="BN92">
            <v>0</v>
          </cell>
          <cell r="BO92">
            <v>0</v>
          </cell>
        </row>
        <row r="93">
          <cell r="A93" t="str">
            <v>1Q99</v>
          </cell>
          <cell r="H93">
            <v>0</v>
          </cell>
          <cell r="I93">
            <v>0</v>
          </cell>
          <cell r="J93">
            <v>0</v>
          </cell>
          <cell r="K93">
            <v>0</v>
          </cell>
          <cell r="N93">
            <v>0</v>
          </cell>
          <cell r="O93">
            <v>0</v>
          </cell>
          <cell r="P93">
            <v>0</v>
          </cell>
          <cell r="Q93">
            <v>0</v>
          </cell>
          <cell r="S93">
            <v>0</v>
          </cell>
          <cell r="T93">
            <v>0</v>
          </cell>
          <cell r="U93">
            <v>0</v>
          </cell>
          <cell r="V93">
            <v>0</v>
          </cell>
          <cell r="X93">
            <v>0</v>
          </cell>
          <cell r="Y93">
            <v>0</v>
          </cell>
          <cell r="Z93">
            <v>0</v>
          </cell>
          <cell r="AA93">
            <v>0</v>
          </cell>
          <cell r="AC93">
            <v>0</v>
          </cell>
          <cell r="AD93">
            <v>0</v>
          </cell>
          <cell r="AE93">
            <v>0</v>
          </cell>
          <cell r="AF93">
            <v>0</v>
          </cell>
          <cell r="AH93">
            <v>0</v>
          </cell>
          <cell r="AI93">
            <v>0</v>
          </cell>
          <cell r="AJ93">
            <v>0</v>
          </cell>
          <cell r="AK93">
            <v>0</v>
          </cell>
          <cell r="AM93">
            <v>0</v>
          </cell>
          <cell r="AN93">
            <v>0</v>
          </cell>
          <cell r="AO93">
            <v>0</v>
          </cell>
          <cell r="AP93">
            <v>0</v>
          </cell>
          <cell r="AR93">
            <v>0</v>
          </cell>
          <cell r="AS93">
            <v>0</v>
          </cell>
          <cell r="AT93">
            <v>0</v>
          </cell>
          <cell r="AU93">
            <v>0</v>
          </cell>
          <cell r="AW93">
            <v>0</v>
          </cell>
          <cell r="AX93">
            <v>0</v>
          </cell>
          <cell r="AY93">
            <v>0</v>
          </cell>
          <cell r="AZ93">
            <v>0</v>
          </cell>
          <cell r="BB93">
            <v>0</v>
          </cell>
          <cell r="BC93">
            <v>0</v>
          </cell>
          <cell r="BD93">
            <v>0</v>
          </cell>
          <cell r="BE93">
            <v>0</v>
          </cell>
          <cell r="BG93">
            <v>0</v>
          </cell>
          <cell r="BH93">
            <v>0</v>
          </cell>
          <cell r="BI93">
            <v>0</v>
          </cell>
          <cell r="BJ93">
            <v>0</v>
          </cell>
          <cell r="BL93">
            <v>0</v>
          </cell>
          <cell r="BM93">
            <v>0</v>
          </cell>
          <cell r="BN93">
            <v>0</v>
          </cell>
          <cell r="BO93">
            <v>0</v>
          </cell>
        </row>
        <row r="94">
          <cell r="A94" t="str">
            <v>2Q99</v>
          </cell>
          <cell r="I94">
            <v>0</v>
          </cell>
          <cell r="J94">
            <v>0</v>
          </cell>
          <cell r="K94">
            <v>0</v>
          </cell>
          <cell r="N94">
            <v>0</v>
          </cell>
          <cell r="O94">
            <v>0</v>
          </cell>
          <cell r="P94">
            <v>0</v>
          </cell>
          <cell r="Q94">
            <v>0</v>
          </cell>
          <cell r="S94">
            <v>0</v>
          </cell>
          <cell r="T94">
            <v>0</v>
          </cell>
          <cell r="U94">
            <v>0</v>
          </cell>
          <cell r="V94">
            <v>0</v>
          </cell>
          <cell r="X94">
            <v>0</v>
          </cell>
          <cell r="Y94">
            <v>0</v>
          </cell>
          <cell r="Z94">
            <v>0</v>
          </cell>
          <cell r="AA94">
            <v>0</v>
          </cell>
          <cell r="AC94">
            <v>0</v>
          </cell>
          <cell r="AD94">
            <v>0</v>
          </cell>
          <cell r="AE94">
            <v>0</v>
          </cell>
          <cell r="AF94">
            <v>0</v>
          </cell>
          <cell r="AH94">
            <v>0</v>
          </cell>
          <cell r="AI94">
            <v>0</v>
          </cell>
          <cell r="AJ94">
            <v>0</v>
          </cell>
          <cell r="AK94">
            <v>0</v>
          </cell>
          <cell r="AM94">
            <v>0</v>
          </cell>
          <cell r="AN94">
            <v>0</v>
          </cell>
          <cell r="AO94">
            <v>0</v>
          </cell>
          <cell r="AP94">
            <v>0</v>
          </cell>
          <cell r="AR94">
            <v>0</v>
          </cell>
          <cell r="AS94">
            <v>0</v>
          </cell>
          <cell r="AT94">
            <v>0</v>
          </cell>
          <cell r="AU94">
            <v>0</v>
          </cell>
          <cell r="AW94">
            <v>0</v>
          </cell>
          <cell r="AX94">
            <v>0</v>
          </cell>
          <cell r="AY94">
            <v>0</v>
          </cell>
          <cell r="AZ94">
            <v>0</v>
          </cell>
          <cell r="BB94">
            <v>0</v>
          </cell>
          <cell r="BC94">
            <v>0</v>
          </cell>
          <cell r="BD94">
            <v>0</v>
          </cell>
          <cell r="BE94">
            <v>0</v>
          </cell>
          <cell r="BG94">
            <v>0</v>
          </cell>
          <cell r="BH94">
            <v>0</v>
          </cell>
          <cell r="BI94">
            <v>0</v>
          </cell>
          <cell r="BJ94">
            <v>0</v>
          </cell>
          <cell r="BL94">
            <v>0</v>
          </cell>
          <cell r="BM94">
            <v>0</v>
          </cell>
          <cell r="BN94">
            <v>0</v>
          </cell>
          <cell r="BO94">
            <v>0</v>
          </cell>
        </row>
        <row r="95">
          <cell r="A95" t="str">
            <v>3Q99</v>
          </cell>
          <cell r="J95">
            <v>0</v>
          </cell>
          <cell r="K95">
            <v>0</v>
          </cell>
          <cell r="N95">
            <v>0</v>
          </cell>
          <cell r="O95">
            <v>0</v>
          </cell>
          <cell r="P95">
            <v>0</v>
          </cell>
          <cell r="Q95">
            <v>0</v>
          </cell>
          <cell r="S95">
            <v>0</v>
          </cell>
          <cell r="T95">
            <v>0</v>
          </cell>
          <cell r="U95">
            <v>0</v>
          </cell>
          <cell r="V95">
            <v>0</v>
          </cell>
          <cell r="X95">
            <v>0</v>
          </cell>
          <cell r="Y95">
            <v>0</v>
          </cell>
          <cell r="Z95">
            <v>0</v>
          </cell>
          <cell r="AA95">
            <v>0</v>
          </cell>
          <cell r="AC95">
            <v>0</v>
          </cell>
          <cell r="AD95">
            <v>0</v>
          </cell>
          <cell r="AE95">
            <v>0</v>
          </cell>
          <cell r="AF95">
            <v>0</v>
          </cell>
          <cell r="AH95">
            <v>0</v>
          </cell>
          <cell r="AI95">
            <v>0</v>
          </cell>
          <cell r="AJ95">
            <v>0</v>
          </cell>
          <cell r="AK95">
            <v>0</v>
          </cell>
          <cell r="AM95">
            <v>0</v>
          </cell>
          <cell r="AN95">
            <v>0</v>
          </cell>
          <cell r="AO95">
            <v>0</v>
          </cell>
          <cell r="AP95">
            <v>0</v>
          </cell>
          <cell r="AR95">
            <v>0</v>
          </cell>
          <cell r="AS95">
            <v>0</v>
          </cell>
          <cell r="AT95">
            <v>0</v>
          </cell>
          <cell r="AU95">
            <v>0</v>
          </cell>
          <cell r="AW95">
            <v>0</v>
          </cell>
          <cell r="AX95">
            <v>0</v>
          </cell>
          <cell r="AY95">
            <v>0</v>
          </cell>
          <cell r="AZ95">
            <v>0</v>
          </cell>
          <cell r="BB95">
            <v>0</v>
          </cell>
          <cell r="BC95">
            <v>0</v>
          </cell>
          <cell r="BD95">
            <v>0</v>
          </cell>
          <cell r="BE95">
            <v>0</v>
          </cell>
          <cell r="BG95">
            <v>0</v>
          </cell>
          <cell r="BH95">
            <v>0</v>
          </cell>
          <cell r="BI95">
            <v>0</v>
          </cell>
          <cell r="BJ95">
            <v>0</v>
          </cell>
          <cell r="BL95">
            <v>0</v>
          </cell>
          <cell r="BM95">
            <v>0</v>
          </cell>
          <cell r="BN95">
            <v>0</v>
          </cell>
          <cell r="BO95">
            <v>0</v>
          </cell>
        </row>
        <row r="96">
          <cell r="A96" t="str">
            <v>4Q99</v>
          </cell>
          <cell r="K96">
            <v>0</v>
          </cell>
          <cell r="N96">
            <v>0</v>
          </cell>
          <cell r="O96">
            <v>0</v>
          </cell>
          <cell r="P96">
            <v>0</v>
          </cell>
          <cell r="Q96">
            <v>0</v>
          </cell>
          <cell r="S96">
            <v>0</v>
          </cell>
          <cell r="T96">
            <v>0</v>
          </cell>
          <cell r="U96">
            <v>0</v>
          </cell>
          <cell r="V96">
            <v>0</v>
          </cell>
          <cell r="X96">
            <v>0</v>
          </cell>
          <cell r="Y96">
            <v>0</v>
          </cell>
          <cell r="Z96">
            <v>0</v>
          </cell>
          <cell r="AA96">
            <v>0</v>
          </cell>
          <cell r="AC96">
            <v>0</v>
          </cell>
          <cell r="AD96">
            <v>0</v>
          </cell>
          <cell r="AE96">
            <v>0</v>
          </cell>
          <cell r="AF96">
            <v>0</v>
          </cell>
          <cell r="AH96">
            <v>0</v>
          </cell>
          <cell r="AI96">
            <v>0</v>
          </cell>
          <cell r="AJ96">
            <v>0</v>
          </cell>
          <cell r="AK96">
            <v>0</v>
          </cell>
          <cell r="AM96">
            <v>0</v>
          </cell>
          <cell r="AN96">
            <v>0</v>
          </cell>
          <cell r="AO96">
            <v>0</v>
          </cell>
          <cell r="AP96">
            <v>0</v>
          </cell>
          <cell r="AR96">
            <v>0</v>
          </cell>
          <cell r="AS96">
            <v>0</v>
          </cell>
          <cell r="AT96">
            <v>0</v>
          </cell>
          <cell r="AU96">
            <v>0</v>
          </cell>
          <cell r="AW96">
            <v>0</v>
          </cell>
          <cell r="AX96">
            <v>0</v>
          </cell>
          <cell r="AY96">
            <v>0</v>
          </cell>
          <cell r="AZ96">
            <v>0</v>
          </cell>
          <cell r="BB96">
            <v>0</v>
          </cell>
          <cell r="BC96">
            <v>0</v>
          </cell>
          <cell r="BD96">
            <v>0</v>
          </cell>
          <cell r="BE96">
            <v>0</v>
          </cell>
          <cell r="BG96">
            <v>0</v>
          </cell>
          <cell r="BH96">
            <v>0</v>
          </cell>
          <cell r="BI96">
            <v>0</v>
          </cell>
          <cell r="BJ96">
            <v>0</v>
          </cell>
          <cell r="BL96">
            <v>0</v>
          </cell>
          <cell r="BM96">
            <v>0</v>
          </cell>
          <cell r="BN96">
            <v>0</v>
          </cell>
          <cell r="BO96">
            <v>0</v>
          </cell>
        </row>
        <row r="97">
          <cell r="A97" t="str">
            <v>1Q00</v>
          </cell>
          <cell r="N97">
            <v>0</v>
          </cell>
          <cell r="O97">
            <v>0</v>
          </cell>
          <cell r="P97">
            <v>0</v>
          </cell>
          <cell r="Q97">
            <v>0</v>
          </cell>
          <cell r="S97">
            <v>0</v>
          </cell>
          <cell r="T97">
            <v>0</v>
          </cell>
          <cell r="U97">
            <v>0</v>
          </cell>
          <cell r="V97">
            <v>0</v>
          </cell>
          <cell r="X97">
            <v>0</v>
          </cell>
          <cell r="Y97">
            <v>0</v>
          </cell>
          <cell r="Z97">
            <v>0</v>
          </cell>
          <cell r="AA97">
            <v>0</v>
          </cell>
          <cell r="AC97">
            <v>0</v>
          </cell>
          <cell r="AD97">
            <v>0</v>
          </cell>
          <cell r="AE97">
            <v>0</v>
          </cell>
          <cell r="AF97">
            <v>0</v>
          </cell>
          <cell r="AH97">
            <v>0</v>
          </cell>
          <cell r="AI97">
            <v>0</v>
          </cell>
          <cell r="AJ97">
            <v>0</v>
          </cell>
          <cell r="AK97">
            <v>0</v>
          </cell>
          <cell r="AM97">
            <v>0</v>
          </cell>
          <cell r="AN97">
            <v>0</v>
          </cell>
          <cell r="AO97">
            <v>0</v>
          </cell>
          <cell r="AP97">
            <v>0</v>
          </cell>
          <cell r="AR97">
            <v>0</v>
          </cell>
          <cell r="AS97">
            <v>0</v>
          </cell>
          <cell r="AT97">
            <v>0</v>
          </cell>
          <cell r="AU97">
            <v>0</v>
          </cell>
          <cell r="AW97">
            <v>0</v>
          </cell>
          <cell r="AX97">
            <v>0</v>
          </cell>
          <cell r="AY97">
            <v>0</v>
          </cell>
          <cell r="AZ97">
            <v>0</v>
          </cell>
          <cell r="BB97">
            <v>0</v>
          </cell>
          <cell r="BC97">
            <v>0</v>
          </cell>
          <cell r="BD97">
            <v>0</v>
          </cell>
          <cell r="BE97">
            <v>0</v>
          </cell>
          <cell r="BG97">
            <v>0</v>
          </cell>
          <cell r="BH97">
            <v>0</v>
          </cell>
          <cell r="BI97">
            <v>0</v>
          </cell>
          <cell r="BJ97">
            <v>0</v>
          </cell>
          <cell r="BL97">
            <v>0</v>
          </cell>
          <cell r="BM97">
            <v>0</v>
          </cell>
          <cell r="BN97">
            <v>0</v>
          </cell>
          <cell r="BO97">
            <v>0</v>
          </cell>
        </row>
        <row r="98">
          <cell r="A98" t="str">
            <v>2Q00</v>
          </cell>
          <cell r="O98">
            <v>0</v>
          </cell>
          <cell r="P98">
            <v>0</v>
          </cell>
          <cell r="Q98">
            <v>0</v>
          </cell>
          <cell r="S98">
            <v>0</v>
          </cell>
          <cell r="T98">
            <v>0</v>
          </cell>
          <cell r="U98">
            <v>0</v>
          </cell>
          <cell r="V98">
            <v>0</v>
          </cell>
          <cell r="X98">
            <v>0</v>
          </cell>
          <cell r="Y98">
            <v>0</v>
          </cell>
          <cell r="Z98">
            <v>0</v>
          </cell>
          <cell r="AA98">
            <v>0</v>
          </cell>
          <cell r="AC98">
            <v>0</v>
          </cell>
          <cell r="AD98">
            <v>0</v>
          </cell>
          <cell r="AE98">
            <v>0</v>
          </cell>
          <cell r="AF98">
            <v>0</v>
          </cell>
          <cell r="AH98">
            <v>0</v>
          </cell>
          <cell r="AI98">
            <v>0</v>
          </cell>
          <cell r="AJ98">
            <v>0</v>
          </cell>
          <cell r="AK98">
            <v>0</v>
          </cell>
          <cell r="AM98">
            <v>0</v>
          </cell>
          <cell r="AN98">
            <v>0</v>
          </cell>
          <cell r="AO98">
            <v>0</v>
          </cell>
          <cell r="AP98">
            <v>0</v>
          </cell>
          <cell r="AR98">
            <v>0</v>
          </cell>
          <cell r="AS98">
            <v>0</v>
          </cell>
          <cell r="AT98">
            <v>0</v>
          </cell>
          <cell r="AU98">
            <v>0</v>
          </cell>
          <cell r="AW98">
            <v>0</v>
          </cell>
          <cell r="AX98">
            <v>0</v>
          </cell>
          <cell r="AY98">
            <v>0</v>
          </cell>
          <cell r="AZ98">
            <v>0</v>
          </cell>
          <cell r="BB98">
            <v>0</v>
          </cell>
          <cell r="BC98">
            <v>0</v>
          </cell>
          <cell r="BD98">
            <v>0</v>
          </cell>
          <cell r="BE98">
            <v>0</v>
          </cell>
          <cell r="BG98">
            <v>0</v>
          </cell>
          <cell r="BH98">
            <v>0</v>
          </cell>
          <cell r="BI98">
            <v>0</v>
          </cell>
          <cell r="BJ98">
            <v>0</v>
          </cell>
          <cell r="BL98">
            <v>0</v>
          </cell>
          <cell r="BM98">
            <v>0</v>
          </cell>
          <cell r="BN98">
            <v>0</v>
          </cell>
          <cell r="BO98">
            <v>0</v>
          </cell>
        </row>
        <row r="99">
          <cell r="A99" t="str">
            <v>3Q00</v>
          </cell>
          <cell r="P99">
            <v>0</v>
          </cell>
          <cell r="Q99">
            <v>0</v>
          </cell>
          <cell r="S99">
            <v>0</v>
          </cell>
          <cell r="T99">
            <v>0</v>
          </cell>
          <cell r="U99">
            <v>0</v>
          </cell>
          <cell r="V99">
            <v>0</v>
          </cell>
          <cell r="X99">
            <v>0</v>
          </cell>
          <cell r="Y99">
            <v>0</v>
          </cell>
          <cell r="Z99">
            <v>0</v>
          </cell>
          <cell r="AA99">
            <v>0</v>
          </cell>
          <cell r="AC99">
            <v>0</v>
          </cell>
          <cell r="AD99">
            <v>0</v>
          </cell>
          <cell r="AE99">
            <v>0</v>
          </cell>
          <cell r="AF99">
            <v>0</v>
          </cell>
          <cell r="AH99">
            <v>0</v>
          </cell>
          <cell r="AI99">
            <v>0</v>
          </cell>
          <cell r="AJ99">
            <v>0</v>
          </cell>
          <cell r="AK99">
            <v>0</v>
          </cell>
          <cell r="AM99">
            <v>0</v>
          </cell>
          <cell r="AN99">
            <v>0</v>
          </cell>
          <cell r="AO99">
            <v>0</v>
          </cell>
          <cell r="AP99">
            <v>0</v>
          </cell>
          <cell r="AR99">
            <v>0</v>
          </cell>
          <cell r="AS99">
            <v>0</v>
          </cell>
          <cell r="AT99">
            <v>0</v>
          </cell>
          <cell r="AU99">
            <v>0</v>
          </cell>
          <cell r="AW99">
            <v>0</v>
          </cell>
          <cell r="AX99">
            <v>0</v>
          </cell>
          <cell r="AY99">
            <v>0</v>
          </cell>
          <cell r="AZ99">
            <v>0</v>
          </cell>
          <cell r="BB99">
            <v>0</v>
          </cell>
          <cell r="BC99">
            <v>0</v>
          </cell>
          <cell r="BD99">
            <v>0</v>
          </cell>
          <cell r="BE99">
            <v>0</v>
          </cell>
          <cell r="BG99">
            <v>0</v>
          </cell>
          <cell r="BH99">
            <v>0</v>
          </cell>
          <cell r="BI99">
            <v>0</v>
          </cell>
          <cell r="BJ99">
            <v>0</v>
          </cell>
          <cell r="BL99">
            <v>0</v>
          </cell>
          <cell r="BM99">
            <v>0</v>
          </cell>
          <cell r="BN99">
            <v>0</v>
          </cell>
          <cell r="BO99">
            <v>0</v>
          </cell>
        </row>
        <row r="100">
          <cell r="A100" t="str">
            <v>4Q00</v>
          </cell>
          <cell r="Q100">
            <v>0</v>
          </cell>
          <cell r="S100">
            <v>0</v>
          </cell>
          <cell r="T100">
            <v>0</v>
          </cell>
          <cell r="U100">
            <v>0</v>
          </cell>
          <cell r="V100">
            <v>0</v>
          </cell>
          <cell r="X100">
            <v>0</v>
          </cell>
          <cell r="Y100">
            <v>0</v>
          </cell>
          <cell r="Z100">
            <v>0</v>
          </cell>
          <cell r="AA100">
            <v>0</v>
          </cell>
          <cell r="AC100">
            <v>0</v>
          </cell>
          <cell r="AD100">
            <v>0</v>
          </cell>
          <cell r="AE100">
            <v>0</v>
          </cell>
          <cell r="AF100">
            <v>0</v>
          </cell>
          <cell r="AH100">
            <v>0</v>
          </cell>
          <cell r="AI100">
            <v>0</v>
          </cell>
          <cell r="AJ100">
            <v>0</v>
          </cell>
          <cell r="AK100">
            <v>0</v>
          </cell>
          <cell r="AM100">
            <v>0</v>
          </cell>
          <cell r="AN100">
            <v>0</v>
          </cell>
          <cell r="AO100">
            <v>0</v>
          </cell>
          <cell r="AP100">
            <v>0</v>
          </cell>
          <cell r="AR100">
            <v>0</v>
          </cell>
          <cell r="AS100">
            <v>0</v>
          </cell>
          <cell r="AT100">
            <v>0</v>
          </cell>
          <cell r="AU100">
            <v>0</v>
          </cell>
          <cell r="AW100">
            <v>0</v>
          </cell>
          <cell r="AX100">
            <v>0</v>
          </cell>
          <cell r="AY100">
            <v>0</v>
          </cell>
          <cell r="AZ100">
            <v>0</v>
          </cell>
          <cell r="BB100">
            <v>0</v>
          </cell>
          <cell r="BC100">
            <v>0</v>
          </cell>
          <cell r="BD100">
            <v>0</v>
          </cell>
          <cell r="BE100">
            <v>0</v>
          </cell>
          <cell r="BG100">
            <v>0</v>
          </cell>
          <cell r="BH100">
            <v>0</v>
          </cell>
          <cell r="BI100">
            <v>0</v>
          </cell>
          <cell r="BJ100">
            <v>0</v>
          </cell>
          <cell r="BL100">
            <v>0</v>
          </cell>
          <cell r="BM100">
            <v>0</v>
          </cell>
          <cell r="BN100">
            <v>0</v>
          </cell>
          <cell r="BO100">
            <v>0</v>
          </cell>
        </row>
        <row r="101">
          <cell r="A101" t="str">
            <v>1Q01</v>
          </cell>
          <cell r="S101">
            <v>0</v>
          </cell>
          <cell r="T101">
            <v>0</v>
          </cell>
          <cell r="U101">
            <v>0</v>
          </cell>
          <cell r="V101">
            <v>0</v>
          </cell>
          <cell r="X101">
            <v>0</v>
          </cell>
          <cell r="Y101">
            <v>0</v>
          </cell>
          <cell r="Z101">
            <v>0</v>
          </cell>
          <cell r="AA101">
            <v>0</v>
          </cell>
          <cell r="AC101">
            <v>0</v>
          </cell>
          <cell r="AD101">
            <v>0</v>
          </cell>
          <cell r="AE101">
            <v>0</v>
          </cell>
          <cell r="AF101">
            <v>0</v>
          </cell>
          <cell r="AH101">
            <v>0</v>
          </cell>
          <cell r="AI101">
            <v>0</v>
          </cell>
          <cell r="AJ101">
            <v>0</v>
          </cell>
          <cell r="AK101">
            <v>0</v>
          </cell>
          <cell r="AM101">
            <v>0</v>
          </cell>
          <cell r="AN101">
            <v>0</v>
          </cell>
          <cell r="AO101">
            <v>0</v>
          </cell>
          <cell r="AP101">
            <v>0</v>
          </cell>
          <cell r="AR101">
            <v>0</v>
          </cell>
          <cell r="AS101">
            <v>0</v>
          </cell>
          <cell r="AT101">
            <v>0</v>
          </cell>
          <cell r="AU101">
            <v>0</v>
          </cell>
          <cell r="AW101">
            <v>0</v>
          </cell>
          <cell r="AX101">
            <v>0</v>
          </cell>
          <cell r="AY101">
            <v>0</v>
          </cell>
          <cell r="AZ101">
            <v>0</v>
          </cell>
          <cell r="BB101">
            <v>0</v>
          </cell>
          <cell r="BC101">
            <v>0</v>
          </cell>
          <cell r="BD101">
            <v>0</v>
          </cell>
          <cell r="BE101">
            <v>0</v>
          </cell>
          <cell r="BG101">
            <v>0</v>
          </cell>
          <cell r="BH101">
            <v>0</v>
          </cell>
          <cell r="BI101">
            <v>0</v>
          </cell>
          <cell r="BJ101">
            <v>0</v>
          </cell>
          <cell r="BL101">
            <v>0</v>
          </cell>
          <cell r="BM101">
            <v>0</v>
          </cell>
          <cell r="BN101">
            <v>0</v>
          </cell>
          <cell r="BO101">
            <v>0</v>
          </cell>
        </row>
        <row r="102">
          <cell r="A102" t="str">
            <v>2Q01</v>
          </cell>
          <cell r="T102">
            <v>0</v>
          </cell>
          <cell r="U102">
            <v>0</v>
          </cell>
          <cell r="V102">
            <v>0</v>
          </cell>
          <cell r="X102">
            <v>0</v>
          </cell>
          <cell r="Y102">
            <v>0</v>
          </cell>
          <cell r="Z102">
            <v>0</v>
          </cell>
          <cell r="AA102">
            <v>0</v>
          </cell>
          <cell r="AC102">
            <v>0</v>
          </cell>
          <cell r="AD102">
            <v>0</v>
          </cell>
          <cell r="AE102">
            <v>0</v>
          </cell>
          <cell r="AF102">
            <v>0</v>
          </cell>
          <cell r="AH102">
            <v>0</v>
          </cell>
          <cell r="AI102">
            <v>0</v>
          </cell>
          <cell r="AJ102">
            <v>0</v>
          </cell>
          <cell r="AK102">
            <v>0</v>
          </cell>
          <cell r="AM102">
            <v>0</v>
          </cell>
          <cell r="AN102">
            <v>0</v>
          </cell>
          <cell r="AO102">
            <v>0</v>
          </cell>
          <cell r="AP102">
            <v>0</v>
          </cell>
          <cell r="AR102">
            <v>0</v>
          </cell>
          <cell r="AS102">
            <v>0</v>
          </cell>
          <cell r="AT102">
            <v>0</v>
          </cell>
          <cell r="AU102">
            <v>0</v>
          </cell>
          <cell r="AW102">
            <v>0</v>
          </cell>
          <cell r="AX102">
            <v>0</v>
          </cell>
          <cell r="AY102">
            <v>0</v>
          </cell>
          <cell r="AZ102">
            <v>0</v>
          </cell>
          <cell r="BB102">
            <v>0</v>
          </cell>
          <cell r="BC102">
            <v>0</v>
          </cell>
          <cell r="BD102">
            <v>0</v>
          </cell>
          <cell r="BE102">
            <v>0</v>
          </cell>
          <cell r="BG102">
            <v>0</v>
          </cell>
          <cell r="BH102">
            <v>0</v>
          </cell>
          <cell r="BI102">
            <v>0</v>
          </cell>
          <cell r="BJ102">
            <v>0</v>
          </cell>
          <cell r="BL102">
            <v>0</v>
          </cell>
          <cell r="BM102">
            <v>0</v>
          </cell>
          <cell r="BN102">
            <v>0</v>
          </cell>
          <cell r="BO102">
            <v>0</v>
          </cell>
        </row>
        <row r="103">
          <cell r="A103" t="str">
            <v>3Q01</v>
          </cell>
          <cell r="U103">
            <v>0</v>
          </cell>
          <cell r="V103">
            <v>0</v>
          </cell>
          <cell r="X103">
            <v>0</v>
          </cell>
          <cell r="Y103">
            <v>0</v>
          </cell>
          <cell r="Z103">
            <v>0</v>
          </cell>
          <cell r="AA103">
            <v>0</v>
          </cell>
          <cell r="AC103">
            <v>0</v>
          </cell>
          <cell r="AD103">
            <v>0</v>
          </cell>
          <cell r="AE103">
            <v>0</v>
          </cell>
          <cell r="AF103">
            <v>0</v>
          </cell>
          <cell r="AH103">
            <v>0</v>
          </cell>
          <cell r="AI103">
            <v>0</v>
          </cell>
          <cell r="AJ103">
            <v>0</v>
          </cell>
          <cell r="AK103">
            <v>0</v>
          </cell>
          <cell r="AM103">
            <v>0</v>
          </cell>
          <cell r="AN103">
            <v>0</v>
          </cell>
          <cell r="AO103">
            <v>0</v>
          </cell>
          <cell r="AP103">
            <v>0</v>
          </cell>
          <cell r="AR103">
            <v>0</v>
          </cell>
          <cell r="AS103">
            <v>0</v>
          </cell>
          <cell r="AT103">
            <v>0</v>
          </cell>
          <cell r="AU103">
            <v>0</v>
          </cell>
          <cell r="AW103">
            <v>0</v>
          </cell>
          <cell r="AX103">
            <v>0</v>
          </cell>
          <cell r="AY103">
            <v>0</v>
          </cell>
          <cell r="AZ103">
            <v>0</v>
          </cell>
          <cell r="BB103">
            <v>0</v>
          </cell>
          <cell r="BC103">
            <v>0</v>
          </cell>
          <cell r="BD103">
            <v>0</v>
          </cell>
          <cell r="BE103">
            <v>0</v>
          </cell>
          <cell r="BG103">
            <v>0</v>
          </cell>
          <cell r="BH103">
            <v>0</v>
          </cell>
          <cell r="BI103">
            <v>0</v>
          </cell>
          <cell r="BJ103">
            <v>0</v>
          </cell>
          <cell r="BL103">
            <v>0</v>
          </cell>
          <cell r="BM103">
            <v>0</v>
          </cell>
          <cell r="BN103">
            <v>0</v>
          </cell>
          <cell r="BO103">
            <v>0</v>
          </cell>
        </row>
        <row r="104">
          <cell r="A104" t="str">
            <v>4Q01</v>
          </cell>
          <cell r="V104">
            <v>0</v>
          </cell>
          <cell r="X104">
            <v>0</v>
          </cell>
          <cell r="Y104">
            <v>0</v>
          </cell>
          <cell r="Z104">
            <v>0</v>
          </cell>
          <cell r="AA104">
            <v>0</v>
          </cell>
          <cell r="AC104">
            <v>0</v>
          </cell>
          <cell r="AD104">
            <v>0</v>
          </cell>
          <cell r="AE104">
            <v>0</v>
          </cell>
          <cell r="AF104">
            <v>0</v>
          </cell>
          <cell r="AH104">
            <v>0</v>
          </cell>
          <cell r="AI104">
            <v>0</v>
          </cell>
          <cell r="AJ104">
            <v>0</v>
          </cell>
          <cell r="AK104">
            <v>0</v>
          </cell>
          <cell r="AM104">
            <v>0</v>
          </cell>
          <cell r="AN104">
            <v>0</v>
          </cell>
          <cell r="AO104">
            <v>0</v>
          </cell>
          <cell r="AP104">
            <v>0</v>
          </cell>
          <cell r="AR104">
            <v>0</v>
          </cell>
          <cell r="AS104">
            <v>0</v>
          </cell>
          <cell r="AT104">
            <v>0</v>
          </cell>
          <cell r="AU104">
            <v>0</v>
          </cell>
          <cell r="AW104">
            <v>0</v>
          </cell>
          <cell r="AX104">
            <v>0</v>
          </cell>
          <cell r="AY104">
            <v>0</v>
          </cell>
          <cell r="AZ104">
            <v>0</v>
          </cell>
          <cell r="BB104">
            <v>0</v>
          </cell>
          <cell r="BC104">
            <v>0</v>
          </cell>
          <cell r="BD104">
            <v>0</v>
          </cell>
          <cell r="BE104">
            <v>0</v>
          </cell>
          <cell r="BG104">
            <v>0</v>
          </cell>
          <cell r="BH104">
            <v>0</v>
          </cell>
          <cell r="BI104">
            <v>0</v>
          </cell>
          <cell r="BJ104">
            <v>0</v>
          </cell>
          <cell r="BL104">
            <v>0</v>
          </cell>
          <cell r="BM104">
            <v>0</v>
          </cell>
          <cell r="BN104">
            <v>0</v>
          </cell>
          <cell r="BO104">
            <v>0</v>
          </cell>
        </row>
        <row r="105">
          <cell r="A105" t="str">
            <v>1Q02</v>
          </cell>
          <cell r="X105">
            <v>0</v>
          </cell>
          <cell r="Y105">
            <v>0</v>
          </cell>
          <cell r="Z105">
            <v>0</v>
          </cell>
          <cell r="AA105">
            <v>0</v>
          </cell>
          <cell r="AC105">
            <v>0</v>
          </cell>
          <cell r="AD105">
            <v>0</v>
          </cell>
          <cell r="AE105">
            <v>0</v>
          </cell>
          <cell r="AF105">
            <v>0</v>
          </cell>
          <cell r="AH105">
            <v>0</v>
          </cell>
          <cell r="AI105">
            <v>0</v>
          </cell>
          <cell r="AJ105">
            <v>0</v>
          </cell>
          <cell r="AK105">
            <v>0</v>
          </cell>
          <cell r="AM105">
            <v>0</v>
          </cell>
          <cell r="AN105">
            <v>0</v>
          </cell>
          <cell r="AO105">
            <v>0</v>
          </cell>
          <cell r="AP105">
            <v>0</v>
          </cell>
          <cell r="AR105">
            <v>0</v>
          </cell>
          <cell r="AS105">
            <v>0</v>
          </cell>
          <cell r="AT105">
            <v>0</v>
          </cell>
          <cell r="AU105">
            <v>0</v>
          </cell>
          <cell r="AW105">
            <v>0</v>
          </cell>
          <cell r="AX105">
            <v>0</v>
          </cell>
          <cell r="AY105">
            <v>0</v>
          </cell>
          <cell r="AZ105">
            <v>0</v>
          </cell>
          <cell r="BB105">
            <v>0</v>
          </cell>
          <cell r="BC105">
            <v>0</v>
          </cell>
          <cell r="BD105">
            <v>0</v>
          </cell>
          <cell r="BE105">
            <v>0</v>
          </cell>
          <cell r="BG105">
            <v>0</v>
          </cell>
          <cell r="BH105">
            <v>0</v>
          </cell>
          <cell r="BI105">
            <v>0</v>
          </cell>
          <cell r="BJ105">
            <v>0</v>
          </cell>
          <cell r="BL105">
            <v>0</v>
          </cell>
          <cell r="BM105">
            <v>0</v>
          </cell>
          <cell r="BN105">
            <v>0</v>
          </cell>
          <cell r="BO105">
            <v>0</v>
          </cell>
        </row>
        <row r="106">
          <cell r="A106" t="str">
            <v>2Q02</v>
          </cell>
          <cell r="Y106">
            <v>0</v>
          </cell>
          <cell r="Z106">
            <v>0</v>
          </cell>
          <cell r="AA106">
            <v>0</v>
          </cell>
          <cell r="AC106">
            <v>0</v>
          </cell>
          <cell r="AD106">
            <v>0</v>
          </cell>
          <cell r="AE106">
            <v>0</v>
          </cell>
          <cell r="AF106">
            <v>0</v>
          </cell>
          <cell r="AH106">
            <v>0</v>
          </cell>
          <cell r="AI106">
            <v>0</v>
          </cell>
          <cell r="AJ106">
            <v>0</v>
          </cell>
          <cell r="AK106">
            <v>0</v>
          </cell>
          <cell r="AM106">
            <v>0</v>
          </cell>
          <cell r="AN106">
            <v>0</v>
          </cell>
          <cell r="AO106">
            <v>0</v>
          </cell>
          <cell r="AP106">
            <v>0</v>
          </cell>
          <cell r="AR106">
            <v>0</v>
          </cell>
          <cell r="AS106">
            <v>0</v>
          </cell>
          <cell r="AT106">
            <v>0</v>
          </cell>
          <cell r="AU106">
            <v>0</v>
          </cell>
          <cell r="AW106">
            <v>0</v>
          </cell>
          <cell r="AX106">
            <v>0</v>
          </cell>
          <cell r="AY106">
            <v>0</v>
          </cell>
          <cell r="AZ106">
            <v>0</v>
          </cell>
          <cell r="BB106">
            <v>0</v>
          </cell>
          <cell r="BC106">
            <v>0</v>
          </cell>
          <cell r="BD106">
            <v>0</v>
          </cell>
          <cell r="BE106">
            <v>0</v>
          </cell>
          <cell r="BG106">
            <v>0</v>
          </cell>
          <cell r="BH106">
            <v>0</v>
          </cell>
          <cell r="BI106">
            <v>0</v>
          </cell>
          <cell r="BJ106">
            <v>0</v>
          </cell>
          <cell r="BL106">
            <v>0</v>
          </cell>
          <cell r="BM106">
            <v>0</v>
          </cell>
          <cell r="BN106">
            <v>0</v>
          </cell>
          <cell r="BO106">
            <v>0</v>
          </cell>
        </row>
        <row r="107">
          <cell r="A107" t="str">
            <v>3Q02</v>
          </cell>
          <cell r="Z107">
            <v>0</v>
          </cell>
          <cell r="AA107">
            <v>0</v>
          </cell>
          <cell r="AC107">
            <v>0</v>
          </cell>
          <cell r="AD107">
            <v>0</v>
          </cell>
          <cell r="AE107">
            <v>0</v>
          </cell>
          <cell r="AF107">
            <v>0</v>
          </cell>
          <cell r="AH107">
            <v>0</v>
          </cell>
          <cell r="AI107">
            <v>0</v>
          </cell>
          <cell r="AJ107">
            <v>0</v>
          </cell>
          <cell r="AK107">
            <v>0</v>
          </cell>
          <cell r="AM107">
            <v>0</v>
          </cell>
          <cell r="AN107">
            <v>0</v>
          </cell>
          <cell r="AO107">
            <v>0</v>
          </cell>
          <cell r="AP107">
            <v>0</v>
          </cell>
          <cell r="AR107">
            <v>0</v>
          </cell>
          <cell r="AS107">
            <v>0</v>
          </cell>
          <cell r="AT107">
            <v>0</v>
          </cell>
          <cell r="AU107">
            <v>0</v>
          </cell>
          <cell r="AW107">
            <v>0</v>
          </cell>
          <cell r="AX107">
            <v>0</v>
          </cell>
          <cell r="AY107">
            <v>0</v>
          </cell>
          <cell r="AZ107">
            <v>0</v>
          </cell>
          <cell r="BB107">
            <v>0</v>
          </cell>
          <cell r="BC107">
            <v>0</v>
          </cell>
          <cell r="BD107">
            <v>0</v>
          </cell>
          <cell r="BE107">
            <v>0</v>
          </cell>
          <cell r="BG107">
            <v>0</v>
          </cell>
          <cell r="BH107">
            <v>0</v>
          </cell>
          <cell r="BI107">
            <v>0</v>
          </cell>
          <cell r="BJ107">
            <v>0</v>
          </cell>
          <cell r="BL107">
            <v>0</v>
          </cell>
          <cell r="BM107">
            <v>0</v>
          </cell>
          <cell r="BN107">
            <v>0</v>
          </cell>
          <cell r="BO107">
            <v>0</v>
          </cell>
        </row>
        <row r="108">
          <cell r="A108" t="str">
            <v>4Q02</v>
          </cell>
          <cell r="AA108">
            <v>0</v>
          </cell>
          <cell r="AC108">
            <v>0</v>
          </cell>
          <cell r="AD108">
            <v>0</v>
          </cell>
          <cell r="AE108">
            <v>0</v>
          </cell>
          <cell r="AF108">
            <v>0</v>
          </cell>
          <cell r="AH108">
            <v>0</v>
          </cell>
          <cell r="AI108">
            <v>0</v>
          </cell>
          <cell r="AJ108">
            <v>0</v>
          </cell>
          <cell r="AK108">
            <v>0</v>
          </cell>
          <cell r="AM108">
            <v>0</v>
          </cell>
          <cell r="AN108">
            <v>0</v>
          </cell>
          <cell r="AO108">
            <v>0</v>
          </cell>
          <cell r="AP108">
            <v>0</v>
          </cell>
          <cell r="AR108">
            <v>0</v>
          </cell>
          <cell r="AS108">
            <v>0</v>
          </cell>
          <cell r="AT108">
            <v>0</v>
          </cell>
          <cell r="AU108">
            <v>0</v>
          </cell>
          <cell r="AW108">
            <v>0</v>
          </cell>
          <cell r="AX108">
            <v>0</v>
          </cell>
          <cell r="AY108">
            <v>0</v>
          </cell>
          <cell r="AZ108">
            <v>0</v>
          </cell>
          <cell r="BB108">
            <v>0</v>
          </cell>
          <cell r="BC108">
            <v>0</v>
          </cell>
          <cell r="BD108">
            <v>0</v>
          </cell>
          <cell r="BE108">
            <v>0</v>
          </cell>
          <cell r="BG108">
            <v>0</v>
          </cell>
          <cell r="BH108">
            <v>0</v>
          </cell>
          <cell r="BI108">
            <v>0</v>
          </cell>
          <cell r="BJ108">
            <v>0</v>
          </cell>
          <cell r="BL108">
            <v>0</v>
          </cell>
          <cell r="BM108">
            <v>0</v>
          </cell>
          <cell r="BN108">
            <v>0</v>
          </cell>
          <cell r="BO108">
            <v>0</v>
          </cell>
        </row>
        <row r="109">
          <cell r="A109" t="str">
            <v>1Q03</v>
          </cell>
          <cell r="AC109">
            <v>0</v>
          </cell>
          <cell r="AD109">
            <v>0</v>
          </cell>
          <cell r="AE109">
            <v>0</v>
          </cell>
          <cell r="AF109">
            <v>0</v>
          </cell>
          <cell r="AH109">
            <v>0</v>
          </cell>
          <cell r="AI109">
            <v>0</v>
          </cell>
          <cell r="AJ109">
            <v>0</v>
          </cell>
          <cell r="AK109">
            <v>0</v>
          </cell>
          <cell r="AM109">
            <v>0</v>
          </cell>
          <cell r="AN109">
            <v>0</v>
          </cell>
          <cell r="AO109">
            <v>0</v>
          </cell>
          <cell r="AP109">
            <v>0</v>
          </cell>
          <cell r="AR109">
            <v>0</v>
          </cell>
          <cell r="AS109">
            <v>0</v>
          </cell>
          <cell r="AT109">
            <v>0</v>
          </cell>
          <cell r="AU109">
            <v>0</v>
          </cell>
          <cell r="AW109">
            <v>0</v>
          </cell>
          <cell r="AX109">
            <v>0</v>
          </cell>
          <cell r="AY109">
            <v>0</v>
          </cell>
          <cell r="AZ109">
            <v>0</v>
          </cell>
          <cell r="BB109">
            <v>0</v>
          </cell>
          <cell r="BC109">
            <v>0</v>
          </cell>
          <cell r="BD109">
            <v>0</v>
          </cell>
          <cell r="BE109">
            <v>0</v>
          </cell>
          <cell r="BG109">
            <v>0</v>
          </cell>
          <cell r="BH109">
            <v>0</v>
          </cell>
          <cell r="BI109">
            <v>0</v>
          </cell>
          <cell r="BJ109">
            <v>0</v>
          </cell>
          <cell r="BL109">
            <v>0</v>
          </cell>
          <cell r="BM109">
            <v>0</v>
          </cell>
          <cell r="BN109">
            <v>0</v>
          </cell>
          <cell r="BO109">
            <v>0</v>
          </cell>
        </row>
        <row r="110">
          <cell r="A110" t="str">
            <v>2Q03</v>
          </cell>
          <cell r="AD110">
            <v>0</v>
          </cell>
          <cell r="AE110">
            <v>0</v>
          </cell>
          <cell r="AF110">
            <v>0</v>
          </cell>
          <cell r="AH110">
            <v>0</v>
          </cell>
          <cell r="AI110">
            <v>0</v>
          </cell>
          <cell r="AJ110">
            <v>0</v>
          </cell>
          <cell r="AK110">
            <v>0</v>
          </cell>
          <cell r="AM110">
            <v>0</v>
          </cell>
          <cell r="AN110">
            <v>0</v>
          </cell>
          <cell r="AO110">
            <v>0</v>
          </cell>
          <cell r="AP110">
            <v>0</v>
          </cell>
          <cell r="AR110">
            <v>0</v>
          </cell>
          <cell r="AS110">
            <v>0</v>
          </cell>
          <cell r="AT110">
            <v>0</v>
          </cell>
          <cell r="AU110">
            <v>0</v>
          </cell>
          <cell r="AW110">
            <v>0</v>
          </cell>
          <cell r="AX110">
            <v>0</v>
          </cell>
          <cell r="AY110">
            <v>0</v>
          </cell>
          <cell r="AZ110">
            <v>0</v>
          </cell>
          <cell r="BB110">
            <v>0</v>
          </cell>
          <cell r="BC110">
            <v>0</v>
          </cell>
          <cell r="BD110">
            <v>0</v>
          </cell>
          <cell r="BE110">
            <v>0</v>
          </cell>
          <cell r="BG110">
            <v>0</v>
          </cell>
          <cell r="BH110">
            <v>0</v>
          </cell>
          <cell r="BI110">
            <v>0</v>
          </cell>
          <cell r="BJ110">
            <v>0</v>
          </cell>
          <cell r="BL110">
            <v>0</v>
          </cell>
          <cell r="BM110">
            <v>0</v>
          </cell>
          <cell r="BN110">
            <v>0</v>
          </cell>
          <cell r="BO110">
            <v>0</v>
          </cell>
        </row>
        <row r="111">
          <cell r="A111" t="str">
            <v>3Q03</v>
          </cell>
          <cell r="AE111">
            <v>0</v>
          </cell>
          <cell r="AF111">
            <v>0</v>
          </cell>
          <cell r="AH111">
            <v>0</v>
          </cell>
          <cell r="AI111">
            <v>0</v>
          </cell>
          <cell r="AJ111">
            <v>0</v>
          </cell>
          <cell r="AK111">
            <v>0</v>
          </cell>
          <cell r="AM111">
            <v>0</v>
          </cell>
          <cell r="AN111">
            <v>0</v>
          </cell>
          <cell r="AO111">
            <v>0</v>
          </cell>
          <cell r="AP111">
            <v>0</v>
          </cell>
          <cell r="AR111">
            <v>0</v>
          </cell>
          <cell r="AS111">
            <v>0</v>
          </cell>
          <cell r="AT111">
            <v>0</v>
          </cell>
          <cell r="AU111">
            <v>0</v>
          </cell>
          <cell r="AW111">
            <v>0</v>
          </cell>
          <cell r="AX111">
            <v>0</v>
          </cell>
          <cell r="AY111">
            <v>0</v>
          </cell>
          <cell r="AZ111">
            <v>0</v>
          </cell>
          <cell r="BB111">
            <v>0</v>
          </cell>
          <cell r="BC111">
            <v>0</v>
          </cell>
          <cell r="BD111">
            <v>0</v>
          </cell>
          <cell r="BE111">
            <v>0</v>
          </cell>
          <cell r="BG111">
            <v>0</v>
          </cell>
          <cell r="BH111">
            <v>0</v>
          </cell>
          <cell r="BI111">
            <v>0</v>
          </cell>
          <cell r="BJ111">
            <v>0</v>
          </cell>
          <cell r="BL111">
            <v>0</v>
          </cell>
          <cell r="BM111">
            <v>0</v>
          </cell>
          <cell r="BN111">
            <v>0</v>
          </cell>
          <cell r="BO111">
            <v>0</v>
          </cell>
        </row>
        <row r="112">
          <cell r="A112" t="str">
            <v>4Q03</v>
          </cell>
          <cell r="AF112">
            <v>0</v>
          </cell>
          <cell r="AH112">
            <v>0</v>
          </cell>
          <cell r="AI112">
            <v>0</v>
          </cell>
          <cell r="AJ112">
            <v>0</v>
          </cell>
          <cell r="AK112">
            <v>0</v>
          </cell>
          <cell r="AM112">
            <v>0</v>
          </cell>
          <cell r="AN112">
            <v>0</v>
          </cell>
          <cell r="AO112">
            <v>0</v>
          </cell>
          <cell r="AP112">
            <v>0</v>
          </cell>
          <cell r="AR112">
            <v>0</v>
          </cell>
          <cell r="AS112">
            <v>0</v>
          </cell>
          <cell r="AT112">
            <v>0</v>
          </cell>
          <cell r="AU112">
            <v>0</v>
          </cell>
          <cell r="AW112">
            <v>0</v>
          </cell>
          <cell r="AX112">
            <v>0</v>
          </cell>
          <cell r="AY112">
            <v>0</v>
          </cell>
          <cell r="AZ112">
            <v>0</v>
          </cell>
          <cell r="BB112">
            <v>0</v>
          </cell>
          <cell r="BC112">
            <v>0</v>
          </cell>
          <cell r="BD112">
            <v>0</v>
          </cell>
          <cell r="BE112">
            <v>0</v>
          </cell>
          <cell r="BG112">
            <v>0</v>
          </cell>
          <cell r="BH112">
            <v>0</v>
          </cell>
          <cell r="BI112">
            <v>0</v>
          </cell>
          <cell r="BJ112">
            <v>0</v>
          </cell>
          <cell r="BL112">
            <v>0</v>
          </cell>
          <cell r="BM112">
            <v>0</v>
          </cell>
          <cell r="BN112">
            <v>0</v>
          </cell>
          <cell r="BO112">
            <v>0</v>
          </cell>
        </row>
        <row r="113">
          <cell r="A113" t="str">
            <v>1Q04</v>
          </cell>
          <cell r="AH113">
            <v>0</v>
          </cell>
          <cell r="AI113">
            <v>0</v>
          </cell>
          <cell r="AJ113">
            <v>0</v>
          </cell>
          <cell r="AK113">
            <v>0</v>
          </cell>
          <cell r="AM113">
            <v>0</v>
          </cell>
          <cell r="AN113">
            <v>0</v>
          </cell>
          <cell r="AO113">
            <v>0</v>
          </cell>
          <cell r="AP113">
            <v>0</v>
          </cell>
          <cell r="AR113">
            <v>0</v>
          </cell>
          <cell r="AS113">
            <v>0</v>
          </cell>
          <cell r="AT113">
            <v>0</v>
          </cell>
          <cell r="AU113">
            <v>0</v>
          </cell>
          <cell r="AW113">
            <v>0</v>
          </cell>
          <cell r="AX113">
            <v>0</v>
          </cell>
          <cell r="AY113">
            <v>0</v>
          </cell>
          <cell r="AZ113">
            <v>0</v>
          </cell>
          <cell r="BB113">
            <v>0</v>
          </cell>
          <cell r="BC113">
            <v>0</v>
          </cell>
          <cell r="BD113">
            <v>0</v>
          </cell>
          <cell r="BE113">
            <v>0</v>
          </cell>
          <cell r="BG113">
            <v>0</v>
          </cell>
          <cell r="BH113">
            <v>0</v>
          </cell>
          <cell r="BI113">
            <v>0</v>
          </cell>
          <cell r="BJ113">
            <v>0</v>
          </cell>
          <cell r="BL113">
            <v>0</v>
          </cell>
          <cell r="BM113">
            <v>0</v>
          </cell>
          <cell r="BN113">
            <v>0</v>
          </cell>
          <cell r="BO113">
            <v>0</v>
          </cell>
        </row>
        <row r="114">
          <cell r="A114" t="str">
            <v>2Q04</v>
          </cell>
          <cell r="AI114">
            <v>0</v>
          </cell>
          <cell r="AJ114">
            <v>0</v>
          </cell>
          <cell r="AK114">
            <v>0</v>
          </cell>
          <cell r="AM114">
            <v>0</v>
          </cell>
          <cell r="AN114">
            <v>0</v>
          </cell>
          <cell r="AO114">
            <v>0</v>
          </cell>
          <cell r="AP114">
            <v>0</v>
          </cell>
          <cell r="AR114">
            <v>0</v>
          </cell>
          <cell r="AS114">
            <v>0</v>
          </cell>
          <cell r="AT114">
            <v>0</v>
          </cell>
          <cell r="AU114">
            <v>0</v>
          </cell>
          <cell r="AW114">
            <v>0</v>
          </cell>
          <cell r="AX114">
            <v>0</v>
          </cell>
          <cell r="AY114">
            <v>0</v>
          </cell>
          <cell r="AZ114">
            <v>0</v>
          </cell>
          <cell r="BB114">
            <v>0</v>
          </cell>
          <cell r="BC114">
            <v>0</v>
          </cell>
          <cell r="BD114">
            <v>0</v>
          </cell>
          <cell r="BE114">
            <v>0</v>
          </cell>
          <cell r="BG114">
            <v>0</v>
          </cell>
          <cell r="BH114">
            <v>0</v>
          </cell>
          <cell r="BI114">
            <v>0</v>
          </cell>
          <cell r="BJ114">
            <v>0</v>
          </cell>
          <cell r="BL114">
            <v>0</v>
          </cell>
          <cell r="BM114">
            <v>0</v>
          </cell>
          <cell r="BN114">
            <v>0</v>
          </cell>
          <cell r="BO114">
            <v>0</v>
          </cell>
        </row>
        <row r="115">
          <cell r="A115" t="str">
            <v>3Q04</v>
          </cell>
          <cell r="AJ115">
            <v>0</v>
          </cell>
          <cell r="AK115">
            <v>0</v>
          </cell>
          <cell r="AM115">
            <v>0</v>
          </cell>
          <cell r="AN115">
            <v>0</v>
          </cell>
          <cell r="AO115">
            <v>0</v>
          </cell>
          <cell r="AP115">
            <v>0</v>
          </cell>
          <cell r="AR115">
            <v>0</v>
          </cell>
          <cell r="AS115">
            <v>0</v>
          </cell>
          <cell r="AT115">
            <v>0</v>
          </cell>
          <cell r="AU115">
            <v>0</v>
          </cell>
          <cell r="AW115">
            <v>0</v>
          </cell>
          <cell r="AX115">
            <v>0</v>
          </cell>
          <cell r="AY115">
            <v>0</v>
          </cell>
          <cell r="AZ115">
            <v>0</v>
          </cell>
          <cell r="BB115">
            <v>0</v>
          </cell>
          <cell r="BC115">
            <v>0</v>
          </cell>
          <cell r="BD115">
            <v>0</v>
          </cell>
          <cell r="BE115">
            <v>0</v>
          </cell>
          <cell r="BG115">
            <v>0</v>
          </cell>
          <cell r="BH115">
            <v>0</v>
          </cell>
          <cell r="BI115">
            <v>0</v>
          </cell>
          <cell r="BJ115">
            <v>0</v>
          </cell>
          <cell r="BL115">
            <v>0</v>
          </cell>
          <cell r="BM115">
            <v>0</v>
          </cell>
          <cell r="BN115">
            <v>0</v>
          </cell>
          <cell r="BO115">
            <v>0</v>
          </cell>
        </row>
        <row r="116">
          <cell r="A116" t="str">
            <v>4Q04</v>
          </cell>
          <cell r="AK116">
            <v>0</v>
          </cell>
          <cell r="AM116">
            <v>0</v>
          </cell>
          <cell r="AN116">
            <v>0</v>
          </cell>
          <cell r="AO116">
            <v>0</v>
          </cell>
          <cell r="AP116">
            <v>0</v>
          </cell>
          <cell r="AR116">
            <v>0</v>
          </cell>
          <cell r="AS116">
            <v>0</v>
          </cell>
          <cell r="AT116">
            <v>0</v>
          </cell>
          <cell r="AU116">
            <v>0</v>
          </cell>
          <cell r="AW116">
            <v>0</v>
          </cell>
          <cell r="AX116">
            <v>0</v>
          </cell>
          <cell r="AY116">
            <v>0</v>
          </cell>
          <cell r="AZ116">
            <v>0</v>
          </cell>
          <cell r="BB116">
            <v>0</v>
          </cell>
          <cell r="BC116">
            <v>0</v>
          </cell>
          <cell r="BD116">
            <v>0</v>
          </cell>
          <cell r="BE116">
            <v>0</v>
          </cell>
          <cell r="BG116">
            <v>0</v>
          </cell>
          <cell r="BH116">
            <v>0</v>
          </cell>
          <cell r="BI116">
            <v>0</v>
          </cell>
          <cell r="BJ116">
            <v>0</v>
          </cell>
          <cell r="BL116">
            <v>0</v>
          </cell>
          <cell r="BM116">
            <v>0</v>
          </cell>
          <cell r="BN116">
            <v>0</v>
          </cell>
          <cell r="BO116">
            <v>0</v>
          </cell>
        </row>
        <row r="117">
          <cell r="A117" t="str">
            <v>1Q05</v>
          </cell>
          <cell r="AM117">
            <v>0</v>
          </cell>
          <cell r="AN117">
            <v>0</v>
          </cell>
          <cell r="AO117">
            <v>0</v>
          </cell>
          <cell r="AP117">
            <v>0</v>
          </cell>
          <cell r="AR117">
            <v>0</v>
          </cell>
          <cell r="AS117">
            <v>0</v>
          </cell>
          <cell r="AT117">
            <v>0</v>
          </cell>
          <cell r="AU117">
            <v>0</v>
          </cell>
          <cell r="AW117">
            <v>0</v>
          </cell>
          <cell r="AX117">
            <v>0</v>
          </cell>
          <cell r="AY117">
            <v>0</v>
          </cell>
          <cell r="AZ117">
            <v>0</v>
          </cell>
          <cell r="BB117">
            <v>0</v>
          </cell>
          <cell r="BC117">
            <v>0</v>
          </cell>
          <cell r="BD117">
            <v>0</v>
          </cell>
          <cell r="BE117">
            <v>0</v>
          </cell>
          <cell r="BG117">
            <v>0</v>
          </cell>
          <cell r="BH117">
            <v>0</v>
          </cell>
          <cell r="BI117">
            <v>0</v>
          </cell>
          <cell r="BJ117">
            <v>0</v>
          </cell>
          <cell r="BL117">
            <v>0</v>
          </cell>
          <cell r="BM117">
            <v>0</v>
          </cell>
          <cell r="BN117">
            <v>0</v>
          </cell>
          <cell r="BO117">
            <v>0</v>
          </cell>
        </row>
        <row r="118">
          <cell r="A118" t="str">
            <v>2Q05</v>
          </cell>
          <cell r="AN118">
            <v>0</v>
          </cell>
          <cell r="AO118">
            <v>0</v>
          </cell>
          <cell r="AP118">
            <v>0</v>
          </cell>
          <cell r="AR118">
            <v>0</v>
          </cell>
          <cell r="AS118">
            <v>0</v>
          </cell>
          <cell r="AT118">
            <v>0</v>
          </cell>
          <cell r="AU118">
            <v>0</v>
          </cell>
          <cell r="AW118">
            <v>0</v>
          </cell>
          <cell r="AX118">
            <v>0</v>
          </cell>
          <cell r="AY118">
            <v>0</v>
          </cell>
          <cell r="AZ118">
            <v>0</v>
          </cell>
          <cell r="BB118">
            <v>0</v>
          </cell>
          <cell r="BC118">
            <v>0</v>
          </cell>
          <cell r="BD118">
            <v>0</v>
          </cell>
          <cell r="BE118">
            <v>0</v>
          </cell>
          <cell r="BG118">
            <v>0</v>
          </cell>
          <cell r="BH118">
            <v>0</v>
          </cell>
          <cell r="BI118">
            <v>0</v>
          </cell>
          <cell r="BJ118">
            <v>0</v>
          </cell>
          <cell r="BL118">
            <v>0</v>
          </cell>
          <cell r="BM118">
            <v>0</v>
          </cell>
          <cell r="BN118">
            <v>0</v>
          </cell>
          <cell r="BO118">
            <v>0</v>
          </cell>
        </row>
        <row r="119">
          <cell r="A119" t="str">
            <v>3Q05</v>
          </cell>
          <cell r="AO119">
            <v>0</v>
          </cell>
          <cell r="AP119">
            <v>0</v>
          </cell>
          <cell r="AR119">
            <v>0</v>
          </cell>
          <cell r="AS119">
            <v>0</v>
          </cell>
          <cell r="AT119">
            <v>0</v>
          </cell>
          <cell r="AU119">
            <v>0</v>
          </cell>
          <cell r="AW119">
            <v>0</v>
          </cell>
          <cell r="AX119">
            <v>0</v>
          </cell>
          <cell r="AY119">
            <v>0</v>
          </cell>
          <cell r="AZ119">
            <v>0</v>
          </cell>
          <cell r="BB119">
            <v>0</v>
          </cell>
          <cell r="BC119">
            <v>0</v>
          </cell>
          <cell r="BD119">
            <v>0</v>
          </cell>
          <cell r="BE119">
            <v>0</v>
          </cell>
          <cell r="BG119">
            <v>0</v>
          </cell>
          <cell r="BH119">
            <v>0</v>
          </cell>
          <cell r="BI119">
            <v>0</v>
          </cell>
          <cell r="BJ119">
            <v>0</v>
          </cell>
          <cell r="BL119">
            <v>0</v>
          </cell>
          <cell r="BM119">
            <v>0</v>
          </cell>
          <cell r="BN119">
            <v>0</v>
          </cell>
          <cell r="BO119">
            <v>0</v>
          </cell>
        </row>
        <row r="120">
          <cell r="A120" t="str">
            <v>4Q05</v>
          </cell>
          <cell r="AP120">
            <v>0</v>
          </cell>
          <cell r="AR120">
            <v>0</v>
          </cell>
          <cell r="AS120">
            <v>0</v>
          </cell>
          <cell r="AT120">
            <v>0</v>
          </cell>
          <cell r="AU120">
            <v>0</v>
          </cell>
          <cell r="AW120">
            <v>0</v>
          </cell>
          <cell r="AX120">
            <v>0</v>
          </cell>
          <cell r="AY120">
            <v>0</v>
          </cell>
          <cell r="AZ120">
            <v>0</v>
          </cell>
          <cell r="BB120">
            <v>0</v>
          </cell>
          <cell r="BC120">
            <v>0</v>
          </cell>
          <cell r="BD120">
            <v>0</v>
          </cell>
          <cell r="BE120">
            <v>0</v>
          </cell>
          <cell r="BG120">
            <v>0</v>
          </cell>
          <cell r="BH120">
            <v>0</v>
          </cell>
          <cell r="BI120">
            <v>0</v>
          </cell>
          <cell r="BJ120">
            <v>0</v>
          </cell>
          <cell r="BL120">
            <v>0</v>
          </cell>
          <cell r="BM120">
            <v>0</v>
          </cell>
          <cell r="BN120">
            <v>0</v>
          </cell>
          <cell r="BO120">
            <v>0</v>
          </cell>
        </row>
        <row r="121">
          <cell r="A121" t="str">
            <v>1Q06</v>
          </cell>
          <cell r="AR121">
            <v>0</v>
          </cell>
          <cell r="AS121">
            <v>0</v>
          </cell>
          <cell r="AT121">
            <v>0</v>
          </cell>
          <cell r="AU121">
            <v>0</v>
          </cell>
          <cell r="AW121">
            <v>0</v>
          </cell>
          <cell r="AX121">
            <v>0</v>
          </cell>
          <cell r="AY121">
            <v>0</v>
          </cell>
          <cell r="AZ121">
            <v>0</v>
          </cell>
          <cell r="BB121">
            <v>0</v>
          </cell>
          <cell r="BC121">
            <v>0</v>
          </cell>
          <cell r="BD121">
            <v>0</v>
          </cell>
          <cell r="BE121">
            <v>0</v>
          </cell>
          <cell r="BG121">
            <v>0</v>
          </cell>
          <cell r="BH121">
            <v>0</v>
          </cell>
          <cell r="BI121">
            <v>0</v>
          </cell>
          <cell r="BJ121">
            <v>0</v>
          </cell>
          <cell r="BL121">
            <v>0</v>
          </cell>
          <cell r="BM121">
            <v>0</v>
          </cell>
          <cell r="BN121">
            <v>0</v>
          </cell>
          <cell r="BO121">
            <v>0</v>
          </cell>
        </row>
        <row r="122">
          <cell r="A122" t="str">
            <v>2Q06</v>
          </cell>
          <cell r="AS122">
            <v>0</v>
          </cell>
          <cell r="AT122">
            <v>0</v>
          </cell>
          <cell r="AU122">
            <v>0</v>
          </cell>
          <cell r="AW122">
            <v>0</v>
          </cell>
          <cell r="AX122">
            <v>0</v>
          </cell>
          <cell r="AY122">
            <v>0</v>
          </cell>
          <cell r="AZ122">
            <v>0</v>
          </cell>
          <cell r="BB122">
            <v>0</v>
          </cell>
          <cell r="BC122">
            <v>0</v>
          </cell>
          <cell r="BD122">
            <v>0</v>
          </cell>
          <cell r="BE122">
            <v>0</v>
          </cell>
          <cell r="BG122">
            <v>0</v>
          </cell>
          <cell r="BH122">
            <v>0</v>
          </cell>
          <cell r="BI122">
            <v>0</v>
          </cell>
          <cell r="BJ122">
            <v>0</v>
          </cell>
          <cell r="BL122">
            <v>0</v>
          </cell>
          <cell r="BM122">
            <v>0</v>
          </cell>
          <cell r="BN122">
            <v>0</v>
          </cell>
          <cell r="BO122">
            <v>0</v>
          </cell>
        </row>
        <row r="123">
          <cell r="A123" t="str">
            <v>3Q06</v>
          </cell>
          <cell r="AT123">
            <v>0</v>
          </cell>
          <cell r="AU123">
            <v>0</v>
          </cell>
          <cell r="AW123">
            <v>0</v>
          </cell>
          <cell r="AX123">
            <v>0</v>
          </cell>
          <cell r="AY123">
            <v>0</v>
          </cell>
          <cell r="AZ123">
            <v>0</v>
          </cell>
          <cell r="BB123">
            <v>0</v>
          </cell>
          <cell r="BC123">
            <v>0</v>
          </cell>
          <cell r="BD123">
            <v>0</v>
          </cell>
          <cell r="BE123">
            <v>0</v>
          </cell>
          <cell r="BG123">
            <v>0</v>
          </cell>
          <cell r="BH123">
            <v>0</v>
          </cell>
          <cell r="BI123">
            <v>0</v>
          </cell>
          <cell r="BJ123">
            <v>0</v>
          </cell>
          <cell r="BL123">
            <v>0</v>
          </cell>
          <cell r="BM123">
            <v>0</v>
          </cell>
          <cell r="BN123">
            <v>0</v>
          </cell>
          <cell r="BO123">
            <v>0</v>
          </cell>
        </row>
        <row r="124">
          <cell r="A124" t="str">
            <v>4Q06</v>
          </cell>
          <cell r="AU124">
            <v>0</v>
          </cell>
          <cell r="AW124">
            <v>0</v>
          </cell>
          <cell r="AX124">
            <v>0</v>
          </cell>
          <cell r="AY124">
            <v>0</v>
          </cell>
          <cell r="AZ124">
            <v>0</v>
          </cell>
          <cell r="BB124">
            <v>0</v>
          </cell>
          <cell r="BC124">
            <v>0</v>
          </cell>
          <cell r="BD124">
            <v>0</v>
          </cell>
          <cell r="BE124">
            <v>0</v>
          </cell>
          <cell r="BG124">
            <v>0</v>
          </cell>
          <cell r="BH124">
            <v>0</v>
          </cell>
          <cell r="BI124">
            <v>0</v>
          </cell>
          <cell r="BJ124">
            <v>0</v>
          </cell>
          <cell r="BL124">
            <v>0</v>
          </cell>
          <cell r="BM124">
            <v>0</v>
          </cell>
          <cell r="BN124">
            <v>0</v>
          </cell>
          <cell r="BO124">
            <v>0</v>
          </cell>
        </row>
        <row r="125">
          <cell r="A125" t="str">
            <v>1Q07</v>
          </cell>
          <cell r="AW125">
            <v>0</v>
          </cell>
          <cell r="AX125">
            <v>0</v>
          </cell>
          <cell r="AY125">
            <v>0</v>
          </cell>
          <cell r="AZ125">
            <v>0</v>
          </cell>
          <cell r="BB125">
            <v>0</v>
          </cell>
          <cell r="BC125">
            <v>0</v>
          </cell>
          <cell r="BD125">
            <v>0</v>
          </cell>
          <cell r="BE125">
            <v>0</v>
          </cell>
          <cell r="BG125">
            <v>0</v>
          </cell>
          <cell r="BH125">
            <v>0</v>
          </cell>
          <cell r="BI125">
            <v>0</v>
          </cell>
          <cell r="BJ125">
            <v>0</v>
          </cell>
          <cell r="BL125">
            <v>0</v>
          </cell>
          <cell r="BM125">
            <v>0</v>
          </cell>
          <cell r="BN125">
            <v>0</v>
          </cell>
          <cell r="BO125">
            <v>0</v>
          </cell>
        </row>
        <row r="126">
          <cell r="A126" t="str">
            <v>2Q07</v>
          </cell>
          <cell r="AX126">
            <v>0</v>
          </cell>
          <cell r="AY126">
            <v>0</v>
          </cell>
          <cell r="AZ126">
            <v>0</v>
          </cell>
          <cell r="BB126">
            <v>0</v>
          </cell>
          <cell r="BC126">
            <v>0</v>
          </cell>
          <cell r="BD126">
            <v>0</v>
          </cell>
          <cell r="BE126">
            <v>0</v>
          </cell>
          <cell r="BG126">
            <v>0</v>
          </cell>
          <cell r="BH126">
            <v>0</v>
          </cell>
          <cell r="BI126">
            <v>0</v>
          </cell>
          <cell r="BJ126">
            <v>0</v>
          </cell>
          <cell r="BL126">
            <v>0</v>
          </cell>
          <cell r="BM126">
            <v>0</v>
          </cell>
          <cell r="BN126">
            <v>0</v>
          </cell>
          <cell r="BO126">
            <v>0</v>
          </cell>
        </row>
        <row r="127">
          <cell r="A127" t="str">
            <v>3Q07</v>
          </cell>
          <cell r="AY127">
            <v>0</v>
          </cell>
          <cell r="AZ127">
            <v>0</v>
          </cell>
          <cell r="BB127">
            <v>0</v>
          </cell>
          <cell r="BC127">
            <v>0</v>
          </cell>
          <cell r="BD127">
            <v>0</v>
          </cell>
          <cell r="BE127">
            <v>0</v>
          </cell>
          <cell r="BG127">
            <v>0</v>
          </cell>
          <cell r="BH127">
            <v>0</v>
          </cell>
          <cell r="BI127">
            <v>0</v>
          </cell>
          <cell r="BJ127">
            <v>0</v>
          </cell>
          <cell r="BL127">
            <v>0</v>
          </cell>
          <cell r="BM127">
            <v>0</v>
          </cell>
          <cell r="BN127">
            <v>0</v>
          </cell>
          <cell r="BO127">
            <v>0</v>
          </cell>
        </row>
        <row r="128">
          <cell r="A128" t="str">
            <v>4Q07</v>
          </cell>
          <cell r="AZ128">
            <v>0</v>
          </cell>
          <cell r="BB128">
            <v>2460.5578646483236</v>
          </cell>
          <cell r="BC128">
            <v>2466.7092593099442</v>
          </cell>
          <cell r="BD128">
            <v>2472.876032458219</v>
          </cell>
          <cell r="BE128">
            <v>2479.0582225393646</v>
          </cell>
          <cell r="BG128">
            <v>2485.2558680957127</v>
          </cell>
          <cell r="BH128">
            <v>2491.469007765952</v>
          </cell>
          <cell r="BI128">
            <v>2497.6976802853669</v>
          </cell>
          <cell r="BJ128">
            <v>2503.9419244860801</v>
          </cell>
          <cell r="BL128">
            <v>2510.2017792972952</v>
          </cell>
          <cell r="BM128">
            <v>2516.4772837455384</v>
          </cell>
          <cell r="BN128">
            <v>2522.7684769549023</v>
          </cell>
          <cell r="BO128">
            <v>2529.0753981472894</v>
          </cell>
        </row>
        <row r="129">
          <cell r="A129" t="str">
            <v>1Q08</v>
          </cell>
          <cell r="BB129">
            <v>1728.0874822579913</v>
          </cell>
          <cell r="BC129">
            <v>3456.1749645159825</v>
          </cell>
          <cell r="BD129">
            <v>3464.8154019272724</v>
          </cell>
          <cell r="BE129">
            <v>3473.4774404320906</v>
          </cell>
          <cell r="BG129">
            <v>3482.1611340331706</v>
          </cell>
          <cell r="BH129">
            <v>3490.8665368682532</v>
          </cell>
          <cell r="BI129">
            <v>3499.5937032104234</v>
          </cell>
          <cell r="BJ129">
            <v>3508.3426874684492</v>
          </cell>
          <cell r="BL129">
            <v>3517.1135441871202</v>
          </cell>
          <cell r="BM129">
            <v>3525.906328047588</v>
          </cell>
          <cell r="BN129">
            <v>3534.7210938677067</v>
          </cell>
          <cell r="BO129">
            <v>3543.5578966023759</v>
          </cell>
        </row>
        <row r="130">
          <cell r="A130" t="str">
            <v>2Q08</v>
          </cell>
          <cell r="BC130">
            <v>2494.9669261829295</v>
          </cell>
          <cell r="BD130">
            <v>4989.9338523658589</v>
          </cell>
          <cell r="BE130">
            <v>5002.4086869967732</v>
          </cell>
          <cell r="BG130">
            <v>5014.9147087142646</v>
          </cell>
          <cell r="BH130">
            <v>5027.4519954860498</v>
          </cell>
          <cell r="BI130">
            <v>5040.0206254747645</v>
          </cell>
          <cell r="BJ130">
            <v>5052.6206770384515</v>
          </cell>
          <cell r="BL130">
            <v>5065.2522287310476</v>
          </cell>
          <cell r="BM130">
            <v>5077.915359302875</v>
          </cell>
          <cell r="BN130">
            <v>5090.6101477011316</v>
          </cell>
          <cell r="BO130">
            <v>5103.3366730703838</v>
          </cell>
        </row>
        <row r="131">
          <cell r="A131" t="str">
            <v>3Q08</v>
          </cell>
          <cell r="BD131">
            <v>2233.5476519025742</v>
          </cell>
          <cell r="BE131">
            <v>4467.0953038051484</v>
          </cell>
          <cell r="BG131">
            <v>4478.263042064661</v>
          </cell>
          <cell r="BH131">
            <v>4489.4586996698226</v>
          </cell>
          <cell r="BI131">
            <v>4500.6823464189965</v>
          </cell>
          <cell r="BJ131">
            <v>4511.9340522850434</v>
          </cell>
          <cell r="BL131">
            <v>4523.2138874157554</v>
          </cell>
          <cell r="BM131">
            <v>4534.5219221342941</v>
          </cell>
          <cell r="BN131">
            <v>4545.8582269396293</v>
          </cell>
          <cell r="BO131">
            <v>4557.2228725069781</v>
          </cell>
        </row>
        <row r="132">
          <cell r="A132" t="str">
            <v>4Q08</v>
          </cell>
          <cell r="BE132">
            <v>1124.5587752479328</v>
          </cell>
          <cell r="BG132">
            <v>2249.1175504958655</v>
          </cell>
          <cell r="BH132">
            <v>2254.740344372105</v>
          </cell>
          <cell r="BI132">
            <v>2260.3771952330353</v>
          </cell>
          <cell r="BJ132">
            <v>2266.0281382211178</v>
          </cell>
          <cell r="BL132">
            <v>2271.6932085666704</v>
          </cell>
          <cell r="BM132">
            <v>2277.372441588087</v>
          </cell>
          <cell r="BN132">
            <v>2283.0658726920569</v>
          </cell>
          <cell r="BO132">
            <v>2288.7735373737869</v>
          </cell>
        </row>
        <row r="133">
          <cell r="A133" t="str">
            <v>1Q2009</v>
          </cell>
          <cell r="BG133">
            <v>1124.5587752479328</v>
          </cell>
          <cell r="BH133">
            <v>2249.1175504958655</v>
          </cell>
          <cell r="BI133">
            <v>2254.740344372105</v>
          </cell>
          <cell r="BJ133">
            <v>2260.3771952330353</v>
          </cell>
          <cell r="BL133">
            <v>2266.0281382211178</v>
          </cell>
          <cell r="BM133">
            <v>2271.6932085666704</v>
          </cell>
          <cell r="BN133">
            <v>2277.372441588087</v>
          </cell>
          <cell r="BO133">
            <v>2283.0658726920569</v>
          </cell>
        </row>
        <row r="134">
          <cell r="A134" t="str">
            <v>2Q2009</v>
          </cell>
          <cell r="BH134">
            <v>1124.5587752479328</v>
          </cell>
          <cell r="BI134">
            <v>2249.1175504958655</v>
          </cell>
          <cell r="BJ134">
            <v>2254.740344372105</v>
          </cell>
          <cell r="BL134">
            <v>2260.3771952330353</v>
          </cell>
          <cell r="BM134">
            <v>2266.0281382211178</v>
          </cell>
          <cell r="BN134">
            <v>2271.6932085666704</v>
          </cell>
          <cell r="BO134">
            <v>2277.372441588087</v>
          </cell>
        </row>
        <row r="135">
          <cell r="A135" t="str">
            <v>3Q2009</v>
          </cell>
          <cell r="BI135">
            <v>1124.5587752479328</v>
          </cell>
          <cell r="BJ135">
            <v>2249.1175504958655</v>
          </cell>
          <cell r="BL135">
            <v>2254.740344372105</v>
          </cell>
          <cell r="BM135">
            <v>2260.3771952330353</v>
          </cell>
          <cell r="BN135">
            <v>2266.0281382211178</v>
          </cell>
          <cell r="BO135">
            <v>2271.6932085666704</v>
          </cell>
        </row>
        <row r="136">
          <cell r="A136" t="str">
            <v>4Q2009</v>
          </cell>
          <cell r="BJ136">
            <v>1124.5587752479328</v>
          </cell>
          <cell r="BL136">
            <v>2249.1175504958655</v>
          </cell>
          <cell r="BM136">
            <v>2254.740344372105</v>
          </cell>
          <cell r="BN136">
            <v>2260.3771952330353</v>
          </cell>
          <cell r="BO136">
            <v>2266.0281382211178</v>
          </cell>
        </row>
        <row r="137">
          <cell r="A137" t="str">
            <v>1Q2010</v>
          </cell>
          <cell r="BL137">
            <v>1405.6984690599161</v>
          </cell>
          <cell r="BM137">
            <v>2811.3969381198322</v>
          </cell>
          <cell r="BN137">
            <v>2818.4254304651317</v>
          </cell>
          <cell r="BO137">
            <v>2825.4714940412946</v>
          </cell>
        </row>
        <row r="138">
          <cell r="A138" t="str">
            <v>2Q2010</v>
          </cell>
          <cell r="BM138">
            <v>1405.6984690599161</v>
          </cell>
          <cell r="BN138">
            <v>2811.3969381198322</v>
          </cell>
          <cell r="BO138">
            <v>2818.4254304651317</v>
          </cell>
        </row>
        <row r="139">
          <cell r="A139" t="str">
            <v>3Q2010</v>
          </cell>
          <cell r="BN139">
            <v>1405.6984690599161</v>
          </cell>
          <cell r="BO139">
            <v>2811.3969381198322</v>
          </cell>
        </row>
        <row r="140">
          <cell r="A140" t="str">
            <v>4Q2010</v>
          </cell>
          <cell r="BO140">
            <v>1405.6984690599161</v>
          </cell>
        </row>
        <row r="145">
          <cell r="A145" t="str">
            <v xml:space="preserve">   Total</v>
          </cell>
          <cell r="B145">
            <v>0</v>
          </cell>
          <cell r="C145">
            <v>0</v>
          </cell>
          <cell r="D145">
            <v>0</v>
          </cell>
          <cell r="E145">
            <v>0</v>
          </cell>
          <cell r="H145">
            <v>0</v>
          </cell>
          <cell r="I145">
            <v>0</v>
          </cell>
          <cell r="J145">
            <v>0</v>
          </cell>
          <cell r="K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4188.6453469063144</v>
          </cell>
          <cell r="BC145">
            <v>8417.8511500088571</v>
          </cell>
          <cell r="BD145">
            <v>13161.172938653925</v>
          </cell>
          <cell r="BE145">
            <v>16546.598429021309</v>
          </cell>
          <cell r="BF145">
            <v>42314.267864590409</v>
          </cell>
          <cell r="BG145">
            <v>18834.271078651607</v>
          </cell>
          <cell r="BH145">
            <v>21127.662909905983</v>
          </cell>
          <cell r="BI145">
            <v>23426.78822073849</v>
          </cell>
          <cell r="BJ145">
            <v>25731.661344848082</v>
          </cell>
          <cell r="BK145">
            <v>89120.383554144166</v>
          </cell>
          <cell r="BL145">
            <v>28323.436345579928</v>
          </cell>
          <cell r="BM145">
            <v>31202.127628391059</v>
          </cell>
          <cell r="BN145">
            <v>34088.015639409212</v>
          </cell>
          <cell r="BO145">
            <v>36981.118370454918</v>
          </cell>
          <cell r="BP145">
            <v>130594.69798383511</v>
          </cell>
        </row>
        <row r="151">
          <cell r="BB151">
            <v>61600.000000000007</v>
          </cell>
          <cell r="BC151">
            <v>61600.000000000007</v>
          </cell>
          <cell r="BD151">
            <v>61600.000000000007</v>
          </cell>
          <cell r="BE151">
            <v>61600.000000000007</v>
          </cell>
          <cell r="BG151">
            <v>127124.99999999999</v>
          </cell>
          <cell r="BH151">
            <v>126000.00000000001</v>
          </cell>
          <cell r="BI151">
            <v>126000.00000000001</v>
          </cell>
          <cell r="BJ151">
            <v>126000.00000000001</v>
          </cell>
          <cell r="BL151">
            <v>129374.99999999999</v>
          </cell>
          <cell r="BM151">
            <v>126000.00000000001</v>
          </cell>
          <cell r="BN151">
            <v>126000.00000000001</v>
          </cell>
          <cell r="BO151">
            <v>126000.00000000001</v>
          </cell>
        </row>
        <row r="152">
          <cell r="A152" t="str">
            <v>Expected Sales of Build-to Suit (at cost)</v>
          </cell>
          <cell r="AH152">
            <v>18525</v>
          </cell>
          <cell r="AI152">
            <v>18525</v>
          </cell>
          <cell r="AJ152">
            <v>21250</v>
          </cell>
          <cell r="AK152">
            <v>21500</v>
          </cell>
          <cell r="AM152">
            <v>16425</v>
          </cell>
          <cell r="AN152">
            <v>16425</v>
          </cell>
          <cell r="AO152">
            <v>16425</v>
          </cell>
          <cell r="AP152">
            <v>16425</v>
          </cell>
          <cell r="AR152">
            <v>72650</v>
          </cell>
          <cell r="AS152">
            <v>72650</v>
          </cell>
          <cell r="AT152">
            <v>72650</v>
          </cell>
          <cell r="AU152">
            <v>72650</v>
          </cell>
          <cell r="AW152">
            <v>193000</v>
          </cell>
          <cell r="AX152">
            <v>190500</v>
          </cell>
          <cell r="AY152">
            <v>207000</v>
          </cell>
          <cell r="AZ152">
            <v>275000</v>
          </cell>
          <cell r="BB152">
            <v>55000</v>
          </cell>
          <cell r="BC152">
            <v>55000</v>
          </cell>
          <cell r="BD152">
            <v>55000</v>
          </cell>
          <cell r="BE152">
            <v>55000</v>
          </cell>
          <cell r="BG152">
            <v>112500</v>
          </cell>
          <cell r="BH152">
            <v>112500</v>
          </cell>
          <cell r="BI152">
            <v>112500</v>
          </cell>
          <cell r="BJ152">
            <v>112500</v>
          </cell>
          <cell r="BL152">
            <v>112500</v>
          </cell>
          <cell r="BM152">
            <v>112500</v>
          </cell>
          <cell r="BN152">
            <v>112500</v>
          </cell>
          <cell r="BO152">
            <v>112500</v>
          </cell>
        </row>
      </sheetData>
      <sheetData sheetId="14" refreshError="1"/>
      <sheetData sheetId="15" refreshError="1">
        <row r="1">
          <cell r="A1" t="str">
            <v>Duke Realty (DRE)</v>
          </cell>
          <cell r="I1" t="str">
            <v>Gregory Whyte</v>
          </cell>
        </row>
        <row r="2">
          <cell r="A2" t="str">
            <v>4Q05 Earnings Variance Analysis Worksheet</v>
          </cell>
          <cell r="I2" t="str">
            <v>Morgan Stanley REIT Research Team</v>
          </cell>
        </row>
        <row r="3">
          <cell r="A3" t="str">
            <v>($ in Thousands, Except per Share Amounts)</v>
          </cell>
          <cell r="I3" t="str">
            <v>(212) 761-6331   Gregory.Whtye@morganstanley.com</v>
          </cell>
        </row>
        <row r="5">
          <cell r="C5">
            <v>50</v>
          </cell>
          <cell r="D5">
            <v>50</v>
          </cell>
          <cell r="H5">
            <v>45</v>
          </cell>
          <cell r="I5">
            <v>49</v>
          </cell>
        </row>
        <row r="6">
          <cell r="C6" t="str">
            <v>MS</v>
          </cell>
          <cell r="D6" t="str">
            <v>Reported</v>
          </cell>
          <cell r="F6" t="str">
            <v>Per Share</v>
          </cell>
        </row>
        <row r="7">
          <cell r="A7" t="str">
            <v>Year Ends December 31</v>
          </cell>
          <cell r="C7" t="str">
            <v>4Q05E</v>
          </cell>
          <cell r="D7" t="str">
            <v>4Q05A</v>
          </cell>
          <cell r="E7" t="str">
            <v>Variance</v>
          </cell>
          <cell r="F7" t="str">
            <v>Impact</v>
          </cell>
          <cell r="G7" t="str">
            <v>Comments</v>
          </cell>
          <cell r="H7" t="str">
            <v>4Q04A</v>
          </cell>
          <cell r="I7" t="str">
            <v>3Q05A</v>
          </cell>
        </row>
        <row r="8">
          <cell r="A8" t="str">
            <v>RENTAL OPERATIONS</v>
          </cell>
        </row>
        <row r="9">
          <cell r="A9" t="str">
            <v>Rental Income</v>
          </cell>
          <cell r="C9">
            <v>174005.318</v>
          </cell>
          <cell r="D9">
            <v>180993</v>
          </cell>
          <cell r="E9">
            <v>6987.6820000000007</v>
          </cell>
          <cell r="F9">
            <v>4.6267766690724181E-2</v>
          </cell>
          <cell r="H9">
            <v>191450</v>
          </cell>
          <cell r="I9">
            <v>173159</v>
          </cell>
        </row>
        <row r="10">
          <cell r="A10" t="str">
            <v>Equity in Unconsolidated Cos.</v>
          </cell>
          <cell r="C10">
            <v>4608.9368899347091</v>
          </cell>
          <cell r="D10">
            <v>4516</v>
          </cell>
          <cell r="E10">
            <v>-92.936889934709143</v>
          </cell>
          <cell r="F10">
            <v>-6.1536605994099824E-4</v>
          </cell>
          <cell r="H10">
            <v>5071</v>
          </cell>
          <cell r="I10">
            <v>4143</v>
          </cell>
        </row>
        <row r="11">
          <cell r="A11" t="str">
            <v>Total Income</v>
          </cell>
          <cell r="C11">
            <v>178614.2548899347</v>
          </cell>
          <cell r="D11">
            <v>185509</v>
          </cell>
          <cell r="E11">
            <v>6894.7451100652979</v>
          </cell>
          <cell r="F11">
            <v>4.5652400630783227E-2</v>
          </cell>
          <cell r="H11">
            <v>196521</v>
          </cell>
          <cell r="I11">
            <v>177302</v>
          </cell>
        </row>
        <row r="13">
          <cell r="A13" t="str">
            <v>Rental Expenses</v>
          </cell>
          <cell r="C13">
            <v>-38823.860995165764</v>
          </cell>
          <cell r="D13">
            <v>-40062</v>
          </cell>
          <cell r="E13">
            <v>-1238.1390048342364</v>
          </cell>
          <cell r="F13">
            <v>-8.1981301676801923E-3</v>
          </cell>
          <cell r="H13">
            <v>-39097</v>
          </cell>
          <cell r="I13">
            <v>-41251</v>
          </cell>
        </row>
        <row r="14">
          <cell r="A14" t="str">
            <v>Real Estate Taxes</v>
          </cell>
          <cell r="C14">
            <v>-21437.471456777814</v>
          </cell>
          <cell r="D14">
            <v>-21947</v>
          </cell>
          <cell r="E14">
            <v>-509.52854322218627</v>
          </cell>
          <cell r="F14">
            <v>-3.3737579586576327E-3</v>
          </cell>
          <cell r="H14">
            <v>-19942</v>
          </cell>
          <cell r="I14">
            <v>-22199</v>
          </cell>
        </row>
        <row r="15">
          <cell r="A15" t="str">
            <v>Acq. &amp; Develop. NOI</v>
          </cell>
          <cell r="C15">
            <v>-12216.215351399214</v>
          </cell>
          <cell r="D15">
            <v>0</v>
          </cell>
          <cell r="E15">
            <v>12216.215351399214</v>
          </cell>
          <cell r="F15">
            <v>8.0887625069684319E-2</v>
          </cell>
        </row>
        <row r="16">
          <cell r="A16" t="str">
            <v>Net Operating Income</v>
          </cell>
          <cell r="C16">
            <v>106136.70708659191</v>
          </cell>
          <cell r="D16">
            <v>123500</v>
          </cell>
          <cell r="E16">
            <v>17363.292913408091</v>
          </cell>
          <cell r="F16">
            <v>0.11496813757412973</v>
          </cell>
          <cell r="H16">
            <v>137482</v>
          </cell>
          <cell r="I16">
            <v>113852</v>
          </cell>
        </row>
        <row r="18">
          <cell r="A18" t="str">
            <v>SERVICE OPERATIONS</v>
          </cell>
        </row>
        <row r="19">
          <cell r="A19" t="str">
            <v>Gross Contractor Revenue</v>
          </cell>
          <cell r="C19">
            <v>103854.34080000001</v>
          </cell>
          <cell r="D19">
            <v>103854.34080000001</v>
          </cell>
          <cell r="E19">
            <v>0</v>
          </cell>
          <cell r="F19">
            <v>0</v>
          </cell>
          <cell r="H19">
            <v>93745</v>
          </cell>
          <cell r="I19">
            <v>103879</v>
          </cell>
        </row>
        <row r="20">
          <cell r="A20" t="str">
            <v>Gross Contractor Costs</v>
          </cell>
          <cell r="C20">
            <v>-94507.450128000011</v>
          </cell>
          <cell r="D20">
            <v>-94507.450128000011</v>
          </cell>
          <cell r="E20">
            <v>0</v>
          </cell>
          <cell r="F20">
            <v>0</v>
          </cell>
          <cell r="H20">
            <v>-85899</v>
          </cell>
          <cell r="I20">
            <v>-93750</v>
          </cell>
        </row>
        <row r="21">
          <cell r="A21" t="str">
            <v xml:space="preserve">  Net Contractor Revenue</v>
          </cell>
          <cell r="C21">
            <v>9346.8906719999941</v>
          </cell>
          <cell r="D21">
            <v>9346.8906719999941</v>
          </cell>
          <cell r="E21">
            <v>0</v>
          </cell>
          <cell r="F21">
            <v>0</v>
          </cell>
          <cell r="H21">
            <v>7846</v>
          </cell>
          <cell r="I21">
            <v>10129</v>
          </cell>
        </row>
        <row r="22">
          <cell r="A22" t="str">
            <v>Construction and Devel. Activity Income (Devel Gains)</v>
          </cell>
          <cell r="C22">
            <v>6463.75</v>
          </cell>
          <cell r="D22">
            <v>521.10932800000592</v>
          </cell>
          <cell r="E22">
            <v>-5942.6406719999941</v>
          </cell>
          <cell r="F22">
            <v>-3.9348200467466045E-2</v>
          </cell>
          <cell r="H22">
            <v>15578</v>
          </cell>
          <cell r="I22">
            <v>8092</v>
          </cell>
        </row>
        <row r="23">
          <cell r="A23" t="str">
            <v>Property Mgmt. Maint. &amp; Leasing Fees</v>
          </cell>
          <cell r="C23">
            <v>3502.68</v>
          </cell>
          <cell r="D23">
            <v>3801</v>
          </cell>
          <cell r="E23">
            <v>298.32</v>
          </cell>
          <cell r="F23">
            <v>1.9752759440364977E-3</v>
          </cell>
          <cell r="H23">
            <v>3468</v>
          </cell>
          <cell r="I23">
            <v>4092</v>
          </cell>
        </row>
        <row r="24">
          <cell r="A24" t="str">
            <v>Other Income</v>
          </cell>
          <cell r="C24">
            <v>303</v>
          </cell>
          <cell r="D24">
            <v>245</v>
          </cell>
          <cell r="E24">
            <v>-58</v>
          </cell>
          <cell r="F24">
            <v>-3.8403729134525613E-4</v>
          </cell>
          <cell r="H24">
            <v>303</v>
          </cell>
          <cell r="I24">
            <v>271</v>
          </cell>
        </row>
        <row r="25">
          <cell r="A25" t="str">
            <v>Operating Expenses</v>
          </cell>
          <cell r="C25">
            <v>-9196.6703540177095</v>
          </cell>
          <cell r="D25">
            <v>-8074</v>
          </cell>
          <cell r="E25">
            <v>1122.6703540177095</v>
          </cell>
          <cell r="F25">
            <v>7.4335738246651892E-3</v>
          </cell>
          <cell r="H25">
            <v>-15880</v>
          </cell>
          <cell r="I25">
            <v>-10588</v>
          </cell>
        </row>
        <row r="26">
          <cell r="A26" t="str">
            <v>General and Administrative</v>
          </cell>
          <cell r="C26">
            <v>-4894.2285792485636</v>
          </cell>
          <cell r="D26">
            <v>-8773</v>
          </cell>
          <cell r="E26">
            <v>-3878.7714207514364</v>
          </cell>
          <cell r="F26">
            <v>-2.5682635692634008E-2</v>
          </cell>
          <cell r="H26">
            <v>-5465</v>
          </cell>
          <cell r="I26">
            <v>-5250</v>
          </cell>
        </row>
        <row r="28">
          <cell r="A28" t="str">
            <v>EBITDA</v>
          </cell>
          <cell r="C28">
            <v>111662.12882532564</v>
          </cell>
          <cell r="D28">
            <v>120567</v>
          </cell>
          <cell r="E28">
            <v>8904.8711746743647</v>
          </cell>
          <cell r="F28">
            <v>5.8962113891386073E-2</v>
          </cell>
          <cell r="H28">
            <v>143332</v>
          </cell>
          <cell r="I28">
            <v>120598</v>
          </cell>
        </row>
        <row r="30">
          <cell r="A30" t="str">
            <v>Interest Expense</v>
          </cell>
          <cell r="C30">
            <v>35482.209109166077</v>
          </cell>
          <cell r="D30">
            <v>30807</v>
          </cell>
          <cell r="E30">
            <v>4675.2091091660768</v>
          </cell>
          <cell r="F30">
            <v>3.0956114530289795E-2</v>
          </cell>
          <cell r="H30">
            <v>35658</v>
          </cell>
          <cell r="I30">
            <v>31522</v>
          </cell>
        </row>
        <row r="31">
          <cell r="A31" t="str">
            <v>Depreciation and Amortization</v>
          </cell>
          <cell r="C31">
            <v>56853.281846593229</v>
          </cell>
          <cell r="D31">
            <v>59139</v>
          </cell>
          <cell r="E31">
            <v>-2285.7181534067713</v>
          </cell>
          <cell r="F31">
            <v>-1.5134500145052019E-2</v>
          </cell>
          <cell r="H31">
            <v>61169</v>
          </cell>
          <cell r="I31">
            <v>61245</v>
          </cell>
        </row>
        <row r="32">
          <cell r="A32" t="str">
            <v>Interest Income</v>
          </cell>
          <cell r="C32">
            <v>1568.9498474048253</v>
          </cell>
          <cell r="D32">
            <v>1758</v>
          </cell>
          <cell r="E32">
            <v>189.05015259517472</v>
          </cell>
          <cell r="F32">
            <v>1.2517639401906594E-3</v>
          </cell>
          <cell r="H32">
            <v>888</v>
          </cell>
          <cell r="I32">
            <v>1683</v>
          </cell>
        </row>
        <row r="33">
          <cell r="A33" t="str">
            <v>Other Expense</v>
          </cell>
          <cell r="C33">
            <v>-159.20506062988787</v>
          </cell>
          <cell r="D33">
            <v>-797</v>
          </cell>
          <cell r="E33">
            <v>-637.79493937011216</v>
          </cell>
          <cell r="F33">
            <v>-4.2230524301622371E-3</v>
          </cell>
          <cell r="H33">
            <v>-233</v>
          </cell>
          <cell r="I33">
            <v>-166</v>
          </cell>
        </row>
        <row r="34">
          <cell r="A34" t="str">
            <v>Other Min. Int. in Earn. of Subs.</v>
          </cell>
          <cell r="C34">
            <v>-1301.3986850725705</v>
          </cell>
          <cell r="D34">
            <v>24</v>
          </cell>
          <cell r="E34">
            <v>-1325.3986850725705</v>
          </cell>
          <cell r="F34">
            <v>-8.7759055339281748E-3</v>
          </cell>
          <cell r="H34">
            <v>-246</v>
          </cell>
          <cell r="I34">
            <v>-1396</v>
          </cell>
        </row>
        <row r="35">
          <cell r="A35" t="str">
            <v>Preferred Issuance Costs</v>
          </cell>
          <cell r="C35">
            <v>0</v>
          </cell>
          <cell r="D35">
            <v>0</v>
          </cell>
          <cell r="E35">
            <v>0</v>
          </cell>
          <cell r="F35">
            <v>0</v>
          </cell>
          <cell r="H35">
            <v>0</v>
          </cell>
          <cell r="I35">
            <v>0</v>
          </cell>
        </row>
        <row r="36">
          <cell r="A36" t="str">
            <v>NI Before Gains &amp; Minority Int.</v>
          </cell>
          <cell r="C36">
            <v>19434.983971268692</v>
          </cell>
          <cell r="D36">
            <v>31606</v>
          </cell>
          <cell r="E36">
            <v>12171.016028731308</v>
          </cell>
          <cell r="F36">
            <v>8.0588345320580484E-2</v>
          </cell>
          <cell r="H36">
            <v>46914</v>
          </cell>
          <cell r="I36">
            <v>27952</v>
          </cell>
        </row>
        <row r="38">
          <cell r="A38" t="str">
            <v>Gains On Sale</v>
          </cell>
          <cell r="C38">
            <v>6412.1</v>
          </cell>
          <cell r="D38">
            <v>14</v>
          </cell>
          <cell r="E38">
            <v>-6398.1</v>
          </cell>
          <cell r="F38">
            <v>-4.2363948168208335E-2</v>
          </cell>
          <cell r="H38">
            <v>33</v>
          </cell>
          <cell r="I38">
            <v>-56</v>
          </cell>
        </row>
        <row r="39">
          <cell r="A39" t="str">
            <v>Land Sales Gains - incl. in FFO</v>
          </cell>
          <cell r="C39">
            <v>2000</v>
          </cell>
          <cell r="D39">
            <v>8421</v>
          </cell>
          <cell r="E39">
            <v>6421</v>
          </cell>
          <cell r="F39">
            <v>4.2515576684963613E-2</v>
          </cell>
          <cell r="H39">
            <v>1049</v>
          </cell>
          <cell r="I39">
            <v>2506</v>
          </cell>
        </row>
        <row r="40">
          <cell r="A40" t="str">
            <v>Min Interest in Earnings of Pfd Unitholders</v>
          </cell>
          <cell r="C40">
            <v>0</v>
          </cell>
          <cell r="D40">
            <v>0</v>
          </cell>
          <cell r="E40">
            <v>0</v>
          </cell>
          <cell r="F40">
            <v>0</v>
          </cell>
          <cell r="H40">
            <v>0</v>
          </cell>
          <cell r="I40">
            <v>0</v>
          </cell>
        </row>
        <row r="41">
          <cell r="A41" t="str">
            <v>Min Interest in Earnings of Unitholders</v>
          </cell>
          <cell r="C41">
            <v>1697.5981414879304</v>
          </cell>
          <cell r="D41">
            <v>2656</v>
          </cell>
          <cell r="E41">
            <v>-958.40185851206957</v>
          </cell>
          <cell r="F41">
            <v>-6.3458974786764592E-3</v>
          </cell>
          <cell r="H41">
            <v>3458</v>
          </cell>
          <cell r="I41">
            <v>1821</v>
          </cell>
        </row>
        <row r="42">
          <cell r="A42" t="str">
            <v>Net Income</v>
          </cell>
          <cell r="C42">
            <v>26149.485829780762</v>
          </cell>
          <cell r="D42">
            <v>37372</v>
          </cell>
          <cell r="E42">
            <v>11222.514170219238</v>
          </cell>
          <cell r="F42">
            <v>7.4307999034737088E-2</v>
          </cell>
          <cell r="H42">
            <v>44538</v>
          </cell>
          <cell r="I42">
            <v>28502</v>
          </cell>
        </row>
        <row r="43">
          <cell r="A43" t="str">
            <v>Preferred Dividend</v>
          </cell>
          <cell r="C43">
            <v>11619</v>
          </cell>
          <cell r="D43">
            <v>11620</v>
          </cell>
          <cell r="E43">
            <v>-1</v>
          </cell>
          <cell r="F43">
            <v>-6.6213326094009681E-6</v>
          </cell>
          <cell r="H43">
            <v>9456</v>
          </cell>
          <cell r="I43">
            <v>11619</v>
          </cell>
        </row>
        <row r="44">
          <cell r="A44" t="str">
            <v>Net Income from Discontinued Operations</v>
          </cell>
          <cell r="C44">
            <v>853</v>
          </cell>
          <cell r="D44">
            <v>418</v>
          </cell>
          <cell r="E44">
            <v>-435</v>
          </cell>
          <cell r="F44">
            <v>-2.8802796850894213E-3</v>
          </cell>
          <cell r="H44">
            <v>-18</v>
          </cell>
          <cell r="I44">
            <v>3853</v>
          </cell>
        </row>
        <row r="45">
          <cell r="A45" t="str">
            <v>Gain on Sale of Discontinued Operations</v>
          </cell>
          <cell r="C45">
            <v>4692</v>
          </cell>
          <cell r="D45">
            <v>3885</v>
          </cell>
          <cell r="E45">
            <v>-807</v>
          </cell>
          <cell r="F45">
            <v>-5.3434154157865812E-3</v>
          </cell>
          <cell r="H45">
            <v>6086</v>
          </cell>
          <cell r="I45">
            <v>192612</v>
          </cell>
        </row>
        <row r="46">
          <cell r="A46" t="str">
            <v>Net Income Avail. to Common</v>
          </cell>
          <cell r="C46">
            <v>20075.485829780762</v>
          </cell>
          <cell r="D46">
            <v>30055</v>
          </cell>
          <cell r="E46">
            <v>9979.5141702192377</v>
          </cell>
          <cell r="F46">
            <v>6.6077682601251686E-2</v>
          </cell>
          <cell r="H46">
            <v>41150</v>
          </cell>
          <cell r="I46">
            <v>213348</v>
          </cell>
        </row>
        <row r="47">
          <cell r="B47" t="str">
            <v>Adjustment OP units</v>
          </cell>
          <cell r="C47" t="e">
            <v>#N/A</v>
          </cell>
          <cell r="D47" t="e">
            <v>#N/A</v>
          </cell>
          <cell r="H47" t="e">
            <v>#N/A</v>
          </cell>
          <cell r="I47" t="e">
            <v>#N/A</v>
          </cell>
        </row>
        <row r="48">
          <cell r="B48" t="str">
            <v>Adjustment: Gains and Extraordinary Items</v>
          </cell>
          <cell r="C48" t="e">
            <v>#N/A</v>
          </cell>
          <cell r="D48" t="e">
            <v>#N/A</v>
          </cell>
          <cell r="E48" t="e">
            <v>#N/A</v>
          </cell>
          <cell r="F48" t="e">
            <v>#N/A</v>
          </cell>
          <cell r="H48" t="e">
            <v>#N/A</v>
          </cell>
          <cell r="I48" t="e">
            <v>#N/A</v>
          </cell>
        </row>
        <row r="49">
          <cell r="A49" t="str">
            <v>Normalized Earnings</v>
          </cell>
          <cell r="C49">
            <v>13663.385829780762</v>
          </cell>
          <cell r="D49">
            <v>30041</v>
          </cell>
          <cell r="E49">
            <v>16377.614170219238</v>
          </cell>
          <cell r="F49">
            <v>0.10844163076946002</v>
          </cell>
          <cell r="H49">
            <v>41117</v>
          </cell>
          <cell r="I49">
            <v>213404</v>
          </cell>
        </row>
        <row r="51">
          <cell r="A51" t="str">
            <v xml:space="preserve">  + Depreciation and Amortization</v>
          </cell>
          <cell r="C51">
            <v>56853.281846593229</v>
          </cell>
          <cell r="D51">
            <v>59197</v>
          </cell>
          <cell r="E51">
            <v>-2343.7181534067713</v>
          </cell>
          <cell r="F51">
            <v>-1.5518537436397275E-2</v>
          </cell>
          <cell r="H51">
            <v>61423</v>
          </cell>
          <cell r="I51">
            <v>67623</v>
          </cell>
        </row>
        <row r="52">
          <cell r="A52" t="str">
            <v xml:space="preserve">  + Depr. &amp; Amort. on J.V.'s</v>
          </cell>
          <cell r="C52">
            <v>5253.15</v>
          </cell>
          <cell r="D52">
            <v>4699</v>
          </cell>
          <cell r="E52">
            <v>554.15</v>
          </cell>
          <cell r="F52">
            <v>3.6692114654995442E-3</v>
          </cell>
          <cell r="H52">
            <v>5018</v>
          </cell>
          <cell r="I52">
            <v>5003</v>
          </cell>
        </row>
        <row r="53">
          <cell r="A53" t="str">
            <v xml:space="preserve">  - Earnings from Property Sales</v>
          </cell>
          <cell r="C53">
            <v>-11104.1</v>
          </cell>
          <cell r="D53">
            <v>-4200</v>
          </cell>
          <cell r="E53">
            <v>6904.1</v>
          </cell>
          <cell r="F53">
            <v>4.5714342468565226E-2</v>
          </cell>
          <cell r="H53">
            <v>-6883</v>
          </cell>
          <cell r="I53">
            <v>-210837</v>
          </cell>
        </row>
        <row r="54">
          <cell r="A54" t="str">
            <v xml:space="preserve">  - MI Share of Add-Backs</v>
          </cell>
          <cell r="C54">
            <v>11222.233073713183</v>
          </cell>
          <cell r="D54">
            <v>-5203</v>
          </cell>
          <cell r="E54">
            <v>-16425.233073713185</v>
          </cell>
          <cell r="F54">
            <v>-0.1087569313679884</v>
          </cell>
          <cell r="H54">
            <v>-5221</v>
          </cell>
          <cell r="I54">
            <v>12038</v>
          </cell>
        </row>
        <row r="55">
          <cell r="A55" t="str">
            <v xml:space="preserve"> Funds From Operations</v>
          </cell>
          <cell r="C55">
            <v>82300.050750087175</v>
          </cell>
          <cell r="D55">
            <v>84548</v>
          </cell>
          <cell r="E55">
            <v>2247.9492499128246</v>
          </cell>
          <cell r="F55">
            <v>1.4884419672726232E-2</v>
          </cell>
          <cell r="H55">
            <v>95487</v>
          </cell>
          <cell r="I55">
            <v>87175</v>
          </cell>
        </row>
        <row r="57">
          <cell r="A57" t="str">
            <v xml:space="preserve"> - TIs &amp; Leasing Commisions</v>
          </cell>
          <cell r="C57">
            <v>20165.974346452462</v>
          </cell>
          <cell r="D57">
            <v>25229</v>
          </cell>
          <cell r="E57">
            <v>-5063.0256535475382</v>
          </cell>
          <cell r="F57">
            <v>-3.3523976862067963E-2</v>
          </cell>
          <cell r="H57">
            <v>26033</v>
          </cell>
          <cell r="I57">
            <v>22141</v>
          </cell>
        </row>
        <row r="58">
          <cell r="A58" t="str">
            <v xml:space="preserve"> - Capital Expenditures</v>
          </cell>
          <cell r="C58">
            <v>3904.1960552177115</v>
          </cell>
          <cell r="D58">
            <v>5982</v>
          </cell>
          <cell r="E58">
            <v>-2077.8039447822885</v>
          </cell>
          <cell r="F58">
            <v>-1.3757831015528936E-2</v>
          </cell>
          <cell r="H58">
            <v>7010</v>
          </cell>
          <cell r="I58">
            <v>4188</v>
          </cell>
        </row>
        <row r="59">
          <cell r="A59" t="str">
            <v xml:space="preserve"> - Adjustment For Straight-lining</v>
          </cell>
          <cell r="C59">
            <v>5860.955252902043</v>
          </cell>
          <cell r="D59">
            <v>6129</v>
          </cell>
          <cell r="E59">
            <v>-268.04474709795704</v>
          </cell>
          <cell r="F59">
            <v>-1.7748134247383386E-3</v>
          </cell>
          <cell r="H59">
            <v>7311</v>
          </cell>
          <cell r="I59">
            <v>6287</v>
          </cell>
        </row>
        <row r="60">
          <cell r="A60" t="str">
            <v xml:space="preserve"> + Other Adjustments1</v>
          </cell>
          <cell r="C60">
            <v>2646.5358360399168</v>
          </cell>
          <cell r="D60">
            <v>3786</v>
          </cell>
          <cell r="E60">
            <v>1139.4641639600832</v>
          </cell>
          <cell r="F60">
            <v>7.5447712260727096E-3</v>
          </cell>
          <cell r="H60">
            <v>5601</v>
          </cell>
          <cell r="I60">
            <v>3942</v>
          </cell>
        </row>
        <row r="61">
          <cell r="A61" t="str">
            <v>Adjusted Funds From Operations</v>
          </cell>
          <cell r="C61">
            <v>55015.460931554873</v>
          </cell>
          <cell r="D61">
            <v>50994</v>
          </cell>
          <cell r="E61">
            <v>-4021.4609315548732</v>
          </cell>
          <cell r="F61">
            <v>-2.6627430403536278E-2</v>
          </cell>
          <cell r="H61">
            <v>60734</v>
          </cell>
          <cell r="I61">
            <v>58501</v>
          </cell>
        </row>
        <row r="63">
          <cell r="A63" t="str">
            <v>Diluted FFO</v>
          </cell>
        </row>
        <row r="64">
          <cell r="A64" t="str">
            <v xml:space="preserve">  Basic FFO</v>
          </cell>
          <cell r="C64">
            <v>82300.050750087175</v>
          </cell>
          <cell r="D64">
            <v>84548</v>
          </cell>
          <cell r="E64">
            <v>2247.9492499128246</v>
          </cell>
          <cell r="F64">
            <v>1.4884419672726232E-2</v>
          </cell>
          <cell r="H64">
            <v>95487</v>
          </cell>
          <cell r="I64">
            <v>87175</v>
          </cell>
        </row>
        <row r="65">
          <cell r="A65" t="str">
            <v xml:space="preserve">  Preferred Conv D and G</v>
          </cell>
          <cell r="C65">
            <v>0</v>
          </cell>
          <cell r="D65">
            <v>0</v>
          </cell>
          <cell r="E65">
            <v>0</v>
          </cell>
          <cell r="F65">
            <v>0</v>
          </cell>
          <cell r="H65">
            <v>0</v>
          </cell>
          <cell r="I65">
            <v>0</v>
          </cell>
        </row>
        <row r="66">
          <cell r="A66" t="str">
            <v xml:space="preserve">  JV Partner Convertible Ownership FFO</v>
          </cell>
          <cell r="C66">
            <v>0</v>
          </cell>
          <cell r="D66">
            <v>0</v>
          </cell>
          <cell r="E66">
            <v>0</v>
          </cell>
          <cell r="F66">
            <v>0</v>
          </cell>
          <cell r="H66">
            <v>0</v>
          </cell>
          <cell r="I66">
            <v>0</v>
          </cell>
        </row>
        <row r="67">
          <cell r="A67" t="str">
            <v xml:space="preserve">  Unitholder Minority Interest</v>
          </cell>
          <cell r="C67">
            <v>18882.399975748507</v>
          </cell>
          <cell r="D67">
            <v>3078</v>
          </cell>
          <cell r="E67">
            <v>-15804.399975748507</v>
          </cell>
          <cell r="F67">
            <v>-0.10464618893143945</v>
          </cell>
          <cell r="H67">
            <v>3953</v>
          </cell>
          <cell r="I67">
            <v>20255</v>
          </cell>
        </row>
        <row r="68">
          <cell r="A68" t="str">
            <v xml:space="preserve">  Minority Interest Share of Add-Backs</v>
          </cell>
          <cell r="C68">
            <v>-11222.233073713183</v>
          </cell>
          <cell r="D68">
            <v>5203</v>
          </cell>
          <cell r="E68">
            <v>16425.233073713185</v>
          </cell>
          <cell r="F68">
            <v>0.1087569313679884</v>
          </cell>
          <cell r="H68">
            <v>5221</v>
          </cell>
          <cell r="I68">
            <v>-12038</v>
          </cell>
        </row>
        <row r="69">
          <cell r="A69" t="str">
            <v>Total Diluted FFO</v>
          </cell>
          <cell r="C69">
            <v>89960.217652122505</v>
          </cell>
          <cell r="D69">
            <v>92829</v>
          </cell>
          <cell r="E69">
            <v>2868.7823478774953</v>
          </cell>
          <cell r="F69">
            <v>1.8995162109275134E-2</v>
          </cell>
          <cell r="H69">
            <v>104661</v>
          </cell>
          <cell r="I69">
            <v>95392</v>
          </cell>
        </row>
        <row r="71">
          <cell r="A71" t="str">
            <v>Diluted EPS before Extraordinary</v>
          </cell>
          <cell r="C71">
            <v>0.1448108187458263</v>
          </cell>
          <cell r="D71">
            <v>0.21837852762519255</v>
          </cell>
          <cell r="E71">
            <v>7.3567708879366256E-2</v>
          </cell>
          <cell r="H71">
            <v>0.28642824328651179</v>
          </cell>
          <cell r="I71">
            <v>1.4874090186564042</v>
          </cell>
        </row>
        <row r="72">
          <cell r="A72" t="str">
            <v>Diluted EPS after Extraordinary</v>
          </cell>
          <cell r="C72">
            <v>0.1448108187458263</v>
          </cell>
          <cell r="D72">
            <v>0.21837852762519255</v>
          </cell>
          <cell r="E72">
            <v>7.3567708879366256E-2</v>
          </cell>
          <cell r="H72">
            <v>0.28642824328651179</v>
          </cell>
          <cell r="I72">
            <v>1.4874090186564042</v>
          </cell>
        </row>
        <row r="73">
          <cell r="A73" t="str">
            <v>Normalized Earnings Per Share</v>
          </cell>
          <cell r="C73">
            <v>9.8558316626914777E-2</v>
          </cell>
          <cell r="D73">
            <v>0.21827680413869271</v>
          </cell>
          <cell r="E73">
            <v>0.11971848751177794</v>
          </cell>
          <cell r="H73">
            <v>0.28619854384475102</v>
          </cell>
          <cell r="I73">
            <v>1.4877994366825622</v>
          </cell>
        </row>
        <row r="75">
          <cell r="A75" t="str">
            <v xml:space="preserve">FFO Per Share - Diluted </v>
          </cell>
          <cell r="C75">
            <v>0.59153414925826631</v>
          </cell>
          <cell r="D75">
            <v>0.61465168479808241</v>
          </cell>
          <cell r="E75">
            <v>2.3117535539816103E-2</v>
          </cell>
          <cell r="H75">
            <v>0.66514775977121066</v>
          </cell>
          <cell r="I75">
            <v>0.60804548612660392</v>
          </cell>
        </row>
        <row r="77">
          <cell r="A77" t="str">
            <v>Adjusted FFO Per Share - Diluted</v>
          </cell>
          <cell r="C77">
            <v>0.39684389253281066</v>
          </cell>
          <cell r="D77">
            <v>0.37052053361234633</v>
          </cell>
          <cell r="E77">
            <v>-2.6323358920464335E-2</v>
          </cell>
          <cell r="H77">
            <v>0.42274442108780086</v>
          </cell>
          <cell r="I77">
            <v>0.40785437407624309</v>
          </cell>
        </row>
        <row r="78">
          <cell r="A78" t="str">
            <v>NOI Per Share</v>
          </cell>
          <cell r="C78">
            <v>0.76559758416382817</v>
          </cell>
          <cell r="D78">
            <v>0.89734647019501845</v>
          </cell>
          <cell r="E78">
            <v>0.13174888603119028</v>
          </cell>
          <cell r="H78">
            <v>0.95695571673186419</v>
          </cell>
          <cell r="I78">
            <v>0.79374773418109823</v>
          </cell>
        </row>
        <row r="79">
          <cell r="A79" t="str">
            <v>EBITDA Per Share</v>
          </cell>
          <cell r="C79">
            <v>0.80545419598813872</v>
          </cell>
          <cell r="D79">
            <v>0.87603539977330191</v>
          </cell>
          <cell r="E79">
            <v>7.0581203785163193E-2</v>
          </cell>
          <cell r="H79">
            <v>0.9976751632258154</v>
          </cell>
          <cell r="I79">
            <v>0.84077916283220389</v>
          </cell>
        </row>
        <row r="81">
          <cell r="A81" t="str">
            <v>Dividends Per Share</v>
          </cell>
          <cell r="C81">
            <v>1.56</v>
          </cell>
          <cell r="D81">
            <v>0.47</v>
          </cell>
          <cell r="E81">
            <v>-1.0900000000000001</v>
          </cell>
          <cell r="H81">
            <v>0.46500000000000002</v>
          </cell>
          <cell r="I81">
            <v>0.47</v>
          </cell>
        </row>
        <row r="83">
          <cell r="A83" t="str">
            <v xml:space="preserve">Payout Ratio (Net Income) </v>
          </cell>
          <cell r="C83">
            <v>10.772675781483779</v>
          </cell>
          <cell r="D83">
            <v>2.1522262518715687</v>
          </cell>
          <cell r="E83">
            <v>-8.620449529612209</v>
          </cell>
          <cell r="H83">
            <v>1.6234432563791008</v>
          </cell>
          <cell r="I83">
            <v>0.31598571348219812</v>
          </cell>
        </row>
        <row r="84">
          <cell r="A84" t="str">
            <v xml:space="preserve">Payout Ratio (FFO) </v>
          </cell>
          <cell r="C84">
            <v>2.6372103824540103</v>
          </cell>
          <cell r="D84">
            <v>0.76466072024906018</v>
          </cell>
          <cell r="E84">
            <v>-1.8725496622049502</v>
          </cell>
          <cell r="H84">
            <v>0.69909278527818386</v>
          </cell>
          <cell r="I84">
            <v>0.77296848792351558</v>
          </cell>
        </row>
        <row r="85">
          <cell r="A85" t="str">
            <v xml:space="preserve">Payout Ratio (AFFO) </v>
          </cell>
          <cell r="C85">
            <v>3.9310167785208407</v>
          </cell>
          <cell r="D85">
            <v>1.268485704200494</v>
          </cell>
          <cell r="E85">
            <v>-2.6625310743203467</v>
          </cell>
          <cell r="H85">
            <v>1.0999553791945205</v>
          </cell>
          <cell r="I85">
            <v>1.1523720962034836</v>
          </cell>
        </row>
        <row r="87">
          <cell r="A87" t="str">
            <v>Shares Outstanding</v>
          </cell>
          <cell r="C87">
            <v>137859.5</v>
          </cell>
          <cell r="D87">
            <v>136855</v>
          </cell>
          <cell r="E87">
            <v>-1004.5</v>
          </cell>
          <cell r="H87">
            <v>142716</v>
          </cell>
          <cell r="I87">
            <v>142663</v>
          </cell>
        </row>
        <row r="88">
          <cell r="A88" t="str">
            <v>Other dilutive securities</v>
          </cell>
          <cell r="C88">
            <v>773</v>
          </cell>
          <cell r="D88">
            <v>773</v>
          </cell>
          <cell r="E88">
            <v>0</v>
          </cell>
          <cell r="H88">
            <v>950</v>
          </cell>
          <cell r="I88">
            <v>773</v>
          </cell>
        </row>
        <row r="89">
          <cell r="A89" t="str">
            <v>Diluted Shares O/S (Thous.)</v>
          </cell>
          <cell r="C89">
            <v>138632.5</v>
          </cell>
          <cell r="D89">
            <v>137628</v>
          </cell>
          <cell r="E89">
            <v>-1004.5</v>
          </cell>
          <cell r="H89">
            <v>143666</v>
          </cell>
          <cell r="I89">
            <v>143436</v>
          </cell>
        </row>
        <row r="90">
          <cell r="A90" t="str">
            <v>Units Outstanding</v>
          </cell>
          <cell r="C90">
            <v>13447</v>
          </cell>
          <cell r="D90">
            <v>13399</v>
          </cell>
          <cell r="E90">
            <v>-48</v>
          </cell>
          <cell r="H90">
            <v>13684</v>
          </cell>
          <cell r="I90">
            <v>13447</v>
          </cell>
        </row>
        <row r="91">
          <cell r="A91" t="str">
            <v>Convertible D &amp; G Equivalents</v>
          </cell>
          <cell r="C91">
            <v>0</v>
          </cell>
          <cell r="D91">
            <v>0</v>
          </cell>
          <cell r="E91">
            <v>0</v>
          </cell>
          <cell r="H91">
            <v>0</v>
          </cell>
          <cell r="I91">
            <v>0</v>
          </cell>
        </row>
        <row r="92">
          <cell r="A92" t="str">
            <v>JV Covertible Equivalents</v>
          </cell>
          <cell r="C92">
            <v>0</v>
          </cell>
          <cell r="D92">
            <v>0</v>
          </cell>
          <cell r="E92">
            <v>0</v>
          </cell>
          <cell r="H92">
            <v>0</v>
          </cell>
          <cell r="I92">
            <v>0</v>
          </cell>
        </row>
        <row r="93">
          <cell r="A93" t="str">
            <v>Diluted Shares and Units (Thous.)</v>
          </cell>
          <cell r="C93">
            <v>152079.5</v>
          </cell>
          <cell r="D93">
            <v>151027</v>
          </cell>
          <cell r="E93">
            <v>-1052.5</v>
          </cell>
          <cell r="H93">
            <v>157350</v>
          </cell>
          <cell r="I93">
            <v>156883</v>
          </cell>
        </row>
        <row r="98">
          <cell r="A98" t="str">
            <v>Gregory Whyte</v>
          </cell>
          <cell r="I98" t="str">
            <v>(212) 761-6331</v>
          </cell>
        </row>
        <row r="99">
          <cell r="A99" t="str">
            <v>Morgan Stanley  REIT Research</v>
          </cell>
          <cell r="I99" t="str">
            <v>Gregory.Whyte@morganstanley.com</v>
          </cell>
        </row>
      </sheetData>
      <sheetData sheetId="16" refreshError="1">
        <row r="1">
          <cell r="A1" t="str">
            <v>Duke Realty (DRE)</v>
          </cell>
          <cell r="I1" t="str">
            <v>Gregory Whyte</v>
          </cell>
        </row>
        <row r="2">
          <cell r="A2" t="str">
            <v>3Q05 Earnings Variance Analysis Worksheet</v>
          </cell>
          <cell r="I2" t="str">
            <v>Morgan Stanley REIT Research Team</v>
          </cell>
        </row>
        <row r="3">
          <cell r="A3" t="str">
            <v>($ in Thousands, Except per Share Amounts)</v>
          </cell>
          <cell r="I3" t="str">
            <v>(212) 761-6331   Gregory.Whtye@morganstanley.com</v>
          </cell>
        </row>
        <row r="5">
          <cell r="C5">
            <v>49</v>
          </cell>
          <cell r="D5">
            <v>49</v>
          </cell>
          <cell r="H5">
            <v>44</v>
          </cell>
          <cell r="I5">
            <v>48</v>
          </cell>
        </row>
        <row r="6">
          <cell r="C6" t="str">
            <v>MS</v>
          </cell>
          <cell r="D6" t="str">
            <v>Reported</v>
          </cell>
          <cell r="F6" t="str">
            <v>Per Share</v>
          </cell>
        </row>
        <row r="7">
          <cell r="A7" t="str">
            <v>Year Ends December 31</v>
          </cell>
          <cell r="C7" t="str">
            <v>3Q05E</v>
          </cell>
          <cell r="D7" t="str">
            <v>3Q05A</v>
          </cell>
          <cell r="E7" t="str">
            <v>Variance</v>
          </cell>
          <cell r="F7" t="str">
            <v>Impact</v>
          </cell>
          <cell r="G7" t="str">
            <v>Comments</v>
          </cell>
          <cell r="H7" t="str">
            <v>3Q04A</v>
          </cell>
          <cell r="I7" t="str">
            <v>2Q05A</v>
          </cell>
        </row>
        <row r="8">
          <cell r="A8" t="str">
            <v>RENTAL OPERATIONS</v>
          </cell>
        </row>
        <row r="9">
          <cell r="A9" t="str">
            <v>Rental Income</v>
          </cell>
          <cell r="C9">
            <v>189955.70499999999</v>
          </cell>
          <cell r="D9">
            <v>173159</v>
          </cell>
          <cell r="E9">
            <v>-16796.704999999987</v>
          </cell>
          <cell r="F9">
            <v>-0.10706516958497726</v>
          </cell>
          <cell r="H9">
            <v>188751</v>
          </cell>
          <cell r="I9">
            <v>189482</v>
          </cell>
        </row>
        <row r="10">
          <cell r="A10" t="str">
            <v>Equity in Unconsolidated Cos.</v>
          </cell>
          <cell r="C10">
            <v>6259.6992074214177</v>
          </cell>
          <cell r="D10">
            <v>4143</v>
          </cell>
          <cell r="E10">
            <v>-2116.6992074214177</v>
          </cell>
          <cell r="F10">
            <v>-1.3492215265015442E-2</v>
          </cell>
          <cell r="H10">
            <v>6220</v>
          </cell>
          <cell r="I10">
            <v>15684</v>
          </cell>
        </row>
        <row r="11">
          <cell r="A11" t="str">
            <v>Total Income</v>
          </cell>
          <cell r="C11">
            <v>196215.40420742141</v>
          </cell>
          <cell r="D11">
            <v>177302</v>
          </cell>
          <cell r="E11">
            <v>-18913.404207421409</v>
          </cell>
          <cell r="F11">
            <v>-0.12055738484999272</v>
          </cell>
          <cell r="H11">
            <v>194971</v>
          </cell>
          <cell r="I11">
            <v>205166</v>
          </cell>
        </row>
        <row r="13">
          <cell r="A13" t="str">
            <v>Rental Expenses</v>
          </cell>
          <cell r="C13">
            <v>-43332.471024999999</v>
          </cell>
          <cell r="D13">
            <v>-41251</v>
          </cell>
          <cell r="E13">
            <v>2081.4710249999989</v>
          </cell>
          <cell r="F13">
            <v>1.3267664597183882E-2</v>
          </cell>
          <cell r="H13">
            <v>-40970</v>
          </cell>
          <cell r="I13">
            <v>-42277</v>
          </cell>
        </row>
        <row r="14">
          <cell r="A14" t="str">
            <v>Real Estate Taxes</v>
          </cell>
          <cell r="C14">
            <v>-22988.846794999998</v>
          </cell>
          <cell r="D14">
            <v>-22199</v>
          </cell>
          <cell r="E14">
            <v>789.84679499999766</v>
          </cell>
          <cell r="F14">
            <v>5.0346232224013927E-3</v>
          </cell>
          <cell r="H14">
            <v>-22404</v>
          </cell>
          <cell r="I14">
            <v>-23121</v>
          </cell>
        </row>
        <row r="15">
          <cell r="A15" t="str">
            <v>Acq. &amp; Develop. NOI</v>
          </cell>
          <cell r="C15">
            <v>1805.0720742333333</v>
          </cell>
          <cell r="D15">
            <v>0</v>
          </cell>
          <cell r="E15">
            <v>-1805.0720742333333</v>
          </cell>
          <cell r="F15">
            <v>-1.1505848780513715E-2</v>
          </cell>
        </row>
        <row r="16">
          <cell r="A16" t="str">
            <v>Net Operating Income</v>
          </cell>
          <cell r="C16">
            <v>131699.15846165473</v>
          </cell>
          <cell r="D16">
            <v>113852</v>
          </cell>
          <cell r="E16">
            <v>-17847.158461654733</v>
          </cell>
          <cell r="F16">
            <v>-0.1137609458109211</v>
          </cell>
          <cell r="H16">
            <v>131597</v>
          </cell>
          <cell r="I16">
            <v>139768</v>
          </cell>
        </row>
        <row r="18">
          <cell r="A18" t="str">
            <v>SERVICE OPERATIONS</v>
          </cell>
        </row>
        <row r="19">
          <cell r="A19" t="str">
            <v>Gross Contractor Revenue</v>
          </cell>
          <cell r="C19">
            <v>97423.319437500002</v>
          </cell>
          <cell r="D19">
            <v>102826.08</v>
          </cell>
          <cell r="E19">
            <v>5402.7605624999997</v>
          </cell>
          <cell r="F19">
            <v>3.4438151759591543E-2</v>
          </cell>
          <cell r="H19">
            <v>90932</v>
          </cell>
          <cell r="I19">
            <v>101808</v>
          </cell>
        </row>
        <row r="20">
          <cell r="A20" t="str">
            <v>Gross Contractor Costs</v>
          </cell>
          <cell r="C20">
            <v>-87193.870896562497</v>
          </cell>
          <cell r="D20">
            <v>-94599.993600000002</v>
          </cell>
          <cell r="E20">
            <v>-7406.1227034375042</v>
          </cell>
          <cell r="F20">
            <v>-4.7207936509612289E-2</v>
          </cell>
          <cell r="H20">
            <v>-84368</v>
          </cell>
          <cell r="I20">
            <v>-94597</v>
          </cell>
        </row>
        <row r="21">
          <cell r="A21" t="str">
            <v xml:space="preserve">  Net Contractor Revenue</v>
          </cell>
          <cell r="C21">
            <v>10229.448540937505</v>
          </cell>
          <cell r="D21">
            <v>8226.0864000000001</v>
          </cell>
          <cell r="E21">
            <v>-2003.3621409375046</v>
          </cell>
          <cell r="F21">
            <v>-1.2769784750020746E-2</v>
          </cell>
          <cell r="H21">
            <v>6564</v>
          </cell>
          <cell r="I21">
            <v>7211</v>
          </cell>
        </row>
        <row r="22">
          <cell r="A22" t="str">
            <v>Construction and Devel. Activity Income (Devel Gains)</v>
          </cell>
          <cell r="C22">
            <v>4463.75</v>
          </cell>
          <cell r="D22">
            <v>9994.9135999999999</v>
          </cell>
          <cell r="E22">
            <v>5531.1635999999999</v>
          </cell>
          <cell r="F22">
            <v>3.5256615439531368E-2</v>
          </cell>
          <cell r="H22">
            <v>4794</v>
          </cell>
          <cell r="I22">
            <v>12038</v>
          </cell>
        </row>
        <row r="23">
          <cell r="A23" t="str">
            <v>Property Mgmt. Maint. &amp; Leasing Fees</v>
          </cell>
          <cell r="C23">
            <v>3779.42</v>
          </cell>
          <cell r="D23">
            <v>4092</v>
          </cell>
          <cell r="E23">
            <v>312.58</v>
          </cell>
          <cell r="F23">
            <v>1.9924402261557971E-3</v>
          </cell>
          <cell r="H23">
            <v>3742</v>
          </cell>
          <cell r="I23">
            <v>4153</v>
          </cell>
        </row>
        <row r="24">
          <cell r="A24" t="str">
            <v>Other Income</v>
          </cell>
          <cell r="C24">
            <v>1834</v>
          </cell>
          <cell r="D24">
            <v>271</v>
          </cell>
          <cell r="E24">
            <v>-1563</v>
          </cell>
          <cell r="F24">
            <v>-9.9628385484724288E-3</v>
          </cell>
          <cell r="H24">
            <v>2334</v>
          </cell>
          <cell r="I24">
            <v>346</v>
          </cell>
        </row>
        <row r="25">
          <cell r="A25" t="str">
            <v>Operating Expenses</v>
          </cell>
          <cell r="C25">
            <v>-13302.566009431284</v>
          </cell>
          <cell r="D25">
            <v>-10588</v>
          </cell>
          <cell r="E25">
            <v>2714.5660094312843</v>
          </cell>
          <cell r="F25">
            <v>1.7303124044232225E-2</v>
          </cell>
          <cell r="H25">
            <v>-11093</v>
          </cell>
          <cell r="I25">
            <v>-11485</v>
          </cell>
        </row>
        <row r="26">
          <cell r="A26" t="str">
            <v>General and Administrative</v>
          </cell>
          <cell r="C26">
            <v>-5529.3696670010777</v>
          </cell>
          <cell r="D26">
            <v>-5250</v>
          </cell>
          <cell r="E26">
            <v>279.36966700107769</v>
          </cell>
          <cell r="F26">
            <v>1.7807516875702127E-3</v>
          </cell>
          <cell r="H26">
            <v>-6892</v>
          </cell>
          <cell r="I26">
            <v>-6280</v>
          </cell>
        </row>
        <row r="28">
          <cell r="A28" t="str">
            <v>EBITDA</v>
          </cell>
          <cell r="C28">
            <v>133173.84132615986</v>
          </cell>
          <cell r="D28">
            <v>120598</v>
          </cell>
          <cell r="E28">
            <v>-12575.841326159862</v>
          </cell>
          <cell r="F28">
            <v>-8.0160637711924568E-2</v>
          </cell>
          <cell r="H28">
            <v>131046</v>
          </cell>
          <cell r="I28">
            <v>145751</v>
          </cell>
        </row>
        <row r="30">
          <cell r="A30" t="str">
            <v>Interest Expense</v>
          </cell>
          <cell r="C30">
            <v>35921</v>
          </cell>
          <cell r="D30">
            <v>31522</v>
          </cell>
          <cell r="E30">
            <v>4399</v>
          </cell>
          <cell r="F30">
            <v>2.8040004334440316E-2</v>
          </cell>
          <cell r="H30">
            <v>34423</v>
          </cell>
          <cell r="I30">
            <v>35921</v>
          </cell>
        </row>
        <row r="31">
          <cell r="A31" t="str">
            <v>Depreciation and Amortization</v>
          </cell>
          <cell r="C31">
            <v>64924.495927836935</v>
          </cell>
          <cell r="D31">
            <v>61245</v>
          </cell>
          <cell r="E31">
            <v>3679.4959278369352</v>
          </cell>
          <cell r="F31">
            <v>2.3453758073449228E-2</v>
          </cell>
          <cell r="H31">
            <v>61447</v>
          </cell>
          <cell r="I31">
            <v>63789</v>
          </cell>
        </row>
        <row r="32">
          <cell r="A32" t="str">
            <v>Interest Income</v>
          </cell>
          <cell r="C32">
            <v>1296.6484563019237</v>
          </cell>
          <cell r="D32">
            <v>1683</v>
          </cell>
          <cell r="E32">
            <v>386.35154369807628</v>
          </cell>
          <cell r="F32">
            <v>2.4626730984114039E-3</v>
          </cell>
          <cell r="H32">
            <v>1223</v>
          </cell>
          <cell r="I32">
            <v>1083</v>
          </cell>
        </row>
        <row r="33">
          <cell r="A33" t="str">
            <v>Other Expense</v>
          </cell>
          <cell r="C33">
            <v>-79.574681508750032</v>
          </cell>
          <cell r="D33">
            <v>-166</v>
          </cell>
          <cell r="E33">
            <v>-86.425318491249968</v>
          </cell>
          <cell r="F33">
            <v>-5.5089027167538841E-4</v>
          </cell>
          <cell r="H33">
            <v>-260</v>
          </cell>
          <cell r="I33">
            <v>-166</v>
          </cell>
        </row>
        <row r="34">
          <cell r="A34" t="str">
            <v>Other Min. Int. in Earn. of Subs.</v>
          </cell>
          <cell r="C34">
            <v>-37.746964305432712</v>
          </cell>
          <cell r="D34">
            <v>-1396</v>
          </cell>
          <cell r="E34">
            <v>1358.2530356945672</v>
          </cell>
          <cell r="F34">
            <v>8.6577451712076328E-3</v>
          </cell>
          <cell r="H34">
            <v>-275</v>
          </cell>
          <cell r="I34">
            <v>-29</v>
          </cell>
        </row>
        <row r="35">
          <cell r="A35" t="str">
            <v>Preferred Issuance Costs</v>
          </cell>
          <cell r="C35">
            <v>0</v>
          </cell>
          <cell r="D35">
            <v>0</v>
          </cell>
          <cell r="E35">
            <v>0</v>
          </cell>
          <cell r="F35">
            <v>0</v>
          </cell>
          <cell r="H35">
            <v>0</v>
          </cell>
          <cell r="I35">
            <v>0</v>
          </cell>
        </row>
        <row r="36">
          <cell r="A36" t="str">
            <v>NI Before Gains &amp; Minority Int.</v>
          </cell>
          <cell r="C36">
            <v>33507.672208810669</v>
          </cell>
          <cell r="D36">
            <v>27952</v>
          </cell>
          <cell r="E36">
            <v>-5555.672208810669</v>
          </cell>
          <cell r="F36">
            <v>-3.5412837648506654E-2</v>
          </cell>
          <cell r="H36">
            <v>35864</v>
          </cell>
          <cell r="I36">
            <v>46929</v>
          </cell>
        </row>
        <row r="38">
          <cell r="A38" t="str">
            <v>Gains On Sale</v>
          </cell>
          <cell r="C38">
            <v>15000</v>
          </cell>
          <cell r="D38">
            <v>-56</v>
          </cell>
          <cell r="E38">
            <v>-15056</v>
          </cell>
          <cell r="F38">
            <v>-9.5969607924376768E-2</v>
          </cell>
          <cell r="H38">
            <v>0</v>
          </cell>
          <cell r="I38">
            <v>242</v>
          </cell>
        </row>
        <row r="39">
          <cell r="A39" t="str">
            <v>Land Sales Gains - incl. in FFO</v>
          </cell>
          <cell r="C39">
            <v>3500</v>
          </cell>
          <cell r="D39">
            <v>2506</v>
          </cell>
          <cell r="E39">
            <v>-994</v>
          </cell>
          <cell r="F39">
            <v>-6.3359318727969254E-3</v>
          </cell>
          <cell r="H39">
            <v>3387</v>
          </cell>
          <cell r="I39">
            <v>3779</v>
          </cell>
        </row>
        <row r="40">
          <cell r="A40" t="str">
            <v>Min Interest in Earnings of Pfd Unitholders</v>
          </cell>
          <cell r="C40">
            <v>0</v>
          </cell>
          <cell r="D40">
            <v>0</v>
          </cell>
          <cell r="E40">
            <v>0</v>
          </cell>
          <cell r="F40">
            <v>0</v>
          </cell>
          <cell r="H40">
            <v>0</v>
          </cell>
          <cell r="I40">
            <v>0</v>
          </cell>
        </row>
        <row r="41">
          <cell r="A41" t="str">
            <v>Min Interest in Earnings of Unitholders</v>
          </cell>
          <cell r="C41">
            <v>2362.7559278751937</v>
          </cell>
          <cell r="D41">
            <v>1821</v>
          </cell>
          <cell r="E41">
            <v>541.75592787519372</v>
          </cell>
          <cell r="F41">
            <v>3.4532481395383422E-3</v>
          </cell>
          <cell r="H41">
            <v>2928</v>
          </cell>
          <cell r="I41">
            <v>3480</v>
          </cell>
        </row>
        <row r="42">
          <cell r="A42" t="str">
            <v>Net Income</v>
          </cell>
          <cell r="C42">
            <v>49644.916280935475</v>
          </cell>
          <cell r="D42">
            <v>28502</v>
          </cell>
          <cell r="E42">
            <v>-21142.916280935475</v>
          </cell>
          <cell r="F42">
            <v>-0.13476868928395985</v>
          </cell>
          <cell r="H42">
            <v>36323</v>
          </cell>
          <cell r="I42">
            <v>46715</v>
          </cell>
        </row>
        <row r="43">
          <cell r="A43" t="str">
            <v>Preferred Dividend</v>
          </cell>
          <cell r="C43">
            <v>11620</v>
          </cell>
          <cell r="D43">
            <v>11619</v>
          </cell>
          <cell r="E43">
            <v>1</v>
          </cell>
          <cell r="F43">
            <v>6.3741769344033455E-6</v>
          </cell>
          <cell r="H43">
            <v>8320</v>
          </cell>
          <cell r="I43">
            <v>11620</v>
          </cell>
        </row>
        <row r="44">
          <cell r="A44" t="str">
            <v>Net Income from Discontinued Operations</v>
          </cell>
          <cell r="C44">
            <v>512</v>
          </cell>
          <cell r="D44">
            <v>3853</v>
          </cell>
          <cell r="E44">
            <v>3341</v>
          </cell>
          <cell r="F44">
            <v>2.1296125137841578E-2</v>
          </cell>
          <cell r="H44">
            <v>978</v>
          </cell>
          <cell r="I44">
            <v>512</v>
          </cell>
        </row>
        <row r="45">
          <cell r="A45" t="str">
            <v>Gain on Sale of Discontinued Operations</v>
          </cell>
          <cell r="C45">
            <v>4692</v>
          </cell>
          <cell r="D45">
            <v>192612</v>
          </cell>
          <cell r="E45">
            <v>187920</v>
          </cell>
          <cell r="F45">
            <v>1.1978353295130766</v>
          </cell>
          <cell r="H45">
            <v>13546</v>
          </cell>
          <cell r="I45">
            <v>4692</v>
          </cell>
        </row>
        <row r="46">
          <cell r="A46" t="str">
            <v>Net Income Avail. to Common</v>
          </cell>
          <cell r="C46">
            <v>43228.916280935475</v>
          </cell>
          <cell r="D46">
            <v>213348</v>
          </cell>
          <cell r="E46">
            <v>170119.08371906454</v>
          </cell>
          <cell r="F46">
            <v>1.0843691395438928</v>
          </cell>
          <cell r="H46">
            <v>42527</v>
          </cell>
          <cell r="I46">
            <v>40299</v>
          </cell>
        </row>
        <row r="47">
          <cell r="B47" t="str">
            <v>Adjustment OP units</v>
          </cell>
          <cell r="C47" t="e">
            <v>#N/A</v>
          </cell>
          <cell r="D47" t="e">
            <v>#N/A</v>
          </cell>
          <cell r="H47" t="e">
            <v>#N/A</v>
          </cell>
          <cell r="I47" t="e">
            <v>#N/A</v>
          </cell>
        </row>
        <row r="48">
          <cell r="B48" t="str">
            <v>Adjustment: Gains and Extraordinary Items</v>
          </cell>
          <cell r="C48" t="e">
            <v>#N/A</v>
          </cell>
          <cell r="D48" t="e">
            <v>#N/A</v>
          </cell>
          <cell r="E48" t="e">
            <v>#N/A</v>
          </cell>
          <cell r="F48" t="e">
            <v>#N/A</v>
          </cell>
          <cell r="H48" t="e">
            <v>#N/A</v>
          </cell>
          <cell r="I48" t="e">
            <v>#N/A</v>
          </cell>
        </row>
        <row r="49">
          <cell r="A49" t="str">
            <v>Normalized Earnings</v>
          </cell>
          <cell r="C49">
            <v>28228.916280935475</v>
          </cell>
          <cell r="D49">
            <v>213404</v>
          </cell>
          <cell r="E49">
            <v>185175.08371906454</v>
          </cell>
          <cell r="F49">
            <v>1.1803387474682696</v>
          </cell>
          <cell r="H49">
            <v>42527</v>
          </cell>
          <cell r="I49">
            <v>40057</v>
          </cell>
        </row>
        <row r="51">
          <cell r="A51" t="str">
            <v xml:space="preserve">  + Depreciation and Amortization</v>
          </cell>
          <cell r="C51">
            <v>64924.495927836935</v>
          </cell>
          <cell r="D51">
            <v>67623</v>
          </cell>
          <cell r="E51">
            <v>-2698.5040721630648</v>
          </cell>
          <cell r="F51">
            <v>-1.7200742414175307E-2</v>
          </cell>
          <cell r="H51">
            <v>61511</v>
          </cell>
          <cell r="I51">
            <v>64124</v>
          </cell>
        </row>
        <row r="52">
          <cell r="A52" t="str">
            <v xml:space="preserve">  + Depr. &amp; Amort. on J.V.'s</v>
          </cell>
          <cell r="C52">
            <v>5190.1499999999996</v>
          </cell>
          <cell r="D52">
            <v>5003</v>
          </cell>
          <cell r="E52">
            <v>187.15</v>
          </cell>
          <cell r="F52">
            <v>1.1929272132735838E-3</v>
          </cell>
          <cell r="H52">
            <v>4686</v>
          </cell>
          <cell r="I52">
            <v>4943</v>
          </cell>
        </row>
        <row r="53">
          <cell r="A53" t="str">
            <v xml:space="preserve">  - Earnings from Property Sales</v>
          </cell>
          <cell r="C53">
            <v>-19692</v>
          </cell>
          <cell r="D53">
            <v>-210837</v>
          </cell>
          <cell r="E53">
            <v>-191145</v>
          </cell>
          <cell r="F53">
            <v>-1.2183920501265275</v>
          </cell>
          <cell r="H53">
            <v>-14873</v>
          </cell>
          <cell r="I53">
            <v>-17062</v>
          </cell>
        </row>
        <row r="54">
          <cell r="A54" t="str">
            <v xml:space="preserve">  - MI Share of Add-Backs</v>
          </cell>
          <cell r="C54">
            <v>-3030.166582214652</v>
          </cell>
          <cell r="D54">
            <v>12038</v>
          </cell>
          <cell r="E54">
            <v>15068.166582214651</v>
          </cell>
          <cell r="F54">
            <v>9.6047159872099913E-2</v>
          </cell>
          <cell r="H54">
            <v>-4574</v>
          </cell>
          <cell r="I54">
            <v>-4463</v>
          </cell>
        </row>
        <row r="55">
          <cell r="A55" t="str">
            <v xml:space="preserve"> Funds From Operations</v>
          </cell>
          <cell r="C55">
            <v>90621.395626557758</v>
          </cell>
          <cell r="D55">
            <v>87175</v>
          </cell>
          <cell r="E55">
            <v>-3446.3956265577581</v>
          </cell>
          <cell r="F55">
            <v>-2.1967935509633028E-2</v>
          </cell>
          <cell r="H55">
            <v>89277</v>
          </cell>
          <cell r="I55">
            <v>87841</v>
          </cell>
        </row>
        <row r="57">
          <cell r="A57" t="str">
            <v xml:space="preserve"> - TIs &amp; Leasing Commisions</v>
          </cell>
          <cell r="C57">
            <v>13169.915846165473</v>
          </cell>
          <cell r="D57">
            <v>22141</v>
          </cell>
          <cell r="E57">
            <v>-8971.0841538345267</v>
          </cell>
          <cell r="F57">
            <v>-5.718327768996339E-2</v>
          </cell>
          <cell r="H57">
            <v>22116</v>
          </cell>
          <cell r="I57">
            <v>25932</v>
          </cell>
        </row>
        <row r="58">
          <cell r="A58" t="str">
            <v xml:space="preserve"> - Capital Expenditures</v>
          </cell>
          <cell r="C58">
            <v>2633.9831692330949</v>
          </cell>
          <cell r="D58">
            <v>4188</v>
          </cell>
          <cell r="E58">
            <v>-1554.0168307669051</v>
          </cell>
          <cell r="F58">
            <v>-9.9055782383489933E-3</v>
          </cell>
          <cell r="H58">
            <v>6922</v>
          </cell>
          <cell r="I58">
            <v>3850</v>
          </cell>
        </row>
        <row r="59">
          <cell r="A59" t="str">
            <v xml:space="preserve"> - Adjustment For Straight-lining</v>
          </cell>
          <cell r="C59">
            <v>6594.4966829815421</v>
          </cell>
          <cell r="D59">
            <v>6287</v>
          </cell>
          <cell r="E59">
            <v>307.49668298154211</v>
          </cell>
          <cell r="F59">
            <v>1.9600382640664834E-3</v>
          </cell>
          <cell r="H59">
            <v>4737</v>
          </cell>
          <cell r="I59">
            <v>5361</v>
          </cell>
        </row>
        <row r="60">
          <cell r="A60" t="str">
            <v xml:space="preserve"> + Other Adjustments1</v>
          </cell>
          <cell r="C60">
            <v>1900.2796107783206</v>
          </cell>
          <cell r="D60">
            <v>3942</v>
          </cell>
          <cell r="E60">
            <v>2041.7203892216794</v>
          </cell>
          <cell r="F60">
            <v>1.3014287011477849E-2</v>
          </cell>
          <cell r="H60">
            <v>4595</v>
          </cell>
          <cell r="I60">
            <v>4694</v>
          </cell>
        </row>
        <row r="61">
          <cell r="A61" t="str">
            <v>Adjusted Funds From Operations</v>
          </cell>
          <cell r="C61">
            <v>70123.279538955976</v>
          </cell>
          <cell r="D61">
            <v>58501</v>
          </cell>
          <cell r="E61">
            <v>-11622.279538955976</v>
          </cell>
          <cell r="F61">
            <v>-7.4082466162401134E-2</v>
          </cell>
          <cell r="H61">
            <v>60097</v>
          </cell>
          <cell r="I61">
            <v>57392</v>
          </cell>
        </row>
        <row r="63">
          <cell r="A63" t="str">
            <v>Diluted FFO</v>
          </cell>
        </row>
        <row r="64">
          <cell r="A64" t="str">
            <v xml:space="preserve">  Basic FFO</v>
          </cell>
          <cell r="C64">
            <v>90621.395626557758</v>
          </cell>
          <cell r="D64">
            <v>87175</v>
          </cell>
          <cell r="E64">
            <v>-3446.3956265577581</v>
          </cell>
          <cell r="F64">
            <v>-2.1967935509633028E-2</v>
          </cell>
          <cell r="H64">
            <v>89277</v>
          </cell>
          <cell r="I64">
            <v>87841</v>
          </cell>
        </row>
        <row r="65">
          <cell r="A65" t="str">
            <v xml:space="preserve">  Preferred Conv D and G</v>
          </cell>
          <cell r="C65">
            <v>0</v>
          </cell>
          <cell r="D65">
            <v>0</v>
          </cell>
          <cell r="E65">
            <v>0</v>
          </cell>
          <cell r="F65">
            <v>0</v>
          </cell>
          <cell r="H65">
            <v>0</v>
          </cell>
          <cell r="I65">
            <v>0</v>
          </cell>
        </row>
        <row r="66">
          <cell r="A66" t="str">
            <v xml:space="preserve">  JV Partner Convertible Ownership FFO</v>
          </cell>
          <cell r="C66">
            <v>0</v>
          </cell>
          <cell r="D66">
            <v>0</v>
          </cell>
          <cell r="E66">
            <v>0</v>
          </cell>
          <cell r="F66">
            <v>0</v>
          </cell>
          <cell r="H66">
            <v>0</v>
          </cell>
          <cell r="I66">
            <v>0</v>
          </cell>
        </row>
        <row r="67">
          <cell r="A67" t="str">
            <v xml:space="preserve">  Unitholder Minority Interest</v>
          </cell>
          <cell r="C67">
            <v>2599.7104735155508</v>
          </cell>
          <cell r="D67">
            <v>20255</v>
          </cell>
          <cell r="E67">
            <v>17655.289526484448</v>
          </cell>
          <cell r="F67">
            <v>0.11253793926993012</v>
          </cell>
          <cell r="H67">
            <v>4190</v>
          </cell>
          <cell r="I67">
            <v>3829</v>
          </cell>
        </row>
        <row r="68">
          <cell r="A68" t="str">
            <v xml:space="preserve">  Minority Interest Share of Add-Backs</v>
          </cell>
          <cell r="C68">
            <v>3030.166582214652</v>
          </cell>
          <cell r="D68">
            <v>-12038</v>
          </cell>
          <cell r="E68">
            <v>-15068.166582214651</v>
          </cell>
          <cell r="F68">
            <v>-9.6047159872099913E-2</v>
          </cell>
          <cell r="H68">
            <v>4574</v>
          </cell>
          <cell r="I68">
            <v>4463</v>
          </cell>
        </row>
        <row r="69">
          <cell r="A69" t="str">
            <v>Total Diluted FFO</v>
          </cell>
          <cell r="C69">
            <v>96251.272682287949</v>
          </cell>
          <cell r="D69">
            <v>95392</v>
          </cell>
          <cell r="E69">
            <v>-859.27268228794856</v>
          </cell>
          <cell r="F69">
            <v>-5.4771561118027359E-3</v>
          </cell>
          <cell r="H69">
            <v>98041</v>
          </cell>
          <cell r="I69">
            <v>96133</v>
          </cell>
        </row>
        <row r="71">
          <cell r="A71" t="str">
            <v>Diluted EPS before Extraordinary</v>
          </cell>
          <cell r="C71">
            <v>0.29672296706337442</v>
          </cell>
          <cell r="D71">
            <v>1.4874090186564042</v>
          </cell>
          <cell r="E71">
            <v>1.1906860515930298</v>
          </cell>
          <cell r="H71">
            <v>0.29704471002395805</v>
          </cell>
          <cell r="I71">
            <v>0.27936334079707181</v>
          </cell>
        </row>
        <row r="72">
          <cell r="A72" t="str">
            <v>Diluted EPS after Extraordinary</v>
          </cell>
          <cell r="C72">
            <v>0.29672296706337442</v>
          </cell>
          <cell r="D72">
            <v>1.4874090186564042</v>
          </cell>
          <cell r="E72">
            <v>1.1906860515930298</v>
          </cell>
          <cell r="H72">
            <v>0.29704471002395805</v>
          </cell>
          <cell r="I72">
            <v>0.27936334079707181</v>
          </cell>
        </row>
        <row r="73">
          <cell r="A73" t="str">
            <v>Normalized Earnings Per Share</v>
          </cell>
          <cell r="C73">
            <v>0.19376307611849089</v>
          </cell>
          <cell r="D73">
            <v>1.4877994366825622</v>
          </cell>
          <cell r="E73">
            <v>1.2940363605640712</v>
          </cell>
          <cell r="H73">
            <v>0.29704471002395805</v>
          </cell>
          <cell r="I73">
            <v>0.27768573270573227</v>
          </cell>
        </row>
        <row r="75">
          <cell r="A75" t="str">
            <v xml:space="preserve">FFO Per Share - Diluted </v>
          </cell>
          <cell r="C75">
            <v>0.60461696801186948</v>
          </cell>
          <cell r="D75">
            <v>0.60804548612660392</v>
          </cell>
          <cell r="E75">
            <v>3.4285181147344357E-3</v>
          </cell>
          <cell r="H75">
            <v>0.62404761147003596</v>
          </cell>
          <cell r="I75">
            <v>0.6093661851304838</v>
          </cell>
        </row>
        <row r="77">
          <cell r="A77" t="str">
            <v>Adjusted FFO Per Share - Diluted</v>
          </cell>
          <cell r="C77">
            <v>0.48132568093523259</v>
          </cell>
          <cell r="D77">
            <v>0.40785437407624309</v>
          </cell>
          <cell r="E77">
            <v>-7.3471306858989505E-2</v>
          </cell>
          <cell r="H77">
            <v>0.41976852207561799</v>
          </cell>
          <cell r="I77">
            <v>0.39785654371139595</v>
          </cell>
        </row>
        <row r="78">
          <cell r="A78" t="str">
            <v>NOI Per Share</v>
          </cell>
          <cell r="C78">
            <v>0.9039820661829937</v>
          </cell>
          <cell r="D78">
            <v>0.79374773418109823</v>
          </cell>
          <cell r="E78">
            <v>-0.11023433200189547</v>
          </cell>
          <cell r="H78">
            <v>0.91918528711225356</v>
          </cell>
          <cell r="I78">
            <v>0.96890879219149684</v>
          </cell>
        </row>
        <row r="79">
          <cell r="A79" t="str">
            <v>EBITDA Per Share</v>
          </cell>
          <cell r="C79">
            <v>0.9141042786435094</v>
          </cell>
          <cell r="D79">
            <v>0.84077916283220389</v>
          </cell>
          <cell r="E79">
            <v>-7.3325115811305519E-2</v>
          </cell>
          <cell r="H79">
            <v>0.91533663483903416</v>
          </cell>
          <cell r="I79">
            <v>1.0103845327306884</v>
          </cell>
        </row>
        <row r="81">
          <cell r="A81" t="str">
            <v>Dividends Per Share</v>
          </cell>
          <cell r="C81">
            <v>0.47</v>
          </cell>
          <cell r="D81">
            <v>0.47</v>
          </cell>
          <cell r="E81">
            <v>0</v>
          </cell>
          <cell r="H81">
            <v>0.46</v>
          </cell>
          <cell r="I81">
            <v>0.47</v>
          </cell>
        </row>
        <row r="83">
          <cell r="A83" t="str">
            <v xml:space="preserve">Payout Ratio (Net Income) </v>
          </cell>
          <cell r="C83">
            <v>1.583969062629442</v>
          </cell>
          <cell r="D83">
            <v>0.31598571348219812</v>
          </cell>
          <cell r="E83">
            <v>-1.2679833491472439</v>
          </cell>
          <cell r="H83">
            <v>1.5485884261763114</v>
          </cell>
          <cell r="I83">
            <v>1.682396833668329</v>
          </cell>
        </row>
        <row r="84">
          <cell r="A84" t="str">
            <v xml:space="preserve">Payout Ratio (FFO) </v>
          </cell>
          <cell r="C84">
            <v>0.77735165380071369</v>
          </cell>
          <cell r="D84">
            <v>0.77296848792351558</v>
          </cell>
          <cell r="E84">
            <v>-4.3831658771981141E-3</v>
          </cell>
          <cell r="H84">
            <v>0.73712324435695276</v>
          </cell>
          <cell r="I84">
            <v>0.77129320836757409</v>
          </cell>
        </row>
        <row r="85">
          <cell r="A85" t="str">
            <v xml:space="preserve">Payout Ratio (AFFO) </v>
          </cell>
          <cell r="C85">
            <v>0.97646981787211851</v>
          </cell>
          <cell r="D85">
            <v>1.1523720962034836</v>
          </cell>
          <cell r="E85">
            <v>0.17590227833136507</v>
          </cell>
          <cell r="H85">
            <v>1.0958420553438608</v>
          </cell>
          <cell r="I85">
            <v>1.181330324783942</v>
          </cell>
        </row>
        <row r="87">
          <cell r="A87" t="str">
            <v>Shares Outstanding</v>
          </cell>
          <cell r="C87">
            <v>144914.79999999999</v>
          </cell>
          <cell r="D87">
            <v>142663</v>
          </cell>
          <cell r="E87">
            <v>-2251.7999999999884</v>
          </cell>
          <cell r="H87">
            <v>142273</v>
          </cell>
          <cell r="I87">
            <v>143480</v>
          </cell>
        </row>
        <row r="88">
          <cell r="A88" t="str">
            <v>Other dilutive securities</v>
          </cell>
          <cell r="C88">
            <v>773</v>
          </cell>
          <cell r="D88">
            <v>773</v>
          </cell>
          <cell r="E88">
            <v>0</v>
          </cell>
          <cell r="H88">
            <v>894</v>
          </cell>
          <cell r="I88">
            <v>773</v>
          </cell>
        </row>
        <row r="89">
          <cell r="A89" t="str">
            <v>Diluted Shares O/S (Thous.)</v>
          </cell>
          <cell r="C89">
            <v>145687.79999999999</v>
          </cell>
          <cell r="D89">
            <v>143436</v>
          </cell>
          <cell r="E89">
            <v>-2251.7999999999884</v>
          </cell>
          <cell r="H89">
            <v>143167</v>
          </cell>
          <cell r="I89">
            <v>144253</v>
          </cell>
        </row>
        <row r="90">
          <cell r="A90" t="str">
            <v>Units Outstanding</v>
          </cell>
          <cell r="C90">
            <v>13506</v>
          </cell>
          <cell r="D90">
            <v>13447</v>
          </cell>
          <cell r="E90">
            <v>-59</v>
          </cell>
          <cell r="H90">
            <v>13938</v>
          </cell>
          <cell r="I90">
            <v>13506</v>
          </cell>
        </row>
        <row r="91">
          <cell r="A91" t="str">
            <v>Convertible D &amp; G Equivalents</v>
          </cell>
          <cell r="C91">
            <v>0</v>
          </cell>
          <cell r="D91">
            <v>0</v>
          </cell>
          <cell r="E91">
            <v>0</v>
          </cell>
          <cell r="H91">
            <v>0</v>
          </cell>
          <cell r="I91">
            <v>0</v>
          </cell>
        </row>
        <row r="92">
          <cell r="A92" t="str">
            <v>JV Covertible Equivalents</v>
          </cell>
          <cell r="C92">
            <v>0</v>
          </cell>
          <cell r="D92">
            <v>0</v>
          </cell>
          <cell r="E92">
            <v>0</v>
          </cell>
          <cell r="H92">
            <v>0</v>
          </cell>
          <cell r="I92">
            <v>0</v>
          </cell>
        </row>
        <row r="93">
          <cell r="A93" t="str">
            <v>Diluted Shares and Units (Thous.)</v>
          </cell>
          <cell r="C93">
            <v>159193.79999999999</v>
          </cell>
          <cell r="D93">
            <v>156883</v>
          </cell>
          <cell r="E93">
            <v>-2310.7999999999884</v>
          </cell>
          <cell r="H93">
            <v>157105</v>
          </cell>
          <cell r="I93">
            <v>157759</v>
          </cell>
        </row>
        <row r="98">
          <cell r="A98" t="str">
            <v>Gregory Whyte</v>
          </cell>
          <cell r="I98" t="str">
            <v>(212) 761-6331</v>
          </cell>
        </row>
        <row r="99">
          <cell r="A99" t="str">
            <v>Morgan Stanley  REIT Research</v>
          </cell>
          <cell r="I99" t="str">
            <v>Gregory.Whyte@morganstanley.com</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1">
          <cell r="A1" t="str">
            <v>Duke Realty (DRE)</v>
          </cell>
          <cell r="I1" t="str">
            <v>Matt Ostrower</v>
          </cell>
        </row>
        <row r="2">
          <cell r="A2" t="str">
            <v>2Q06 Earnings Variance Analysis Worksheet</v>
          </cell>
          <cell r="I2" t="str">
            <v>Morgan Stanley REIT Research Team</v>
          </cell>
        </row>
        <row r="3">
          <cell r="A3" t="str">
            <v>($ in Thousands, Except per Share Amounts)</v>
          </cell>
          <cell r="I3" t="str">
            <v>(212) 761-6284   Matthew.Ostrower@morganstanley.com</v>
          </cell>
        </row>
        <row r="5">
          <cell r="C5">
            <v>53</v>
          </cell>
          <cell r="D5">
            <v>53</v>
          </cell>
          <cell r="H5">
            <v>48</v>
          </cell>
          <cell r="I5">
            <v>52</v>
          </cell>
        </row>
        <row r="6">
          <cell r="C6" t="str">
            <v>MS</v>
          </cell>
          <cell r="D6" t="str">
            <v>Reported</v>
          </cell>
          <cell r="F6" t="str">
            <v>Per Share</v>
          </cell>
        </row>
        <row r="7">
          <cell r="A7" t="str">
            <v>Year Ends December 31</v>
          </cell>
          <cell r="C7" t="str">
            <v>2Q06E</v>
          </cell>
          <cell r="D7" t="str">
            <v>2Q06A</v>
          </cell>
          <cell r="E7" t="str">
            <v>Variance</v>
          </cell>
          <cell r="F7" t="str">
            <v>Impact</v>
          </cell>
          <cell r="G7" t="str">
            <v>Comments</v>
          </cell>
          <cell r="H7" t="str">
            <v>2Q05A</v>
          </cell>
          <cell r="I7" t="str">
            <v>1Q06A</v>
          </cell>
        </row>
        <row r="8">
          <cell r="A8" t="str">
            <v>RENTAL OPERATIONS</v>
          </cell>
        </row>
        <row r="9">
          <cell r="A9" t="str">
            <v>Rental Income</v>
          </cell>
          <cell r="C9">
            <v>188046.27333333335</v>
          </cell>
          <cell r="D9">
            <v>201263</v>
          </cell>
          <cell r="E9">
            <v>13216.726666666655</v>
          </cell>
          <cell r="F9">
            <v>8.8486694696624721E-2</v>
          </cell>
          <cell r="H9">
            <v>189482</v>
          </cell>
          <cell r="I9">
            <v>193745</v>
          </cell>
        </row>
        <row r="10">
          <cell r="A10" t="str">
            <v>Equity in Unconsolidated Cos.</v>
          </cell>
          <cell r="C10">
            <v>5571.4720044875139</v>
          </cell>
          <cell r="D10">
            <v>9696</v>
          </cell>
          <cell r="E10">
            <v>4124.5279955124861</v>
          </cell>
          <cell r="F10">
            <v>2.7613936393725971E-2</v>
          </cell>
          <cell r="H10">
            <v>15684</v>
          </cell>
          <cell r="I10">
            <v>8259</v>
          </cell>
        </row>
        <row r="11">
          <cell r="A11" t="str">
            <v>Total Income</v>
          </cell>
          <cell r="C11">
            <v>193617.74533782084</v>
          </cell>
          <cell r="D11">
            <v>210959</v>
          </cell>
          <cell r="E11">
            <v>17341.254662179155</v>
          </cell>
          <cell r="F11">
            <v>0.11610063109035079</v>
          </cell>
          <cell r="H11">
            <v>205166</v>
          </cell>
          <cell r="I11">
            <v>202004</v>
          </cell>
        </row>
        <row r="13">
          <cell r="A13" t="str">
            <v>Rental Expenses</v>
          </cell>
          <cell r="C13">
            <v>-44777.356462194475</v>
          </cell>
          <cell r="D13">
            <v>-45057</v>
          </cell>
          <cell r="E13">
            <v>-279.64353780552483</v>
          </cell>
          <cell r="F13">
            <v>-1.8722285008805658E-3</v>
          </cell>
          <cell r="H13">
            <v>-42277</v>
          </cell>
          <cell r="I13">
            <v>-46338</v>
          </cell>
        </row>
        <row r="14">
          <cell r="A14" t="str">
            <v>Real Estate Taxes</v>
          </cell>
          <cell r="C14">
            <v>-24869.922986666668</v>
          </cell>
          <cell r="D14">
            <v>-24252</v>
          </cell>
          <cell r="E14">
            <v>617.92298666666829</v>
          </cell>
          <cell r="F14">
            <v>4.1370275746944931E-3</v>
          </cell>
          <cell r="H14">
            <v>-23121</v>
          </cell>
          <cell r="I14">
            <v>-23138</v>
          </cell>
        </row>
        <row r="15">
          <cell r="A15" t="str">
            <v>Acq. &amp; Develop. NOI</v>
          </cell>
          <cell r="C15">
            <v>1482.5649350170534</v>
          </cell>
          <cell r="D15">
            <v>0</v>
          </cell>
          <cell r="E15">
            <v>-1482.5649350170534</v>
          </cell>
          <cell r="F15">
            <v>-9.9258518452709707E-3</v>
          </cell>
        </row>
        <row r="16">
          <cell r="A16" t="str">
            <v>Net Operating Income</v>
          </cell>
          <cell r="C16">
            <v>125453.03082397676</v>
          </cell>
          <cell r="D16">
            <v>141650</v>
          </cell>
          <cell r="E16">
            <v>16196.969176023238</v>
          </cell>
          <cell r="F16">
            <v>0.1084395783188937</v>
          </cell>
          <cell r="H16">
            <v>139768</v>
          </cell>
          <cell r="I16">
            <v>132528</v>
          </cell>
        </row>
        <row r="18">
          <cell r="A18" t="str">
            <v>SERVICE OPERATIONS</v>
          </cell>
        </row>
        <row r="19">
          <cell r="A19" t="str">
            <v>Gross Contractor Revenue</v>
          </cell>
          <cell r="C19">
            <v>86523.461311219493</v>
          </cell>
          <cell r="D19">
            <v>54061</v>
          </cell>
          <cell r="E19">
            <v>-32462.461311219493</v>
          </cell>
          <cell r="F19">
            <v>-0.21733792152874518</v>
          </cell>
          <cell r="H19">
            <v>101808</v>
          </cell>
          <cell r="I19">
            <v>69549</v>
          </cell>
        </row>
        <row r="20">
          <cell r="A20" t="str">
            <v>Gross Contractor Costs</v>
          </cell>
          <cell r="C20">
            <v>-79878.91132684554</v>
          </cell>
          <cell r="D20">
            <v>-48798</v>
          </cell>
          <cell r="E20">
            <v>31080.91132684554</v>
          </cell>
          <cell r="F20">
            <v>0.20808837020195992</v>
          </cell>
          <cell r="H20">
            <v>-94597</v>
          </cell>
          <cell r="I20">
            <v>-64208</v>
          </cell>
        </row>
        <row r="21">
          <cell r="A21" t="str">
            <v xml:space="preserve">  Net Contractor Revenue</v>
          </cell>
          <cell r="C21">
            <v>6644.5499843739526</v>
          </cell>
          <cell r="D21">
            <v>5263</v>
          </cell>
          <cell r="E21">
            <v>-1381.5499843739526</v>
          </cell>
          <cell r="F21">
            <v>-9.2495513267852533E-3</v>
          </cell>
          <cell r="H21">
            <v>7211</v>
          </cell>
          <cell r="I21">
            <v>5341</v>
          </cell>
        </row>
        <row r="22">
          <cell r="A22" t="str">
            <v>Construction and Devel. Activity Income (Devel Gains)</v>
          </cell>
          <cell r="C22">
            <v>3922.25</v>
          </cell>
          <cell r="D22">
            <v>561</v>
          </cell>
          <cell r="E22">
            <v>-3361.25</v>
          </cell>
          <cell r="F22">
            <v>-2.2503749230068825E-2</v>
          </cell>
          <cell r="H22">
            <v>12038</v>
          </cell>
          <cell r="I22">
            <v>722</v>
          </cell>
        </row>
        <row r="23">
          <cell r="A23" t="str">
            <v>Property Mgmt. Maint. &amp; Leasing Fees</v>
          </cell>
          <cell r="C23">
            <v>4553</v>
          </cell>
          <cell r="D23">
            <v>3504</v>
          </cell>
          <cell r="E23">
            <v>-1049</v>
          </cell>
          <cell r="F23">
            <v>-7.0231113253528292E-3</v>
          </cell>
          <cell r="H23">
            <v>4153</v>
          </cell>
          <cell r="I23">
            <v>3787</v>
          </cell>
        </row>
        <row r="24">
          <cell r="A24" t="str">
            <v>Other Income</v>
          </cell>
          <cell r="C24">
            <v>400</v>
          </cell>
          <cell r="D24">
            <v>390</v>
          </cell>
          <cell r="E24">
            <v>-10</v>
          </cell>
          <cell r="F24">
            <v>-6.6950536943306279E-5</v>
          </cell>
          <cell r="H24">
            <v>346</v>
          </cell>
          <cell r="I24">
            <v>156</v>
          </cell>
        </row>
        <row r="25">
          <cell r="A25" t="str">
            <v>Operating Expenses</v>
          </cell>
          <cell r="C25">
            <v>-8617.6302931422833</v>
          </cell>
          <cell r="D25">
            <v>-6242</v>
          </cell>
          <cell r="E25">
            <v>2375.6302931422833</v>
          </cell>
          <cell r="F25">
            <v>1.5904972370465998E-2</v>
          </cell>
          <cell r="H25">
            <v>-11485</v>
          </cell>
          <cell r="I25">
            <v>-5556</v>
          </cell>
        </row>
        <row r="26">
          <cell r="A26" t="str">
            <v>General and Administrative</v>
          </cell>
          <cell r="C26">
            <v>-7136.8055175331556</v>
          </cell>
          <cell r="D26">
            <v>-6965</v>
          </cell>
          <cell r="E26">
            <v>171.80551753315558</v>
          </cell>
          <cell r="F26">
            <v>1.1502471648667388E-3</v>
          </cell>
          <cell r="H26">
            <v>-6280</v>
          </cell>
          <cell r="I26">
            <v>-13947</v>
          </cell>
        </row>
        <row r="28">
          <cell r="A28" t="str">
            <v>EBITDA</v>
          </cell>
          <cell r="C28">
            <v>125218.39499767528</v>
          </cell>
          <cell r="D28">
            <v>138161</v>
          </cell>
          <cell r="E28">
            <v>12942.605002324723</v>
          </cell>
          <cell r="F28">
            <v>8.665143543507621E-2</v>
          </cell>
          <cell r="H28">
            <v>145751</v>
          </cell>
          <cell r="I28">
            <v>123031</v>
          </cell>
        </row>
        <row r="30">
          <cell r="A30" t="str">
            <v>Interest Expense</v>
          </cell>
          <cell r="C30">
            <v>34967.374386157608</v>
          </cell>
          <cell r="D30">
            <v>45467</v>
          </cell>
          <cell r="E30">
            <v>-10499.625613842392</v>
          </cell>
          <cell r="F30">
            <v>-7.0295557255044008E-2</v>
          </cell>
          <cell r="H30">
            <v>35921</v>
          </cell>
          <cell r="I30">
            <v>38655</v>
          </cell>
        </row>
        <row r="31">
          <cell r="A31" t="str">
            <v>Depreciation and Amortization</v>
          </cell>
          <cell r="C31">
            <v>58431.761606696302</v>
          </cell>
          <cell r="D31">
            <v>64333</v>
          </cell>
          <cell r="E31">
            <v>-5901.2383933036981</v>
          </cell>
          <cell r="F31">
            <v>-3.9509107906213668E-2</v>
          </cell>
          <cell r="H31">
            <v>63789</v>
          </cell>
          <cell r="I31">
            <v>60147</v>
          </cell>
        </row>
        <row r="32">
          <cell r="A32" t="str">
            <v>Interest Income</v>
          </cell>
          <cell r="C32">
            <v>1329.835447592274</v>
          </cell>
          <cell r="D32">
            <v>2232</v>
          </cell>
          <cell r="E32">
            <v>902.16455240772598</v>
          </cell>
          <cell r="F32">
            <v>6.0400401194914835E-3</v>
          </cell>
          <cell r="H32">
            <v>1083</v>
          </cell>
          <cell r="I32">
            <v>2200</v>
          </cell>
        </row>
        <row r="33">
          <cell r="A33" t="str">
            <v>Other Expense</v>
          </cell>
          <cell r="C33">
            <v>-208.2553632536135</v>
          </cell>
          <cell r="D33">
            <v>-280</v>
          </cell>
          <cell r="E33">
            <v>-71.744636746386504</v>
          </cell>
          <cell r="F33">
            <v>-4.8033419529730395E-4</v>
          </cell>
          <cell r="H33">
            <v>-166</v>
          </cell>
          <cell r="I33">
            <v>-220</v>
          </cell>
        </row>
        <row r="34">
          <cell r="A34" t="str">
            <v>Other Min. Int. in Earn. of Subs.</v>
          </cell>
          <cell r="C34">
            <v>-96.554759326675338</v>
          </cell>
          <cell r="D34">
            <v>-73</v>
          </cell>
          <cell r="E34">
            <v>-23.554759326675338</v>
          </cell>
          <cell r="F34">
            <v>-1.5770037844912654E-4</v>
          </cell>
          <cell r="H34">
            <v>-29</v>
          </cell>
          <cell r="I34">
            <v>-102</v>
          </cell>
        </row>
        <row r="35">
          <cell r="A35" t="str">
            <v>Preferred Issuance Costs</v>
          </cell>
          <cell r="C35">
            <v>0</v>
          </cell>
          <cell r="D35">
            <v>0</v>
          </cell>
          <cell r="E35">
            <v>0</v>
          </cell>
          <cell r="F35">
            <v>0</v>
          </cell>
          <cell r="H35">
            <v>0</v>
          </cell>
          <cell r="I35">
            <v>2633</v>
          </cell>
        </row>
        <row r="36">
          <cell r="A36" t="str">
            <v>NI Before Gains &amp; Minority Int.</v>
          </cell>
          <cell r="C36">
            <v>32844.284329833354</v>
          </cell>
          <cell r="D36">
            <v>30240</v>
          </cell>
          <cell r="E36">
            <v>-2604.2843298333537</v>
          </cell>
          <cell r="F36">
            <v>-1.7435823423538159E-2</v>
          </cell>
          <cell r="H36">
            <v>46929</v>
          </cell>
          <cell r="I36">
            <v>23474</v>
          </cell>
        </row>
        <row r="38">
          <cell r="A38" t="str">
            <v>Gains On Sale</v>
          </cell>
          <cell r="C38">
            <v>10000</v>
          </cell>
          <cell r="D38">
            <v>30</v>
          </cell>
          <cell r="E38">
            <v>-9970</v>
          </cell>
          <cell r="F38">
            <v>-6.6749685332476369E-2</v>
          </cell>
          <cell r="H38">
            <v>242</v>
          </cell>
          <cell r="I38">
            <v>-920</v>
          </cell>
        </row>
        <row r="39">
          <cell r="A39" t="str">
            <v>Land Sales Gains - incl. in FFO</v>
          </cell>
          <cell r="C39">
            <v>500</v>
          </cell>
          <cell r="D39">
            <v>555</v>
          </cell>
          <cell r="E39">
            <v>55</v>
          </cell>
          <cell r="F39">
            <v>3.6822795318818457E-4</v>
          </cell>
          <cell r="H39">
            <v>3779</v>
          </cell>
          <cell r="I39">
            <v>2810</v>
          </cell>
        </row>
        <row r="40">
          <cell r="A40" t="str">
            <v>Min Interest in Earnings of Pfd Unitholders</v>
          </cell>
          <cell r="C40">
            <v>0</v>
          </cell>
          <cell r="D40">
            <v>0</v>
          </cell>
          <cell r="E40">
            <v>0</v>
          </cell>
          <cell r="F40">
            <v>0</v>
          </cell>
          <cell r="H40">
            <v>0</v>
          </cell>
          <cell r="I40">
            <v>0</v>
          </cell>
        </row>
        <row r="41">
          <cell r="A41" t="str">
            <v>Min Interest in Earnings of Unitholders</v>
          </cell>
          <cell r="C41">
            <v>1186.1089552580804</v>
          </cell>
          <cell r="D41">
            <v>1767</v>
          </cell>
          <cell r="E41">
            <v>-580.89104474191959</v>
          </cell>
          <cell r="F41">
            <v>-3.8890967351029671E-3</v>
          </cell>
          <cell r="H41">
            <v>3480</v>
          </cell>
          <cell r="I41">
            <v>1253</v>
          </cell>
        </row>
        <row r="42">
          <cell r="A42" t="str">
            <v>Net Income</v>
          </cell>
          <cell r="C42">
            <v>42158.175374575272</v>
          </cell>
          <cell r="D42">
            <v>29027</v>
          </cell>
          <cell r="E42">
            <v>-13131.175374575272</v>
          </cell>
          <cell r="F42">
            <v>-8.7913924202453544E-2</v>
          </cell>
          <cell r="H42">
            <v>46715</v>
          </cell>
          <cell r="I42">
            <v>24111</v>
          </cell>
        </row>
        <row r="43">
          <cell r="A43" t="str">
            <v>Preferred Dividend</v>
          </cell>
          <cell r="C43">
            <v>12712</v>
          </cell>
          <cell r="D43">
            <v>13255</v>
          </cell>
          <cell r="E43">
            <v>-543</v>
          </cell>
          <cell r="F43">
            <v>-3.6354141560215312E-3</v>
          </cell>
          <cell r="H43">
            <v>11620</v>
          </cell>
          <cell r="I43">
            <v>12712</v>
          </cell>
        </row>
        <row r="44">
          <cell r="A44" t="str">
            <v>Net Income from Discontinued Operations</v>
          </cell>
          <cell r="C44">
            <v>-410</v>
          </cell>
          <cell r="D44">
            <v>4580</v>
          </cell>
          <cell r="E44">
            <v>4990</v>
          </cell>
          <cell r="F44">
            <v>3.3408317934709837E-2</v>
          </cell>
          <cell r="H44">
            <v>512</v>
          </cell>
          <cell r="I44">
            <v>-410</v>
          </cell>
        </row>
        <row r="45">
          <cell r="A45" t="str">
            <v>Gain on Sale of Discontinued Operations</v>
          </cell>
          <cell r="C45">
            <v>459</v>
          </cell>
          <cell r="D45">
            <v>1365</v>
          </cell>
          <cell r="E45">
            <v>906</v>
          </cell>
          <cell r="F45">
            <v>6.0657186470635498E-3</v>
          </cell>
          <cell r="H45">
            <v>4692</v>
          </cell>
          <cell r="I45">
            <v>459</v>
          </cell>
        </row>
        <row r="46">
          <cell r="A46" t="str">
            <v>Net Income Avail. to Common</v>
          </cell>
          <cell r="C46">
            <v>29495.175374575272</v>
          </cell>
          <cell r="D46">
            <v>21717</v>
          </cell>
          <cell r="E46">
            <v>-7778.1753745752721</v>
          </cell>
          <cell r="F46">
            <v>-5.2075301776701693E-2</v>
          </cell>
          <cell r="H46">
            <v>40299</v>
          </cell>
          <cell r="I46">
            <v>11448</v>
          </cell>
        </row>
        <row r="47">
          <cell r="B47" t="str">
            <v>Adjustment OP units</v>
          </cell>
          <cell r="C47" t="e">
            <v>#N/A</v>
          </cell>
          <cell r="D47" t="e">
            <v>#N/A</v>
          </cell>
          <cell r="H47" t="e">
            <v>#N/A</v>
          </cell>
          <cell r="I47" t="e">
            <v>#N/A</v>
          </cell>
        </row>
        <row r="48">
          <cell r="B48" t="str">
            <v>Adjustment: Gains and Extraordinary Items</v>
          </cell>
          <cell r="C48" t="e">
            <v>#N/A</v>
          </cell>
          <cell r="D48" t="e">
            <v>#N/A</v>
          </cell>
          <cell r="E48" t="e">
            <v>#N/A</v>
          </cell>
          <cell r="F48" t="e">
            <v>#N/A</v>
          </cell>
          <cell r="H48" t="e">
            <v>#N/A</v>
          </cell>
          <cell r="I48" t="e">
            <v>#N/A</v>
          </cell>
        </row>
        <row r="49">
          <cell r="A49" t="str">
            <v>Normalized Earnings</v>
          </cell>
          <cell r="C49">
            <v>19495.175374575272</v>
          </cell>
          <cell r="D49">
            <v>21687</v>
          </cell>
          <cell r="E49">
            <v>2191.8246254247279</v>
          </cell>
          <cell r="F49">
            <v>1.467438355577467E-2</v>
          </cell>
          <cell r="H49">
            <v>40057</v>
          </cell>
          <cell r="I49">
            <v>12368</v>
          </cell>
        </row>
        <row r="51">
          <cell r="A51" t="str">
            <v xml:space="preserve">  + Depreciation and Amortization</v>
          </cell>
          <cell r="C51">
            <v>58431.761606696302</v>
          </cell>
          <cell r="D51">
            <v>65167</v>
          </cell>
          <cell r="E51">
            <v>6735.2383933036981</v>
          </cell>
          <cell r="F51">
            <v>4.5092782687285414E-2</v>
          </cell>
          <cell r="H51">
            <v>64124</v>
          </cell>
          <cell r="I51">
            <v>60582</v>
          </cell>
        </row>
        <row r="52">
          <cell r="A52" t="str">
            <v xml:space="preserve">  + Depr. &amp; Amort. on J.V.'s</v>
          </cell>
          <cell r="C52">
            <v>4937.1000000000004</v>
          </cell>
          <cell r="D52">
            <v>4425</v>
          </cell>
          <cell r="E52">
            <v>-512.1</v>
          </cell>
          <cell r="F52">
            <v>-3.4285369968667175E-3</v>
          </cell>
          <cell r="H52">
            <v>4943</v>
          </cell>
          <cell r="I52">
            <v>4702</v>
          </cell>
        </row>
        <row r="53">
          <cell r="A53" t="str">
            <v xml:space="preserve">  - Earnings from Property Sales</v>
          </cell>
          <cell r="C53">
            <v>-10459</v>
          </cell>
          <cell r="D53">
            <v>-6931</v>
          </cell>
          <cell r="E53">
            <v>3528</v>
          </cell>
          <cell r="F53">
            <v>2.3620149433598456E-2</v>
          </cell>
          <cell r="H53">
            <v>-17062</v>
          </cell>
          <cell r="I53">
            <v>-3467</v>
          </cell>
        </row>
        <row r="54">
          <cell r="A54" t="str">
            <v xml:space="preserve">  - MI Share of Add-Backs</v>
          </cell>
          <cell r="C54">
            <v>-5289.686226641782</v>
          </cell>
          <cell r="D54">
            <v>-5622</v>
          </cell>
          <cell r="E54">
            <v>-332.31377335821799</v>
          </cell>
          <cell r="F54">
            <v>-2.2248585559988886E-3</v>
          </cell>
          <cell r="H54">
            <v>-4463</v>
          </cell>
          <cell r="I54">
            <v>-5588</v>
          </cell>
        </row>
        <row r="55">
          <cell r="A55" t="str">
            <v xml:space="preserve"> Funds From Operations</v>
          </cell>
          <cell r="C55">
            <v>77115.350754629791</v>
          </cell>
          <cell r="D55">
            <v>78756</v>
          </cell>
          <cell r="E55">
            <v>1640.6492453702085</v>
          </cell>
          <cell r="F55">
            <v>1.0984234791316572E-2</v>
          </cell>
          <cell r="H55">
            <v>87841</v>
          </cell>
          <cell r="I55">
            <v>67677</v>
          </cell>
        </row>
        <row r="57">
          <cell r="A57" t="str">
            <v xml:space="preserve"> - TIs &amp; Leasing Commisions</v>
          </cell>
          <cell r="C57">
            <v>14712.294798580277</v>
          </cell>
          <cell r="D57">
            <v>14888</v>
          </cell>
          <cell r="E57">
            <v>-175.70520141972338</v>
          </cell>
          <cell r="F57">
            <v>-1.1763557578782261E-3</v>
          </cell>
          <cell r="H57">
            <v>25932</v>
          </cell>
          <cell r="I57">
            <v>15542</v>
          </cell>
        </row>
        <row r="58">
          <cell r="A58" t="str">
            <v xml:space="preserve"> - Capital Expenditures</v>
          </cell>
          <cell r="C58">
            <v>1253.3186406717466</v>
          </cell>
          <cell r="D58">
            <v>1844</v>
          </cell>
          <cell r="E58">
            <v>-590.68135932825339</v>
          </cell>
          <cell r="F58">
            <v>-3.9546434169428603E-3</v>
          </cell>
          <cell r="H58">
            <v>3850</v>
          </cell>
          <cell r="I58">
            <v>1324</v>
          </cell>
        </row>
        <row r="59">
          <cell r="A59" t="str">
            <v xml:space="preserve"> - Adjustment For Straight-lining</v>
          </cell>
          <cell r="C59">
            <v>5447.7709796570261</v>
          </cell>
          <cell r="D59">
            <v>5045</v>
          </cell>
          <cell r="E59">
            <v>402.77097965702615</v>
          </cell>
          <cell r="F59">
            <v>2.6965733353219393E-3</v>
          </cell>
          <cell r="H59">
            <v>5361</v>
          </cell>
          <cell r="I59">
            <v>5755</v>
          </cell>
        </row>
        <row r="60">
          <cell r="A60" t="str">
            <v xml:space="preserve"> + Other Adjustments1</v>
          </cell>
          <cell r="C60">
            <v>1904.2926754163068</v>
          </cell>
          <cell r="D60">
            <v>4996</v>
          </cell>
          <cell r="E60">
            <v>3091.7073245836932</v>
          </cell>
          <cell r="F60">
            <v>2.069914654524312E-2</v>
          </cell>
          <cell r="H60">
            <v>4694</v>
          </cell>
          <cell r="I60">
            <v>6212</v>
          </cell>
        </row>
        <row r="61">
          <cell r="A61" t="str">
            <v>Adjusted Funds From Operations</v>
          </cell>
          <cell r="C61">
            <v>57606.259011137052</v>
          </cell>
          <cell r="D61">
            <v>61975</v>
          </cell>
          <cell r="E61">
            <v>4368.7409888629481</v>
          </cell>
          <cell r="F61">
            <v>2.9248955497060525E-2</v>
          </cell>
          <cell r="H61">
            <v>57392</v>
          </cell>
          <cell r="I61">
            <v>51268</v>
          </cell>
        </row>
        <row r="63">
          <cell r="A63" t="str">
            <v>Diluted FFO</v>
          </cell>
        </row>
        <row r="64">
          <cell r="A64" t="str">
            <v xml:space="preserve">  Basic FFO</v>
          </cell>
          <cell r="C64">
            <v>77115.350754629791</v>
          </cell>
          <cell r="D64">
            <v>78756</v>
          </cell>
          <cell r="E64">
            <v>1640.6492453702085</v>
          </cell>
          <cell r="F64">
            <v>1.0984234791316572E-2</v>
          </cell>
          <cell r="H64">
            <v>87841</v>
          </cell>
          <cell r="I64">
            <v>67677</v>
          </cell>
        </row>
        <row r="65">
          <cell r="A65" t="str">
            <v xml:space="preserve">  Preferred Conv D and G</v>
          </cell>
          <cell r="C65">
            <v>0</v>
          </cell>
          <cell r="D65">
            <v>0</v>
          </cell>
          <cell r="E65">
            <v>0</v>
          </cell>
          <cell r="F65">
            <v>0</v>
          </cell>
          <cell r="H65">
            <v>0</v>
          </cell>
          <cell r="I65">
            <v>0</v>
          </cell>
        </row>
        <row r="66">
          <cell r="A66" t="str">
            <v xml:space="preserve">  JV Partner Convertible Ownership FFO</v>
          </cell>
          <cell r="C66">
            <v>0</v>
          </cell>
          <cell r="D66">
            <v>0</v>
          </cell>
          <cell r="E66">
            <v>0</v>
          </cell>
          <cell r="F66">
            <v>0</v>
          </cell>
          <cell r="H66">
            <v>0</v>
          </cell>
          <cell r="I66">
            <v>0</v>
          </cell>
        </row>
        <row r="67">
          <cell r="A67" t="str">
            <v xml:space="preserve">  Unitholder Minority Interest</v>
          </cell>
          <cell r="C67">
            <v>1087.6609653563723</v>
          </cell>
          <cell r="D67">
            <v>2164</v>
          </cell>
          <cell r="E67">
            <v>1076.3390346436277</v>
          </cell>
          <cell r="F67">
            <v>7.2061476302430821E-3</v>
          </cell>
          <cell r="H67">
            <v>3829</v>
          </cell>
          <cell r="I67">
            <v>1149</v>
          </cell>
        </row>
        <row r="68">
          <cell r="A68" t="str">
            <v xml:space="preserve">  Minority Interest Share of Add-Backs</v>
          </cell>
          <cell r="C68">
            <v>5289.686226641782</v>
          </cell>
          <cell r="D68">
            <v>5622</v>
          </cell>
          <cell r="E68">
            <v>332.31377335821799</v>
          </cell>
          <cell r="F68">
            <v>2.2248585559988886E-3</v>
          </cell>
          <cell r="H68">
            <v>4463</v>
          </cell>
          <cell r="I68">
            <v>5588</v>
          </cell>
        </row>
        <row r="69">
          <cell r="A69" t="str">
            <v>Total Diluted FFO</v>
          </cell>
          <cell r="C69">
            <v>83492.697946627959</v>
          </cell>
          <cell r="D69">
            <v>86542</v>
          </cell>
          <cell r="E69">
            <v>3049.302053372041</v>
          </cell>
          <cell r="F69">
            <v>2.0415240977558455E-2</v>
          </cell>
          <cell r="H69">
            <v>96133</v>
          </cell>
          <cell r="I69">
            <v>74414</v>
          </cell>
        </row>
        <row r="71">
          <cell r="A71" t="str">
            <v>Diluted EPS before Extraordinary</v>
          </cell>
          <cell r="C71">
            <v>0.21494994290196273</v>
          </cell>
          <cell r="D71">
            <v>0.15961340585036013</v>
          </cell>
          <cell r="E71">
            <v>-5.5336537051602602E-2</v>
          </cell>
          <cell r="H71">
            <v>0.27936334079707181</v>
          </cell>
          <cell r="I71">
            <v>8.4256390252518937E-2</v>
          </cell>
        </row>
        <row r="72">
          <cell r="A72" t="str">
            <v>Diluted EPS after Extraordinary</v>
          </cell>
          <cell r="C72">
            <v>0.21494994290196273</v>
          </cell>
          <cell r="D72">
            <v>0.15961340585036013</v>
          </cell>
          <cell r="E72">
            <v>-5.5336537051602602E-2</v>
          </cell>
          <cell r="H72">
            <v>0.27936334079707181</v>
          </cell>
          <cell r="I72">
            <v>8.4256390252518937E-2</v>
          </cell>
        </row>
        <row r="73">
          <cell r="A73" t="str">
            <v>Normalized Earnings Per Share</v>
          </cell>
          <cell r="C73">
            <v>0.14207363680369531</v>
          </cell>
          <cell r="D73">
            <v>0.15939291489048948</v>
          </cell>
          <cell r="E73">
            <v>1.7319278086794176E-2</v>
          </cell>
          <cell r="H73">
            <v>0.27768573270573227</v>
          </cell>
          <cell r="I73">
            <v>9.1027518749402E-2</v>
          </cell>
        </row>
        <row r="75">
          <cell r="A75" t="str">
            <v xml:space="preserve">FFO Per Share - Diluted </v>
          </cell>
          <cell r="C75">
            <v>0.55435323161839922</v>
          </cell>
          <cell r="D75">
            <v>0.57940333681476131</v>
          </cell>
          <cell r="E75">
            <v>2.5050105196362082E-2</v>
          </cell>
          <cell r="H75">
            <v>0.6093661851304838</v>
          </cell>
          <cell r="I75">
            <v>0.49853616051988076</v>
          </cell>
        </row>
        <row r="77">
          <cell r="A77" t="str">
            <v>Adjusted FFO Per Share - Diluted</v>
          </cell>
          <cell r="C77">
            <v>0.41981313648717006</v>
          </cell>
          <cell r="D77">
            <v>0.4554975745994414</v>
          </cell>
          <cell r="E77">
            <v>3.5684438112271344E-2</v>
          </cell>
          <cell r="H77">
            <v>0.39785654371139595</v>
          </cell>
          <cell r="I77">
            <v>0.37732849541108848</v>
          </cell>
        </row>
        <row r="78">
          <cell r="A78" t="str">
            <v>NOI Per Share</v>
          </cell>
          <cell r="C78">
            <v>0.91425534752835103</v>
          </cell>
          <cell r="D78">
            <v>1.0410848155225636</v>
          </cell>
          <cell r="E78">
            <v>0.12682946799421257</v>
          </cell>
          <cell r="H78">
            <v>0.96890879219149684</v>
          </cell>
          <cell r="I78">
            <v>0.97539577982056513</v>
          </cell>
        </row>
        <row r="79">
          <cell r="A79" t="str">
            <v>EBITDA Per Share</v>
          </cell>
          <cell r="C79">
            <v>0.91254540829843434</v>
          </cell>
          <cell r="D79">
            <v>1.0154417168896075</v>
          </cell>
          <cell r="E79">
            <v>0.10289630859117316</v>
          </cell>
          <cell r="H79">
            <v>1.0103845327306884</v>
          </cell>
          <cell r="I79">
            <v>0.9054985979348058</v>
          </cell>
        </row>
        <row r="81">
          <cell r="A81" t="str">
            <v>Dividends Per Share</v>
          </cell>
          <cell r="C81">
            <v>0.46500000000000002</v>
          </cell>
          <cell r="D81">
            <v>0.47</v>
          </cell>
          <cell r="E81">
            <v>4.9999999999999489E-3</v>
          </cell>
          <cell r="H81">
            <v>0.47</v>
          </cell>
          <cell r="I81">
            <v>0.46500000000000002</v>
          </cell>
        </row>
        <row r="83">
          <cell r="A83" t="str">
            <v xml:space="preserve">Payout Ratio (Net Income) </v>
          </cell>
          <cell r="C83">
            <v>2.1632943638979403</v>
          </cell>
          <cell r="D83">
            <v>2.9446148178846063</v>
          </cell>
          <cell r="E83">
            <v>0.78132045398666605</v>
          </cell>
          <cell r="H83">
            <v>1.682396833668329</v>
          </cell>
          <cell r="I83">
            <v>5.5188692348008388</v>
          </cell>
        </row>
        <row r="84">
          <cell r="A84" t="str">
            <v xml:space="preserve">Payout Ratio (FFO) </v>
          </cell>
          <cell r="C84">
            <v>0.8388153499934724</v>
          </cell>
          <cell r="D84">
            <v>0.81117931177925162</v>
          </cell>
          <cell r="E84">
            <v>-2.7636038214220782E-2</v>
          </cell>
          <cell r="H84">
            <v>0.77129320836757409</v>
          </cell>
          <cell r="I84">
            <v>0.93273073615179947</v>
          </cell>
        </row>
        <row r="85">
          <cell r="A85" t="str">
            <v xml:space="preserve">Payout Ratio (AFFO) </v>
          </cell>
          <cell r="C85">
            <v>1.1076356587860392</v>
          </cell>
          <cell r="D85">
            <v>1.031838644614764</v>
          </cell>
          <cell r="E85">
            <v>-7.5797014171275157E-2</v>
          </cell>
          <cell r="H85">
            <v>1.181330324783942</v>
          </cell>
          <cell r="I85">
            <v>1.2323479558399002</v>
          </cell>
        </row>
        <row r="87">
          <cell r="A87" t="str">
            <v>Shares Outstanding</v>
          </cell>
          <cell r="C87">
            <v>136128.81</v>
          </cell>
          <cell r="D87">
            <v>134969</v>
          </cell>
          <cell r="E87">
            <v>-1159.81</v>
          </cell>
          <cell r="H87">
            <v>143480</v>
          </cell>
          <cell r="I87">
            <v>134781</v>
          </cell>
        </row>
        <row r="88">
          <cell r="A88" t="str">
            <v>Other dilutive securities</v>
          </cell>
          <cell r="C88">
            <v>1090</v>
          </cell>
          <cell r="D88">
            <v>1091</v>
          </cell>
          <cell r="E88">
            <v>1</v>
          </cell>
          <cell r="H88">
            <v>773</v>
          </cell>
          <cell r="I88">
            <v>1090</v>
          </cell>
        </row>
        <row r="89">
          <cell r="A89" t="str">
            <v>Diluted Shares O/S (Thous.)</v>
          </cell>
          <cell r="C89">
            <v>137218.81</v>
          </cell>
          <cell r="D89">
            <v>136060</v>
          </cell>
          <cell r="E89">
            <v>-1158.81</v>
          </cell>
          <cell r="H89">
            <v>144253</v>
          </cell>
          <cell r="I89">
            <v>135871</v>
          </cell>
        </row>
        <row r="90">
          <cell r="A90" t="str">
            <v>Units Outstanding</v>
          </cell>
          <cell r="C90">
            <v>13394</v>
          </cell>
          <cell r="D90">
            <v>13304</v>
          </cell>
          <cell r="E90">
            <v>-90</v>
          </cell>
          <cell r="H90">
            <v>13506</v>
          </cell>
          <cell r="I90">
            <v>13394</v>
          </cell>
        </row>
        <row r="91">
          <cell r="A91" t="str">
            <v>Convertible D &amp; G Equivalents</v>
          </cell>
          <cell r="C91">
            <v>0</v>
          </cell>
          <cell r="D91">
            <v>0</v>
          </cell>
          <cell r="E91">
            <v>0</v>
          </cell>
          <cell r="H91">
            <v>0</v>
          </cell>
          <cell r="I91">
            <v>0</v>
          </cell>
        </row>
        <row r="92">
          <cell r="A92" t="str">
            <v>JV Covertible Equivalents</v>
          </cell>
          <cell r="C92">
            <v>0</v>
          </cell>
          <cell r="D92">
            <v>0</v>
          </cell>
          <cell r="E92">
            <v>0</v>
          </cell>
          <cell r="H92">
            <v>0</v>
          </cell>
          <cell r="I92">
            <v>0</v>
          </cell>
        </row>
        <row r="93">
          <cell r="A93" t="str">
            <v>Diluted Shares and Units (Thous.)</v>
          </cell>
          <cell r="C93">
            <v>150612.81</v>
          </cell>
          <cell r="D93">
            <v>149364</v>
          </cell>
          <cell r="E93">
            <v>-1248.81</v>
          </cell>
          <cell r="H93">
            <v>157759</v>
          </cell>
          <cell r="I93">
            <v>149265</v>
          </cell>
        </row>
        <row r="98">
          <cell r="A98" t="str">
            <v>Matt Ostrower</v>
          </cell>
          <cell r="I98" t="str">
            <v>(212) 761-6284</v>
          </cell>
        </row>
        <row r="99">
          <cell r="A99" t="str">
            <v>Morgan Stanley  REIT Research</v>
          </cell>
          <cell r="I99" t="str">
            <v>Matthew.Ostrower@morganstanley.com</v>
          </cell>
        </row>
      </sheetData>
      <sheetData sheetId="28" refreshError="1">
        <row r="1">
          <cell r="A1" t="str">
            <v>Duke Realty (DRE)</v>
          </cell>
          <cell r="I1" t="str">
            <v>Gregory Whyte</v>
          </cell>
        </row>
        <row r="2">
          <cell r="A2" t="str">
            <v>1Q06 Earnings Variance Analysis Worksheet</v>
          </cell>
          <cell r="I2" t="str">
            <v>Morgan Stanley REIT Research Team</v>
          </cell>
        </row>
        <row r="3">
          <cell r="A3" t="str">
            <v>($ in Thousands, Except per Share Amounts)</v>
          </cell>
          <cell r="I3" t="str">
            <v>(212) 761-6331   Gregory.Whtye@morganstanley.com</v>
          </cell>
        </row>
        <row r="5">
          <cell r="C5">
            <v>52</v>
          </cell>
          <cell r="D5">
            <v>52</v>
          </cell>
          <cell r="H5">
            <v>47</v>
          </cell>
          <cell r="I5">
            <v>50</v>
          </cell>
        </row>
        <row r="6">
          <cell r="C6" t="str">
            <v>MS</v>
          </cell>
          <cell r="D6" t="str">
            <v>Reported</v>
          </cell>
          <cell r="F6" t="str">
            <v>Per Share</v>
          </cell>
        </row>
        <row r="7">
          <cell r="A7" t="str">
            <v>Year Ends December 31</v>
          </cell>
          <cell r="C7" t="str">
            <v>1Q06E</v>
          </cell>
          <cell r="D7" t="str">
            <v>1Q06A</v>
          </cell>
          <cell r="E7" t="str">
            <v>Variance</v>
          </cell>
          <cell r="F7" t="str">
            <v>Impact</v>
          </cell>
          <cell r="G7" t="str">
            <v>Comments</v>
          </cell>
          <cell r="H7" t="str">
            <v>1Q05A</v>
          </cell>
          <cell r="I7" t="str">
            <v>4Q05A</v>
          </cell>
        </row>
        <row r="8">
          <cell r="A8" t="str">
            <v>RENTAL OPERATIONS</v>
          </cell>
        </row>
        <row r="9">
          <cell r="A9" t="str">
            <v>Rental Income</v>
          </cell>
          <cell r="C9">
            <v>176931</v>
          </cell>
          <cell r="D9">
            <v>193745</v>
          </cell>
          <cell r="E9">
            <v>16814</v>
          </cell>
          <cell r="F9">
            <v>0.11264529528020635</v>
          </cell>
          <cell r="H9">
            <v>191030</v>
          </cell>
          <cell r="I9">
            <v>180993</v>
          </cell>
        </row>
        <row r="10">
          <cell r="A10" t="str">
            <v>Equity in Unconsolidated Cos.</v>
          </cell>
          <cell r="C10">
            <v>4414.6480582121958</v>
          </cell>
          <cell r="D10">
            <v>8259</v>
          </cell>
          <cell r="E10">
            <v>3844.3519417878042</v>
          </cell>
          <cell r="F10">
            <v>2.5755213491359692E-2</v>
          </cell>
          <cell r="H10">
            <v>5206</v>
          </cell>
          <cell r="I10">
            <v>4516</v>
          </cell>
        </row>
        <row r="11">
          <cell r="A11" t="str">
            <v>Total Income</v>
          </cell>
          <cell r="C11">
            <v>181345.64805821219</v>
          </cell>
          <cell r="D11">
            <v>202004</v>
          </cell>
          <cell r="E11">
            <v>20658.351941787812</v>
          </cell>
          <cell r="F11">
            <v>0.13840050877156609</v>
          </cell>
          <cell r="H11">
            <v>196236</v>
          </cell>
          <cell r="I11">
            <v>185509</v>
          </cell>
        </row>
        <row r="13">
          <cell r="A13" t="str">
            <v>Rental Expenses</v>
          </cell>
          <cell r="C13">
            <v>-41026.726566507881</v>
          </cell>
          <cell r="D13">
            <v>-46338</v>
          </cell>
          <cell r="E13">
            <v>-5311.2734334921188</v>
          </cell>
          <cell r="F13">
            <v>-3.5582845499561977E-2</v>
          </cell>
          <cell r="H13">
            <v>-44296</v>
          </cell>
          <cell r="I13">
            <v>-40062</v>
          </cell>
        </row>
        <row r="14">
          <cell r="A14" t="str">
            <v>Real Estate Taxes</v>
          </cell>
          <cell r="C14">
            <v>-21160.773475370359</v>
          </cell>
          <cell r="D14">
            <v>-23138</v>
          </cell>
          <cell r="E14">
            <v>-1977.2265246296411</v>
          </cell>
          <cell r="F14">
            <v>-1.3246417610489003E-2</v>
          </cell>
          <cell r="H14">
            <v>-22847</v>
          </cell>
          <cell r="I14">
            <v>-21947</v>
          </cell>
        </row>
        <row r="15">
          <cell r="A15" t="str">
            <v>Acq. &amp; Develop. NOI</v>
          </cell>
          <cell r="C15">
            <v>5397.7952706278138</v>
          </cell>
          <cell r="D15">
            <v>0</v>
          </cell>
          <cell r="E15">
            <v>-5397.7952706278138</v>
          </cell>
          <cell r="F15">
            <v>-3.6162498044603981E-2</v>
          </cell>
        </row>
        <row r="16">
          <cell r="A16" t="str">
            <v>Net Operating Income</v>
          </cell>
          <cell r="C16">
            <v>124555.94328696176</v>
          </cell>
          <cell r="D16">
            <v>132528</v>
          </cell>
          <cell r="E16">
            <v>7972.0567130382406</v>
          </cell>
          <cell r="F16">
            <v>5.3408747616911133E-2</v>
          </cell>
          <cell r="H16">
            <v>129093</v>
          </cell>
          <cell r="I16">
            <v>123500</v>
          </cell>
        </row>
        <row r="18">
          <cell r="A18" t="str">
            <v>SERVICE OPERATIONS</v>
          </cell>
        </row>
        <row r="19">
          <cell r="A19" t="str">
            <v>Gross Contractor Revenue</v>
          </cell>
          <cell r="C19">
            <v>92623.080352000004</v>
          </cell>
          <cell r="D19">
            <v>69549</v>
          </cell>
          <cell r="E19">
            <v>-23074.080352000004</v>
          </cell>
          <cell r="F19">
            <v>-0.15458466721602521</v>
          </cell>
          <cell r="H19">
            <v>86714.125</v>
          </cell>
          <cell r="I19">
            <v>87771.875</v>
          </cell>
        </row>
        <row r="20">
          <cell r="A20" t="str">
            <v>Gross Contractor Costs</v>
          </cell>
          <cell r="C20">
            <v>-89792.991671500014</v>
          </cell>
          <cell r="D20">
            <v>-64208</v>
          </cell>
          <cell r="E20">
            <v>25584.991671500014</v>
          </cell>
          <cell r="F20">
            <v>0.17140650300807297</v>
          </cell>
          <cell r="H20">
            <v>-79776.99500000001</v>
          </cell>
          <cell r="I20">
            <v>-80139.005000000005</v>
          </cell>
        </row>
        <row r="21">
          <cell r="A21" t="str">
            <v xml:space="preserve">  Net Contractor Revenue</v>
          </cell>
          <cell r="C21">
            <v>2830.08868049999</v>
          </cell>
          <cell r="D21">
            <v>5341</v>
          </cell>
          <cell r="E21">
            <v>2510.91131950001</v>
          </cell>
          <cell r="F21">
            <v>1.6821835792047768E-2</v>
          </cell>
          <cell r="H21">
            <v>6937.1299999999901</v>
          </cell>
          <cell r="I21">
            <v>7632.87</v>
          </cell>
        </row>
        <row r="22">
          <cell r="A22" t="str">
            <v>Construction and Devel. Activity Income (Devel Gains)</v>
          </cell>
          <cell r="C22">
            <v>3559.85</v>
          </cell>
          <cell r="D22">
            <v>722</v>
          </cell>
          <cell r="E22">
            <v>-2837.85</v>
          </cell>
          <cell r="F22">
            <v>-1.9012159581951561E-2</v>
          </cell>
          <cell r="H22">
            <v>8113.8700000000099</v>
          </cell>
          <cell r="I22">
            <v>2235.13</v>
          </cell>
        </row>
        <row r="23">
          <cell r="A23" t="str">
            <v>Property Mgmt. Maint. &amp; Leasing Fees</v>
          </cell>
          <cell r="C23">
            <v>3879</v>
          </cell>
          <cell r="D23">
            <v>3787</v>
          </cell>
          <cell r="E23">
            <v>-92</v>
          </cell>
          <cell r="F23">
            <v>-6.1635346531336882E-4</v>
          </cell>
          <cell r="H23">
            <v>3879</v>
          </cell>
          <cell r="I23">
            <v>3801</v>
          </cell>
        </row>
        <row r="24">
          <cell r="A24" t="str">
            <v>Other Income</v>
          </cell>
          <cell r="C24">
            <v>200</v>
          </cell>
          <cell r="D24">
            <v>156</v>
          </cell>
          <cell r="E24">
            <v>-44</v>
          </cell>
          <cell r="F24">
            <v>-2.9477774428030685E-4</v>
          </cell>
          <cell r="H24">
            <v>2765</v>
          </cell>
          <cell r="I24">
            <v>245</v>
          </cell>
        </row>
        <row r="25">
          <cell r="A25" t="str">
            <v>Operating Expenses</v>
          </cell>
          <cell r="C25">
            <v>-7014.1889159349939</v>
          </cell>
          <cell r="D25">
            <v>-5556</v>
          </cell>
          <cell r="E25">
            <v>1458.1889159349939</v>
          </cell>
          <cell r="F25">
            <v>9.7691281675878067E-3</v>
          </cell>
          <cell r="H25">
            <v>-10775</v>
          </cell>
          <cell r="I25">
            <v>-8074</v>
          </cell>
        </row>
        <row r="26">
          <cell r="A26" t="str">
            <v>General and Administrative</v>
          </cell>
          <cell r="C26">
            <v>-9182.9000167291288</v>
          </cell>
          <cell r="D26">
            <v>-13947</v>
          </cell>
          <cell r="E26">
            <v>-4764.0999832708712</v>
          </cell>
          <cell r="F26">
            <v>-3.191706014987352E-2</v>
          </cell>
          <cell r="H26">
            <v>-7581</v>
          </cell>
          <cell r="I26">
            <v>-8773</v>
          </cell>
        </row>
        <row r="28">
          <cell r="A28" t="str">
            <v>EBITDA</v>
          </cell>
          <cell r="C28">
            <v>118827.79303479762</v>
          </cell>
          <cell r="D28">
            <v>123031</v>
          </cell>
          <cell r="E28">
            <v>4203.2069652023783</v>
          </cell>
          <cell r="F28">
            <v>2.8159360635127983E-2</v>
          </cell>
          <cell r="H28">
            <v>132432</v>
          </cell>
          <cell r="I28">
            <v>120567</v>
          </cell>
        </row>
        <row r="30">
          <cell r="A30" t="str">
            <v>Interest Expense</v>
          </cell>
          <cell r="C30">
            <v>34011.16609380312</v>
          </cell>
          <cell r="D30">
            <v>38655</v>
          </cell>
          <cell r="E30">
            <v>-4643.83390619688</v>
          </cell>
          <cell r="F30">
            <v>-3.1111338265480053E-2</v>
          </cell>
          <cell r="H30">
            <v>35226</v>
          </cell>
          <cell r="I30">
            <v>30807</v>
          </cell>
        </row>
        <row r="31">
          <cell r="A31" t="str">
            <v>Depreciation and Amortization</v>
          </cell>
          <cell r="C31">
            <v>72780.985544421841</v>
          </cell>
          <cell r="D31">
            <v>60147</v>
          </cell>
          <cell r="E31">
            <v>12633.985544421841</v>
          </cell>
          <cell r="F31">
            <v>8.4641312728515328E-2</v>
          </cell>
          <cell r="H31">
            <v>62876</v>
          </cell>
          <cell r="I31">
            <v>59139</v>
          </cell>
        </row>
        <row r="32">
          <cell r="A32" t="str">
            <v>Interest Income</v>
          </cell>
          <cell r="C32">
            <v>1773.031160311569</v>
          </cell>
          <cell r="D32">
            <v>2200</v>
          </cell>
          <cell r="E32">
            <v>426.96883968843099</v>
          </cell>
          <cell r="F32">
            <v>2.8604752600303552E-3</v>
          </cell>
          <cell r="H32">
            <v>1320</v>
          </cell>
          <cell r="I32">
            <v>1758</v>
          </cell>
        </row>
        <row r="33">
          <cell r="A33" t="str">
            <v>Other Expense</v>
          </cell>
          <cell r="C33">
            <v>-803.81446801383413</v>
          </cell>
          <cell r="D33">
            <v>-220</v>
          </cell>
          <cell r="E33">
            <v>583.81446801383413</v>
          </cell>
          <cell r="F33">
            <v>3.9112616354392126E-3</v>
          </cell>
          <cell r="H33">
            <v>-78</v>
          </cell>
          <cell r="I33">
            <v>-797</v>
          </cell>
        </row>
        <row r="34">
          <cell r="A34" t="str">
            <v>Other Min. Int. in Earn. of Subs.</v>
          </cell>
          <cell r="C34">
            <v>24.205203553741555</v>
          </cell>
          <cell r="D34">
            <v>-102</v>
          </cell>
          <cell r="E34">
            <v>126.20520355374155</v>
          </cell>
          <cell r="F34">
            <v>8.4551102772747501E-4</v>
          </cell>
          <cell r="H34">
            <v>-37</v>
          </cell>
          <cell r="I34">
            <v>24</v>
          </cell>
        </row>
        <row r="35">
          <cell r="A35" t="str">
            <v>Preferred Issuance Costs</v>
          </cell>
          <cell r="C35">
            <v>2990.8295999999996</v>
          </cell>
          <cell r="D35">
            <v>2633</v>
          </cell>
          <cell r="E35">
            <v>357.82959999999957</v>
          </cell>
          <cell r="F35">
            <v>2.397277325561917E-3</v>
          </cell>
          <cell r="H35">
            <v>0</v>
          </cell>
          <cell r="I35">
            <v>0</v>
          </cell>
        </row>
        <row r="36">
          <cell r="A36" t="str">
            <v>NI Before Gains &amp; Minority Int.</v>
          </cell>
          <cell r="C36">
            <v>10038.233692424132</v>
          </cell>
          <cell r="D36">
            <v>23474</v>
          </cell>
          <cell r="E36">
            <v>13435.766307575868</v>
          </cell>
          <cell r="F36">
            <v>9.0012838291467306E-2</v>
          </cell>
          <cell r="H36">
            <v>35535</v>
          </cell>
          <cell r="I36">
            <v>31606</v>
          </cell>
        </row>
        <row r="38">
          <cell r="A38" t="str">
            <v>Gains On Sale</v>
          </cell>
          <cell r="C38">
            <v>1500</v>
          </cell>
          <cell r="D38">
            <v>-920</v>
          </cell>
          <cell r="E38">
            <v>-2420</v>
          </cell>
          <cell r="F38">
            <v>-1.6212775935416875E-2</v>
          </cell>
          <cell r="H38">
            <v>2114</v>
          </cell>
          <cell r="I38">
            <v>14</v>
          </cell>
        </row>
        <row r="39">
          <cell r="A39" t="str">
            <v>Land Sales Gains - incl. in FFO</v>
          </cell>
          <cell r="C39">
            <v>0</v>
          </cell>
          <cell r="D39">
            <v>2810</v>
          </cell>
          <cell r="E39">
            <v>2810</v>
          </cell>
          <cell r="F39">
            <v>1.8825578668810506E-2</v>
          </cell>
          <cell r="H39">
            <v>837</v>
          </cell>
          <cell r="I39">
            <v>8421</v>
          </cell>
        </row>
        <row r="40">
          <cell r="A40" t="str">
            <v>Min Interest in Earnings of Pfd Unitholders</v>
          </cell>
          <cell r="C40">
            <v>0</v>
          </cell>
          <cell r="D40">
            <v>0</v>
          </cell>
          <cell r="E40">
            <v>0</v>
          </cell>
          <cell r="F40">
            <v>0</v>
          </cell>
          <cell r="H40">
            <v>0</v>
          </cell>
          <cell r="I40">
            <v>0</v>
          </cell>
        </row>
        <row r="41">
          <cell r="A41" t="str">
            <v>Min Interest in Earnings of Unitholders</v>
          </cell>
          <cell r="C41">
            <v>2678.7091932807321</v>
          </cell>
          <cell r="D41">
            <v>1253</v>
          </cell>
          <cell r="E41">
            <v>1425.7091932807321</v>
          </cell>
          <cell r="F41">
            <v>9.5515304544315956E-3</v>
          </cell>
          <cell r="H41">
            <v>2316</v>
          </cell>
          <cell r="I41">
            <v>2656</v>
          </cell>
        </row>
        <row r="42">
          <cell r="A42" t="str">
            <v>Net Income</v>
          </cell>
          <cell r="C42">
            <v>8859.5244991433992</v>
          </cell>
          <cell r="D42">
            <v>24111</v>
          </cell>
          <cell r="E42">
            <v>15251.475500856601</v>
          </cell>
          <cell r="F42">
            <v>0.10217717147929253</v>
          </cell>
          <cell r="H42">
            <v>33361</v>
          </cell>
          <cell r="I42">
            <v>37372</v>
          </cell>
        </row>
        <row r="43">
          <cell r="A43" t="str">
            <v>Preferred Dividend</v>
          </cell>
          <cell r="C43">
            <v>11758.13</v>
          </cell>
          <cell r="D43">
            <v>12712</v>
          </cell>
          <cell r="E43">
            <v>-953.8700000000008</v>
          </cell>
          <cell r="F43">
            <v>-6.3904465212876477E-3</v>
          </cell>
          <cell r="H43">
            <v>11620</v>
          </cell>
          <cell r="I43">
            <v>11620</v>
          </cell>
        </row>
        <row r="44">
          <cell r="A44" t="str">
            <v>Net Income from Discontinued Operations</v>
          </cell>
          <cell r="C44">
            <v>418</v>
          </cell>
          <cell r="D44">
            <v>-410</v>
          </cell>
          <cell r="E44">
            <v>-828</v>
          </cell>
          <cell r="F44">
            <v>-5.5471811878203192E-3</v>
          </cell>
          <cell r="H44">
            <v>366</v>
          </cell>
          <cell r="I44">
            <v>418</v>
          </cell>
        </row>
        <row r="45">
          <cell r="A45" t="str">
            <v>Gain on Sale of Discontinued Operations</v>
          </cell>
          <cell r="C45">
            <v>3885</v>
          </cell>
          <cell r="D45">
            <v>459</v>
          </cell>
          <cell r="E45">
            <v>-3426</v>
          </cell>
          <cell r="F45">
            <v>-2.2952467088734801E-2</v>
          </cell>
          <cell r="H45">
            <v>3374</v>
          </cell>
          <cell r="I45">
            <v>3885</v>
          </cell>
        </row>
        <row r="46">
          <cell r="A46" t="str">
            <v>Net Income Avail. to Common</v>
          </cell>
          <cell r="C46">
            <v>1404.3944991433982</v>
          </cell>
          <cell r="D46">
            <v>11448</v>
          </cell>
          <cell r="E46">
            <v>10043.605500856602</v>
          </cell>
          <cell r="F46">
            <v>6.7287076681449787E-2</v>
          </cell>
          <cell r="H46">
            <v>25481</v>
          </cell>
          <cell r="I46">
            <v>30055</v>
          </cell>
        </row>
        <row r="47">
          <cell r="B47" t="str">
            <v>Adjustment OP units</v>
          </cell>
          <cell r="C47" t="e">
            <v>#N/A</v>
          </cell>
          <cell r="D47" t="e">
            <v>#N/A</v>
          </cell>
          <cell r="H47" t="e">
            <v>#N/A</v>
          </cell>
          <cell r="I47" t="e">
            <v>#N/A</v>
          </cell>
        </row>
        <row r="48">
          <cell r="B48" t="str">
            <v>Adjustment: Gains and Extraordinary Items</v>
          </cell>
          <cell r="C48" t="e">
            <v>#N/A</v>
          </cell>
          <cell r="D48" t="e">
            <v>#N/A</v>
          </cell>
          <cell r="E48" t="e">
            <v>#N/A</v>
          </cell>
          <cell r="F48" t="e">
            <v>#N/A</v>
          </cell>
          <cell r="H48" t="e">
            <v>#N/A</v>
          </cell>
          <cell r="I48" t="e">
            <v>#N/A</v>
          </cell>
        </row>
        <row r="49">
          <cell r="A49" t="str">
            <v>Normalized Earnings</v>
          </cell>
          <cell r="C49">
            <v>-95.605500856601793</v>
          </cell>
          <cell r="D49">
            <v>12368</v>
          </cell>
          <cell r="E49">
            <v>12463.605500856602</v>
          </cell>
          <cell r="F49">
            <v>8.3499852616866654E-2</v>
          </cell>
          <cell r="H49">
            <v>23367</v>
          </cell>
          <cell r="I49">
            <v>30041</v>
          </cell>
        </row>
        <row r="51">
          <cell r="A51" t="str">
            <v xml:space="preserve">  + Depreciation and Amortization</v>
          </cell>
          <cell r="C51">
            <v>72780.985544421841</v>
          </cell>
          <cell r="D51">
            <v>60582</v>
          </cell>
          <cell r="E51">
            <v>-12198.985544421841</v>
          </cell>
          <cell r="F51">
            <v>-8.1727032756653203E-2</v>
          </cell>
          <cell r="H51">
            <v>63226</v>
          </cell>
          <cell r="I51">
            <v>59197</v>
          </cell>
        </row>
        <row r="52">
          <cell r="A52" t="str">
            <v xml:space="preserve">  + Depr. &amp; Amort. on J.V.'s</v>
          </cell>
          <cell r="C52">
            <v>4933.95</v>
          </cell>
          <cell r="D52">
            <v>4702</v>
          </cell>
          <cell r="E52">
            <v>-231.95</v>
          </cell>
          <cell r="F52">
            <v>-1.5539476769503889E-3</v>
          </cell>
          <cell r="H52">
            <v>4865</v>
          </cell>
          <cell r="I52">
            <v>4699</v>
          </cell>
        </row>
        <row r="53">
          <cell r="A53" t="str">
            <v xml:space="preserve">  - Earnings from Property Sales</v>
          </cell>
          <cell r="C53">
            <v>-5385</v>
          </cell>
          <cell r="D53">
            <v>-3467</v>
          </cell>
          <cell r="E53">
            <v>1918</v>
          </cell>
          <cell r="F53">
            <v>1.2849629852946102E-2</v>
          </cell>
          <cell r="H53">
            <v>-6510</v>
          </cell>
          <cell r="I53">
            <v>-4200</v>
          </cell>
        </row>
        <row r="54">
          <cell r="A54" t="str">
            <v xml:space="preserve">  - MI Share of Add-Backs</v>
          </cell>
          <cell r="C54">
            <v>-5247.4864204215546</v>
          </cell>
          <cell r="D54">
            <v>-5588</v>
          </cell>
          <cell r="E54">
            <v>-340.51357957844539</v>
          </cell>
          <cell r="F54">
            <v>-2.2812687473851567E-3</v>
          </cell>
          <cell r="H54">
            <v>-5437</v>
          </cell>
          <cell r="I54">
            <v>-5203</v>
          </cell>
        </row>
        <row r="55">
          <cell r="A55" t="str">
            <v xml:space="preserve"> Funds From Operations</v>
          </cell>
          <cell r="C55">
            <v>68486.843623143679</v>
          </cell>
          <cell r="D55">
            <v>67677</v>
          </cell>
          <cell r="E55">
            <v>-809.843623143679</v>
          </cell>
          <cell r="F55">
            <v>-5.4255426465928316E-3</v>
          </cell>
          <cell r="H55">
            <v>81625</v>
          </cell>
          <cell r="I55">
            <v>84548</v>
          </cell>
        </row>
        <row r="57">
          <cell r="A57" t="str">
            <v xml:space="preserve"> - TIs &amp; Leasing Commisions</v>
          </cell>
          <cell r="C57">
            <v>23665.629224522734</v>
          </cell>
          <cell r="D57">
            <v>15542</v>
          </cell>
          <cell r="E57">
            <v>8123.6292245227341</v>
          </cell>
          <cell r="F57">
            <v>5.442420677669068E-2</v>
          </cell>
          <cell r="H57">
            <v>24533</v>
          </cell>
          <cell r="I57">
            <v>25229</v>
          </cell>
        </row>
        <row r="58">
          <cell r="A58" t="str">
            <v xml:space="preserve"> - Capital Expenditures</v>
          </cell>
          <cell r="C58">
            <v>6033.1469857700831</v>
          </cell>
          <cell r="D58">
            <v>1324</v>
          </cell>
          <cell r="E58">
            <v>4709.1469857700831</v>
          </cell>
          <cell r="F58">
            <v>3.1548902862493441E-2</v>
          </cell>
          <cell r="H58">
            <v>2575</v>
          </cell>
          <cell r="I58">
            <v>5982</v>
          </cell>
        </row>
        <row r="59">
          <cell r="A59" t="str">
            <v xml:space="preserve"> - Adjustment For Straight-lining</v>
          </cell>
          <cell r="C59">
            <v>6181.4038575367504</v>
          </cell>
          <cell r="D59">
            <v>5755</v>
          </cell>
          <cell r="E59">
            <v>426.40385753675037</v>
          </cell>
          <cell r="F59">
            <v>2.8566901653887407E-3</v>
          </cell>
          <cell r="H59">
            <v>6464</v>
          </cell>
          <cell r="I59">
            <v>6129</v>
          </cell>
        </row>
        <row r="60">
          <cell r="A60" t="str">
            <v xml:space="preserve"> + Other Adjustments1</v>
          </cell>
          <cell r="C60">
            <v>3214.8841427064144</v>
          </cell>
          <cell r="D60">
            <v>6212</v>
          </cell>
          <cell r="E60">
            <v>2997.1158572935856</v>
          </cell>
          <cell r="F60">
            <v>2.0079160267266846E-2</v>
          </cell>
          <cell r="H60">
            <v>7324</v>
          </cell>
          <cell r="I60">
            <v>3786</v>
          </cell>
        </row>
        <row r="61">
          <cell r="A61" t="str">
            <v>Adjusted Funds From Operations</v>
          </cell>
          <cell r="C61">
            <v>35821.547698020513</v>
          </cell>
          <cell r="D61">
            <v>51268</v>
          </cell>
          <cell r="E61">
            <v>15446.452301979487</v>
          </cell>
          <cell r="F61">
            <v>0.10348341742524696</v>
          </cell>
          <cell r="H61">
            <v>55377</v>
          </cell>
          <cell r="I61">
            <v>50994</v>
          </cell>
        </row>
        <row r="63">
          <cell r="A63" t="str">
            <v>Diluted FFO</v>
          </cell>
        </row>
        <row r="64">
          <cell r="A64" t="str">
            <v xml:space="preserve">  Basic FFO</v>
          </cell>
          <cell r="C64">
            <v>68486.843623143679</v>
          </cell>
          <cell r="D64">
            <v>67677</v>
          </cell>
          <cell r="E64">
            <v>-809.843623143679</v>
          </cell>
          <cell r="F64">
            <v>-5.4255426465928316E-3</v>
          </cell>
          <cell r="H64">
            <v>81625</v>
          </cell>
          <cell r="I64">
            <v>84548</v>
          </cell>
        </row>
        <row r="65">
          <cell r="A65" t="str">
            <v xml:space="preserve">  Preferred Conv D and G</v>
          </cell>
          <cell r="C65">
            <v>0</v>
          </cell>
          <cell r="D65">
            <v>0</v>
          </cell>
          <cell r="E65">
            <v>0</v>
          </cell>
          <cell r="F65">
            <v>0</v>
          </cell>
          <cell r="H65">
            <v>0</v>
          </cell>
          <cell r="I65">
            <v>0</v>
          </cell>
        </row>
        <row r="66">
          <cell r="A66" t="str">
            <v xml:space="preserve">  JV Partner Convertible Ownership FFO</v>
          </cell>
          <cell r="C66">
            <v>0</v>
          </cell>
          <cell r="D66">
            <v>0</v>
          </cell>
          <cell r="E66">
            <v>0</v>
          </cell>
          <cell r="F66">
            <v>0</v>
          </cell>
          <cell r="H66">
            <v>0</v>
          </cell>
          <cell r="I66">
            <v>0</v>
          </cell>
        </row>
        <row r="67">
          <cell r="A67" t="str">
            <v xml:space="preserve">  Unitholder Minority Interest</v>
          </cell>
          <cell r="C67">
            <v>3104.3173557673545</v>
          </cell>
          <cell r="D67">
            <v>1149</v>
          </cell>
          <cell r="E67">
            <v>-1955.3173557673545</v>
          </cell>
          <cell r="F67">
            <v>-1.3099637261028068E-2</v>
          </cell>
          <cell r="H67">
            <v>2487</v>
          </cell>
          <cell r="I67">
            <v>3078</v>
          </cell>
        </row>
        <row r="68">
          <cell r="A68" t="str">
            <v xml:space="preserve">  Minority Interest Share of Add-Backs</v>
          </cell>
          <cell r="C68">
            <v>5247.4864204215546</v>
          </cell>
          <cell r="D68">
            <v>5588</v>
          </cell>
          <cell r="E68">
            <v>340.51357957844539</v>
          </cell>
          <cell r="F68">
            <v>2.2812687473851567E-3</v>
          </cell>
          <cell r="H68">
            <v>5437</v>
          </cell>
          <cell r="I68">
            <v>5203</v>
          </cell>
        </row>
        <row r="69">
          <cell r="A69" t="str">
            <v>Total Diluted FFO</v>
          </cell>
          <cell r="C69">
            <v>76838.647399332593</v>
          </cell>
          <cell r="D69">
            <v>74414</v>
          </cell>
          <cell r="E69">
            <v>-2424.6473993325926</v>
          </cell>
          <cell r="F69">
            <v>-1.6243911160235772E-2</v>
          </cell>
          <cell r="H69">
            <v>89549</v>
          </cell>
          <cell r="I69">
            <v>92829</v>
          </cell>
        </row>
        <row r="71">
          <cell r="A71" t="str">
            <v>Diluted EPS before Extraordinary</v>
          </cell>
          <cell r="C71">
            <v>1.0315623008655333E-2</v>
          </cell>
          <cell r="D71">
            <v>8.4256390252518937E-2</v>
          </cell>
          <cell r="E71">
            <v>7.39407672438636E-2</v>
          </cell>
          <cell r="H71">
            <v>0.17712112997177851</v>
          </cell>
          <cell r="I71">
            <v>0.21819145383532007</v>
          </cell>
        </row>
        <row r="72">
          <cell r="A72" t="str">
            <v>Diluted EPS after Extraordinary</v>
          </cell>
          <cell r="C72">
            <v>1.0315623008655333E-2</v>
          </cell>
          <cell r="D72">
            <v>8.4256390252518937E-2</v>
          </cell>
          <cell r="E72">
            <v>7.39407672438636E-2</v>
          </cell>
          <cell r="H72">
            <v>0.17712112997177851</v>
          </cell>
          <cell r="I72">
            <v>0.21819145383532007</v>
          </cell>
        </row>
        <row r="73">
          <cell r="A73" t="str">
            <v>Normalized Earnings Per Share</v>
          </cell>
          <cell r="C73">
            <v>-7.0224591807495948E-4</v>
          </cell>
          <cell r="D73">
            <v>9.1027518749402E-2</v>
          </cell>
          <cell r="E73">
            <v>9.1729764667476954E-2</v>
          </cell>
          <cell r="H73">
            <v>0.16242649205488593</v>
          </cell>
          <cell r="I73">
            <v>0.21808981749016304</v>
          </cell>
        </row>
        <row r="75">
          <cell r="A75" t="str">
            <v xml:space="preserve">FFO Per Share - Diluted </v>
          </cell>
          <cell r="C75">
            <v>0.51382831973665499</v>
          </cell>
          <cell r="D75">
            <v>0.49853616051988076</v>
          </cell>
          <cell r="E75">
            <v>-1.5292159216774237E-2</v>
          </cell>
          <cell r="H75">
            <v>0.56777200101445602</v>
          </cell>
          <cell r="I75">
            <v>0.61417182176056107</v>
          </cell>
        </row>
        <row r="77">
          <cell r="A77" t="str">
            <v>Adjusted FFO Per Share - Diluted</v>
          </cell>
          <cell r="C77">
            <v>0.26311807819293814</v>
          </cell>
          <cell r="D77">
            <v>0.37732849541108848</v>
          </cell>
          <cell r="E77">
            <v>0.11421041721815034</v>
          </cell>
          <cell r="H77">
            <v>0.38493139258456022</v>
          </cell>
          <cell r="I77">
            <v>0.37020312749553524</v>
          </cell>
        </row>
        <row r="78">
          <cell r="A78" t="str">
            <v>NOI Per Share</v>
          </cell>
          <cell r="C78">
            <v>0.91489403812066428</v>
          </cell>
          <cell r="D78">
            <v>0.97539577982056513</v>
          </cell>
          <cell r="E78">
            <v>6.0501741699900857E-2</v>
          </cell>
          <cell r="H78">
            <v>0.89733911665345956</v>
          </cell>
          <cell r="I78">
            <v>0.89657775906378412</v>
          </cell>
        </row>
        <row r="79">
          <cell r="A79" t="str">
            <v>EBITDA Per Share</v>
          </cell>
          <cell r="C79">
            <v>0.87281936567335661</v>
          </cell>
          <cell r="D79">
            <v>0.9054985979348058</v>
          </cell>
          <cell r="E79">
            <v>3.2679232261449198E-2</v>
          </cell>
          <cell r="H79">
            <v>0.92054885932351838</v>
          </cell>
          <cell r="I79">
            <v>0.8752849447533867</v>
          </cell>
        </row>
        <row r="81">
          <cell r="A81" t="str">
            <v>Dividends Per Share</v>
          </cell>
          <cell r="C81">
            <v>0.47</v>
          </cell>
          <cell r="D81">
            <v>0.46500000000000002</v>
          </cell>
          <cell r="E81">
            <v>-4.9999999999999489E-3</v>
          </cell>
          <cell r="H81">
            <v>0.46500000000000002</v>
          </cell>
          <cell r="I81">
            <v>0.47</v>
          </cell>
        </row>
        <row r="83">
          <cell r="A83" t="str">
            <v xml:space="preserve">Payout Ratio (Net Income) </v>
          </cell>
          <cell r="C83">
            <v>45.561959719315645</v>
          </cell>
          <cell r="D83">
            <v>5.5188692348008388</v>
          </cell>
          <cell r="E83">
            <v>-40.043090484514806</v>
          </cell>
          <cell r="H83">
            <v>2.6253220046309016</v>
          </cell>
          <cell r="I83">
            <v>2.1540715355182165</v>
          </cell>
        </row>
        <row r="84">
          <cell r="A84" t="str">
            <v xml:space="preserve">Payout Ratio (FFO) </v>
          </cell>
          <cell r="C84">
            <v>0.91470240534986913</v>
          </cell>
          <cell r="D84">
            <v>0.93273073615179947</v>
          </cell>
          <cell r="E84">
            <v>1.8028330801930337E-2</v>
          </cell>
          <cell r="H84">
            <v>0.81899072016437924</v>
          </cell>
          <cell r="I84">
            <v>0.76525816285858939</v>
          </cell>
        </row>
        <row r="85">
          <cell r="A85" t="str">
            <v xml:space="preserve">Payout Ratio (AFFO) </v>
          </cell>
          <cell r="C85">
            <v>1.7862702678124622</v>
          </cell>
          <cell r="D85">
            <v>1.2323479558399002</v>
          </cell>
          <cell r="E85">
            <v>-0.55392231197256203</v>
          </cell>
          <cell r="H85">
            <v>1.2080074760279538</v>
          </cell>
          <cell r="I85">
            <v>1.2695732831313489</v>
          </cell>
        </row>
        <row r="87">
          <cell r="A87" t="str">
            <v>Shares Outstanding</v>
          </cell>
          <cell r="C87">
            <v>135369.48000000001</v>
          </cell>
          <cell r="D87">
            <v>134781</v>
          </cell>
          <cell r="E87">
            <v>-588.48000000001048</v>
          </cell>
          <cell r="H87">
            <v>143089</v>
          </cell>
          <cell r="I87">
            <v>136855</v>
          </cell>
        </row>
        <row r="88">
          <cell r="A88" t="str">
            <v>Other dilutive securities</v>
          </cell>
          <cell r="C88">
            <v>773</v>
          </cell>
          <cell r="D88">
            <v>1090</v>
          </cell>
          <cell r="E88">
            <v>317</v>
          </cell>
          <cell r="H88">
            <v>773</v>
          </cell>
          <cell r="I88">
            <v>891</v>
          </cell>
        </row>
        <row r="89">
          <cell r="A89" t="str">
            <v>Diluted Shares O/S (Thous.)</v>
          </cell>
          <cell r="C89">
            <v>136142.48000000001</v>
          </cell>
          <cell r="D89">
            <v>135871</v>
          </cell>
          <cell r="E89">
            <v>-271.48000000001048</v>
          </cell>
          <cell r="H89">
            <v>143862</v>
          </cell>
          <cell r="I89">
            <v>137746</v>
          </cell>
        </row>
        <row r="90">
          <cell r="A90" t="str">
            <v>Units Outstanding</v>
          </cell>
          <cell r="C90">
            <v>13399</v>
          </cell>
          <cell r="D90">
            <v>13394</v>
          </cell>
          <cell r="E90">
            <v>-5</v>
          </cell>
          <cell r="H90">
            <v>13858</v>
          </cell>
          <cell r="I90">
            <v>13399</v>
          </cell>
        </row>
        <row r="91">
          <cell r="A91" t="str">
            <v>Convertible D &amp; G Equivalents</v>
          </cell>
          <cell r="C91">
            <v>0</v>
          </cell>
          <cell r="D91">
            <v>0</v>
          </cell>
          <cell r="E91">
            <v>0</v>
          </cell>
          <cell r="H91">
            <v>0</v>
          </cell>
          <cell r="I91">
            <v>0</v>
          </cell>
        </row>
        <row r="92">
          <cell r="A92" t="str">
            <v>JV Covertible Equivalents</v>
          </cell>
          <cell r="C92">
            <v>0</v>
          </cell>
          <cell r="D92">
            <v>0</v>
          </cell>
          <cell r="E92">
            <v>0</v>
          </cell>
          <cell r="H92">
            <v>0</v>
          </cell>
          <cell r="I92">
            <v>0</v>
          </cell>
        </row>
        <row r="93">
          <cell r="A93" t="str">
            <v>Diluted Shares and Units (Thous.)</v>
          </cell>
          <cell r="C93">
            <v>149541.48000000001</v>
          </cell>
          <cell r="D93">
            <v>149265</v>
          </cell>
          <cell r="E93">
            <v>-276.48000000001048</v>
          </cell>
          <cell r="H93">
            <v>157720</v>
          </cell>
          <cell r="I93">
            <v>151145</v>
          </cell>
        </row>
        <row r="98">
          <cell r="A98" t="str">
            <v>Gregory Whyte</v>
          </cell>
          <cell r="I98" t="str">
            <v>(212) 761-6331</v>
          </cell>
        </row>
        <row r="99">
          <cell r="A99" t="str">
            <v>Morgan Stanley  REIT Research</v>
          </cell>
          <cell r="I99" t="str">
            <v>Gregory.Whyte@morganstanley.com</v>
          </cell>
        </row>
      </sheetData>
      <sheetData sheetId="29" refreshError="1">
        <row r="1">
          <cell r="A1" t="str">
            <v>Duke Realty (DRE)</v>
          </cell>
          <cell r="I1" t="str">
            <v>Matt Ostrower</v>
          </cell>
        </row>
        <row r="2">
          <cell r="A2" t="str">
            <v>3Q06 Earnings Variance Analysis Worksheet</v>
          </cell>
          <cell r="I2" t="str">
            <v>Morgan Stanley REIT Research Team</v>
          </cell>
        </row>
        <row r="3">
          <cell r="A3" t="str">
            <v>($ in Thousands, Except per Share Amounts)</v>
          </cell>
          <cell r="I3" t="str">
            <v>(212) 761-6284   Matthew.Ostrower@morganstanley.com</v>
          </cell>
        </row>
        <row r="5">
          <cell r="C5">
            <v>54</v>
          </cell>
          <cell r="D5">
            <v>54</v>
          </cell>
          <cell r="H5">
            <v>49</v>
          </cell>
          <cell r="I5">
            <v>53</v>
          </cell>
        </row>
        <row r="6">
          <cell r="C6" t="str">
            <v>MS</v>
          </cell>
          <cell r="D6" t="str">
            <v>Reported</v>
          </cell>
          <cell r="F6" t="str">
            <v>Per Share</v>
          </cell>
        </row>
        <row r="7">
          <cell r="A7" t="str">
            <v>Year Ends December 31</v>
          </cell>
          <cell r="C7" t="str">
            <v>3Q06E</v>
          </cell>
          <cell r="D7" t="str">
            <v>3Q06A</v>
          </cell>
          <cell r="E7" t="str">
            <v>Variance</v>
          </cell>
          <cell r="F7" t="str">
            <v>Impact</v>
          </cell>
          <cell r="G7" t="str">
            <v>Comments</v>
          </cell>
          <cell r="H7" t="str">
            <v>3Q05A</v>
          </cell>
          <cell r="I7" t="str">
            <v>2Q06A</v>
          </cell>
        </row>
        <row r="8">
          <cell r="A8" t="str">
            <v>RENTAL OPERATIONS</v>
          </cell>
        </row>
        <row r="9">
          <cell r="A9" t="str">
            <v>Rental Income</v>
          </cell>
          <cell r="C9">
            <v>197237.74</v>
          </cell>
          <cell r="D9">
            <v>208253</v>
          </cell>
          <cell r="E9">
            <v>11015.26</v>
          </cell>
          <cell r="F9">
            <v>7.363633932749522E-2</v>
          </cell>
          <cell r="H9">
            <v>173159</v>
          </cell>
          <cell r="I9">
            <v>201263</v>
          </cell>
        </row>
        <row r="10">
          <cell r="A10" t="str">
            <v>Equity in Unconsolidated Cos.</v>
          </cell>
          <cell r="C10">
            <v>9502.08</v>
          </cell>
          <cell r="D10">
            <v>3492</v>
          </cell>
          <cell r="E10">
            <v>-6010.08</v>
          </cell>
          <cell r="F10">
            <v>-4.0177017180292797E-2</v>
          </cell>
          <cell r="H10">
            <v>4143</v>
          </cell>
          <cell r="I10">
            <v>9696</v>
          </cell>
        </row>
        <row r="11">
          <cell r="A11" t="str">
            <v>Total Income</v>
          </cell>
          <cell r="C11">
            <v>206739.82</v>
          </cell>
          <cell r="D11">
            <v>211745</v>
          </cell>
          <cell r="E11">
            <v>5005.179999999993</v>
          </cell>
          <cell r="F11">
            <v>3.3459322147202306E-2</v>
          </cell>
          <cell r="H11">
            <v>177302</v>
          </cell>
          <cell r="I11">
            <v>210959</v>
          </cell>
        </row>
        <row r="13">
          <cell r="A13" t="str">
            <v>Rental Expenses</v>
          </cell>
          <cell r="C13">
            <v>-48959.562661753647</v>
          </cell>
          <cell r="D13">
            <v>-46073</v>
          </cell>
          <cell r="E13">
            <v>2886.5626617536473</v>
          </cell>
          <cell r="F13">
            <v>1.929649483089543E-2</v>
          </cell>
          <cell r="H13">
            <v>-41251</v>
          </cell>
          <cell r="I13">
            <v>-45057</v>
          </cell>
        </row>
        <row r="14">
          <cell r="A14" t="str">
            <v>Real Estate Taxes</v>
          </cell>
          <cell r="C14">
            <v>-25285.896720701781</v>
          </cell>
          <cell r="D14">
            <v>-23086</v>
          </cell>
          <cell r="E14">
            <v>2199.8967207017813</v>
          </cell>
          <cell r="F14">
            <v>1.4706175016390008E-2</v>
          </cell>
          <cell r="H14">
            <v>-22199</v>
          </cell>
          <cell r="I14">
            <v>-24252</v>
          </cell>
        </row>
        <row r="15">
          <cell r="A15" t="str">
            <v>Acq. &amp; Develop. NOI</v>
          </cell>
          <cell r="C15">
            <v>1408.6279716816587</v>
          </cell>
          <cell r="D15">
            <v>0</v>
          </cell>
          <cell r="E15">
            <v>-1408.6279716816587</v>
          </cell>
          <cell r="F15">
            <v>-9.4165918288766533E-3</v>
          </cell>
        </row>
        <row r="16">
          <cell r="A16" t="str">
            <v>Net Operating Income</v>
          </cell>
          <cell r="C16">
            <v>133902.98858922621</v>
          </cell>
          <cell r="D16">
            <v>142586</v>
          </cell>
          <cell r="E16">
            <v>8683.01141077379</v>
          </cell>
          <cell r="F16">
            <v>5.8045400165611272E-2</v>
          </cell>
          <cell r="H16">
            <v>113852</v>
          </cell>
          <cell r="I16">
            <v>141650</v>
          </cell>
        </row>
        <row r="18">
          <cell r="A18" t="str">
            <v>SERVICE OPERATIONS</v>
          </cell>
        </row>
        <row r="19">
          <cell r="A19" t="str">
            <v>Gross Contractor Revenue</v>
          </cell>
          <cell r="C19">
            <v>56660.720365786576</v>
          </cell>
          <cell r="D19">
            <v>100314</v>
          </cell>
          <cell r="E19">
            <v>43653.279634213424</v>
          </cell>
          <cell r="F19">
            <v>0.29181950420625324</v>
          </cell>
          <cell r="H19">
            <v>103879</v>
          </cell>
          <cell r="I19">
            <v>54061</v>
          </cell>
        </row>
        <row r="20">
          <cell r="A20" t="str">
            <v>Gross Contractor Costs</v>
          </cell>
          <cell r="C20">
            <v>-49790.659299858555</v>
          </cell>
          <cell r="D20">
            <v>-93555</v>
          </cell>
          <cell r="E20">
            <v>-43764.340700141445</v>
          </cell>
          <cell r="F20">
            <v>-0.29256194063868873</v>
          </cell>
          <cell r="H20">
            <v>-93750</v>
          </cell>
          <cell r="I20">
            <v>-48798</v>
          </cell>
        </row>
        <row r="21">
          <cell r="A21" t="str">
            <v xml:space="preserve">  Net Contractor Revenue</v>
          </cell>
          <cell r="C21">
            <v>6870.061065928021</v>
          </cell>
          <cell r="D21">
            <v>6759</v>
          </cell>
          <cell r="E21">
            <v>-111.06106592802098</v>
          </cell>
          <cell r="F21">
            <v>-7.4243643243546349E-4</v>
          </cell>
          <cell r="H21">
            <v>10129</v>
          </cell>
          <cell r="I21">
            <v>5263</v>
          </cell>
        </row>
        <row r="22">
          <cell r="A22" t="str">
            <v>Construction and Devel. Activity Income (Devel Gains)</v>
          </cell>
          <cell r="C22">
            <v>13218</v>
          </cell>
          <cell r="D22">
            <v>11665</v>
          </cell>
          <cell r="E22">
            <v>-1553</v>
          </cell>
          <cell r="F22">
            <v>-1.0381710007353433E-2</v>
          </cell>
          <cell r="H22">
            <v>8092</v>
          </cell>
          <cell r="I22">
            <v>561</v>
          </cell>
        </row>
        <row r="23">
          <cell r="A23" t="str">
            <v>Property Mgmt. Maint. &amp; Leasing Fees</v>
          </cell>
          <cell r="C23">
            <v>4092</v>
          </cell>
          <cell r="D23">
            <v>3335</v>
          </cell>
          <cell r="E23">
            <v>-757</v>
          </cell>
          <cell r="F23">
            <v>-5.0604986964369273E-3</v>
          </cell>
          <cell r="H23">
            <v>4092</v>
          </cell>
          <cell r="I23">
            <v>3504</v>
          </cell>
        </row>
        <row r="24">
          <cell r="A24" t="str">
            <v>Other Income</v>
          </cell>
          <cell r="C24">
            <v>1771</v>
          </cell>
          <cell r="D24">
            <v>715</v>
          </cell>
          <cell r="E24">
            <v>-1056</v>
          </cell>
          <cell r="F24">
            <v>-7.0592954074470216E-3</v>
          </cell>
          <cell r="H24">
            <v>271</v>
          </cell>
          <cell r="I24">
            <v>390</v>
          </cell>
        </row>
        <row r="25">
          <cell r="A25" t="str">
            <v>Operating Expenses</v>
          </cell>
          <cell r="C25">
            <v>-14402.838891590052</v>
          </cell>
          <cell r="D25">
            <v>-11923</v>
          </cell>
          <cell r="E25">
            <v>2479.8388915900523</v>
          </cell>
          <cell r="F25">
            <v>1.6577571305502053E-2</v>
          </cell>
          <cell r="H25">
            <v>-10588</v>
          </cell>
          <cell r="I25">
            <v>-6242</v>
          </cell>
        </row>
        <row r="26">
          <cell r="A26" t="str">
            <v>General and Administrative</v>
          </cell>
          <cell r="C26">
            <v>-5772.892183912938</v>
          </cell>
          <cell r="D26">
            <v>-6804</v>
          </cell>
          <cell r="E26">
            <v>-1031.107816087062</v>
          </cell>
          <cell r="F26">
            <v>-6.892892680573982E-3</v>
          </cell>
          <cell r="H26">
            <v>-5250</v>
          </cell>
          <cell r="I26">
            <v>-6965</v>
          </cell>
        </row>
        <row r="28">
          <cell r="A28" t="str">
            <v>EBITDA</v>
          </cell>
          <cell r="C28">
            <v>139678.31857965124</v>
          </cell>
          <cell r="D28">
            <v>146333</v>
          </cell>
          <cell r="E28">
            <v>6654.6814203487593</v>
          </cell>
          <cell r="F28">
            <v>4.4486138246866494E-2</v>
          </cell>
          <cell r="H28">
            <v>120598</v>
          </cell>
          <cell r="I28">
            <v>138161</v>
          </cell>
        </row>
        <row r="30">
          <cell r="A30" t="str">
            <v>Interest Expense</v>
          </cell>
          <cell r="C30">
            <v>45603.431954668005</v>
          </cell>
          <cell r="D30">
            <v>50173</v>
          </cell>
          <cell r="E30">
            <v>-4569.5680453319947</v>
          </cell>
          <cell r="F30">
            <v>-3.0547282875406076E-2</v>
          </cell>
          <cell r="H30">
            <v>31522</v>
          </cell>
          <cell r="I30">
            <v>45467</v>
          </cell>
        </row>
        <row r="31">
          <cell r="A31" t="str">
            <v>Depreciation and Amortization</v>
          </cell>
          <cell r="C31">
            <v>66116.055896930135</v>
          </cell>
          <cell r="D31">
            <v>63892</v>
          </cell>
          <cell r="E31">
            <v>2224.0558969301346</v>
          </cell>
          <cell r="F31">
            <v>1.4867677631727619E-2</v>
          </cell>
          <cell r="H31">
            <v>61245</v>
          </cell>
          <cell r="I31">
            <v>64333</v>
          </cell>
        </row>
        <row r="32">
          <cell r="A32" t="str">
            <v>Interest Income</v>
          </cell>
          <cell r="C32">
            <v>2109.9291954193641</v>
          </cell>
          <cell r="D32">
            <v>4381</v>
          </cell>
          <cell r="E32">
            <v>2271.0708045806359</v>
          </cell>
          <cell r="F32">
            <v>1.5181969413601417E-2</v>
          </cell>
          <cell r="H32">
            <v>1683</v>
          </cell>
          <cell r="I32">
            <v>2232</v>
          </cell>
        </row>
        <row r="33">
          <cell r="A33" t="str">
            <v>Other Expense</v>
          </cell>
          <cell r="C33">
            <v>-264.68645820673021</v>
          </cell>
          <cell r="D33">
            <v>0</v>
          </cell>
          <cell r="E33">
            <v>264.68645820673021</v>
          </cell>
          <cell r="F33">
            <v>1.7694127829850272E-3</v>
          </cell>
          <cell r="H33">
            <v>-166</v>
          </cell>
          <cell r="I33">
            <v>-280</v>
          </cell>
        </row>
        <row r="34">
          <cell r="A34" t="str">
            <v>Other Min. Int. in Earn. of Subs.</v>
          </cell>
          <cell r="C34">
            <v>-69.007540889611818</v>
          </cell>
          <cell r="D34">
            <v>-126</v>
          </cell>
          <cell r="E34">
            <v>56.992459110388182</v>
          </cell>
          <cell r="F34">
            <v>3.8099110308435178E-4</v>
          </cell>
          <cell r="H34">
            <v>-1396</v>
          </cell>
          <cell r="I34">
            <v>-73</v>
          </cell>
        </row>
        <row r="35">
          <cell r="A35" t="str">
            <v>Preferred Issuance Costs</v>
          </cell>
          <cell r="C35">
            <v>0</v>
          </cell>
          <cell r="D35">
            <v>0</v>
          </cell>
          <cell r="E35">
            <v>0</v>
          </cell>
          <cell r="F35">
            <v>0</v>
          </cell>
          <cell r="H35">
            <v>0</v>
          </cell>
          <cell r="I35">
            <v>0</v>
          </cell>
        </row>
        <row r="36">
          <cell r="A36" t="str">
            <v>NI Before Gains &amp; Minority Int.</v>
          </cell>
          <cell r="C36">
            <v>29735.065924376122</v>
          </cell>
          <cell r="D36">
            <v>36523</v>
          </cell>
          <cell r="E36">
            <v>6787.934075623878</v>
          </cell>
          <cell r="F36">
            <v>4.5376924096690141E-2</v>
          </cell>
          <cell r="H36">
            <v>27952</v>
          </cell>
          <cell r="I36">
            <v>30240</v>
          </cell>
        </row>
        <row r="38">
          <cell r="A38" t="str">
            <v>Gains On Sale</v>
          </cell>
          <cell r="C38">
            <v>10000</v>
          </cell>
          <cell r="D38">
            <v>235</v>
          </cell>
          <cell r="E38">
            <v>-9765</v>
          </cell>
          <cell r="F38">
            <v>-6.5278427702386524E-2</v>
          </cell>
          <cell r="H38">
            <v>-56</v>
          </cell>
          <cell r="I38">
            <v>30</v>
          </cell>
        </row>
        <row r="39">
          <cell r="A39" t="str">
            <v>Land Sales Gains - incl. in FFO</v>
          </cell>
          <cell r="C39">
            <v>2000</v>
          </cell>
          <cell r="D39">
            <v>2982</v>
          </cell>
          <cell r="E39">
            <v>982</v>
          </cell>
          <cell r="F39">
            <v>6.5646099338191053E-3</v>
          </cell>
          <cell r="H39">
            <v>2506</v>
          </cell>
          <cell r="I39">
            <v>555</v>
          </cell>
        </row>
        <row r="40">
          <cell r="A40" t="str">
            <v>Min Interest in Earnings of Pfd Unitholders</v>
          </cell>
          <cell r="C40">
            <v>0</v>
          </cell>
          <cell r="D40">
            <v>0</v>
          </cell>
          <cell r="E40">
            <v>0</v>
          </cell>
          <cell r="F40">
            <v>0</v>
          </cell>
          <cell r="H40">
            <v>0</v>
          </cell>
          <cell r="I40">
            <v>0</v>
          </cell>
        </row>
        <row r="41">
          <cell r="A41" t="str">
            <v>Min Interest in Earnings of Unitholders</v>
          </cell>
          <cell r="C41">
            <v>1670.3606130403298</v>
          </cell>
          <cell r="D41">
            <v>2306</v>
          </cell>
          <cell r="E41">
            <v>-635.63938695967022</v>
          </cell>
          <cell r="F41">
            <v>-4.2492104215500386E-3</v>
          </cell>
          <cell r="H41">
            <v>1821</v>
          </cell>
          <cell r="I41">
            <v>1767</v>
          </cell>
        </row>
        <row r="42">
          <cell r="A42" t="str">
            <v>Net Income</v>
          </cell>
          <cell r="C42">
            <v>40064.705311335791</v>
          </cell>
          <cell r="D42">
            <v>37199</v>
          </cell>
          <cell r="E42">
            <v>-2865.7053113357906</v>
          </cell>
          <cell r="F42">
            <v>-1.9157064719137581E-2</v>
          </cell>
          <cell r="H42">
            <v>28502</v>
          </cell>
          <cell r="I42">
            <v>29027</v>
          </cell>
        </row>
        <row r="43">
          <cell r="A43" t="str">
            <v>Preferred Dividend</v>
          </cell>
          <cell r="C43">
            <v>13255</v>
          </cell>
          <cell r="D43">
            <v>15226</v>
          </cell>
          <cell r="E43">
            <v>-1971</v>
          </cell>
          <cell r="F43">
            <v>-1.3176014439467879E-2</v>
          </cell>
          <cell r="H43">
            <v>11619</v>
          </cell>
          <cell r="I43">
            <v>13255</v>
          </cell>
        </row>
        <row r="44">
          <cell r="A44" t="str">
            <v>Net Income from Discontinued Operations</v>
          </cell>
          <cell r="C44">
            <v>4580</v>
          </cell>
          <cell r="D44">
            <v>-3974</v>
          </cell>
          <cell r="E44">
            <v>-8554</v>
          </cell>
          <cell r="F44">
            <v>-5.7182966775854001E-2</v>
          </cell>
          <cell r="H44">
            <v>3853</v>
          </cell>
          <cell r="I44">
            <v>4580</v>
          </cell>
        </row>
        <row r="45">
          <cell r="A45" t="str">
            <v>Gain on Sale of Discontinued Operations</v>
          </cell>
          <cell r="C45">
            <v>1365</v>
          </cell>
          <cell r="D45">
            <v>43735</v>
          </cell>
          <cell r="E45">
            <v>42370</v>
          </cell>
          <cell r="F45">
            <v>0.28324085834614615</v>
          </cell>
          <cell r="H45">
            <v>192612</v>
          </cell>
          <cell r="I45">
            <v>1365</v>
          </cell>
        </row>
        <row r="46">
          <cell r="A46" t="str">
            <v>Net Income Avail. to Common</v>
          </cell>
          <cell r="C46">
            <v>32754.705311335791</v>
          </cell>
          <cell r="D46">
            <v>61734</v>
          </cell>
          <cell r="E46">
            <v>28979.294688664209</v>
          </cell>
          <cell r="F46">
            <v>0.19372481241168668</v>
          </cell>
          <cell r="H46">
            <v>213348</v>
          </cell>
          <cell r="I46">
            <v>21717</v>
          </cell>
        </row>
        <row r="47">
          <cell r="B47" t="str">
            <v>Adjustment OP units</v>
          </cell>
          <cell r="C47" t="e">
            <v>#N/A</v>
          </cell>
          <cell r="D47" t="e">
            <v>#N/A</v>
          </cell>
          <cell r="H47" t="e">
            <v>#N/A</v>
          </cell>
          <cell r="I47" t="e">
            <v>#N/A</v>
          </cell>
        </row>
        <row r="48">
          <cell r="B48" t="str">
            <v>Adjustment: Gains and Extraordinary Items</v>
          </cell>
          <cell r="C48" t="e">
            <v>#N/A</v>
          </cell>
          <cell r="D48" t="e">
            <v>#N/A</v>
          </cell>
          <cell r="E48" t="e">
            <v>#N/A</v>
          </cell>
          <cell r="F48" t="e">
            <v>#N/A</v>
          </cell>
          <cell r="H48" t="e">
            <v>#N/A</v>
          </cell>
          <cell r="I48" t="e">
            <v>#N/A</v>
          </cell>
        </row>
        <row r="49">
          <cell r="A49" t="str">
            <v>Normalized Earnings</v>
          </cell>
          <cell r="C49">
            <v>22754.705311335791</v>
          </cell>
          <cell r="D49">
            <v>61499</v>
          </cell>
          <cell r="E49">
            <v>38744.294688664209</v>
          </cell>
          <cell r="F49">
            <v>0.25900324011407322</v>
          </cell>
          <cell r="H49">
            <v>213404</v>
          </cell>
          <cell r="I49">
            <v>21687</v>
          </cell>
        </row>
        <row r="51">
          <cell r="A51" t="str">
            <v xml:space="preserve">  + Depreciation and Amortization</v>
          </cell>
          <cell r="C51">
            <v>66116.055896930135</v>
          </cell>
          <cell r="D51">
            <v>64363</v>
          </cell>
          <cell r="E51">
            <v>-1753.0558969301346</v>
          </cell>
          <cell r="F51">
            <v>-1.1719071441474261E-2</v>
          </cell>
          <cell r="H51">
            <v>67623</v>
          </cell>
          <cell r="I51">
            <v>65167</v>
          </cell>
        </row>
        <row r="52">
          <cell r="A52" t="str">
            <v xml:space="preserve">  + Depr. &amp; Amort. on J.V.'s</v>
          </cell>
          <cell r="C52">
            <v>4646.25</v>
          </cell>
          <cell r="D52">
            <v>4568</v>
          </cell>
          <cell r="E52">
            <v>-78.25</v>
          </cell>
          <cell r="F52">
            <v>-5.2309646366735746E-4</v>
          </cell>
          <cell r="H52">
            <v>5003</v>
          </cell>
          <cell r="I52">
            <v>4425</v>
          </cell>
        </row>
        <row r="53">
          <cell r="A53" t="str">
            <v xml:space="preserve">  - Earnings from Property Sales</v>
          </cell>
          <cell r="C53">
            <v>-11365</v>
          </cell>
          <cell r="D53">
            <v>-39257</v>
          </cell>
          <cell r="E53">
            <v>-27892</v>
          </cell>
          <cell r="F53">
            <v>-0.18645631392472758</v>
          </cell>
          <cell r="H53">
            <v>-210837</v>
          </cell>
          <cell r="I53">
            <v>-6931</v>
          </cell>
        </row>
        <row r="54">
          <cell r="A54" t="str">
            <v xml:space="preserve">  - MI Share of Add-Backs</v>
          </cell>
          <cell r="C54">
            <v>-5314.5259572794193</v>
          </cell>
          <cell r="D54">
            <v>-2621</v>
          </cell>
          <cell r="E54">
            <v>2693.5259572794193</v>
          </cell>
          <cell r="F54">
            <v>1.8006056268998056E-2</v>
          </cell>
          <cell r="H54">
            <v>12038</v>
          </cell>
          <cell r="I54">
            <v>-5622</v>
          </cell>
        </row>
        <row r="55">
          <cell r="A55" t="str">
            <v xml:space="preserve"> Funds From Operations</v>
          </cell>
          <cell r="C55">
            <v>86837.485250986501</v>
          </cell>
          <cell r="D55">
            <v>88787</v>
          </cell>
          <cell r="E55">
            <v>1949.5147490134987</v>
          </cell>
          <cell r="F55">
            <v>1.3032386850815553E-2</v>
          </cell>
          <cell r="H55">
            <v>87175</v>
          </cell>
          <cell r="I55">
            <v>78756</v>
          </cell>
        </row>
        <row r="57">
          <cell r="A57" t="str">
            <v xml:space="preserve"> - TIs &amp; Leasing Commisions</v>
          </cell>
          <cell r="C57">
            <v>14073.75710636357</v>
          </cell>
          <cell r="D57">
            <v>17955</v>
          </cell>
          <cell r="E57">
            <v>-3881.2428936364304</v>
          </cell>
          <cell r="F57">
            <v>-2.5945871339236783E-2</v>
          </cell>
          <cell r="H57">
            <v>22141</v>
          </cell>
          <cell r="I57">
            <v>14888</v>
          </cell>
        </row>
        <row r="58">
          <cell r="A58" t="str">
            <v xml:space="preserve"> - Capital Expenditures</v>
          </cell>
          <cell r="C58">
            <v>1743.1493890471806</v>
          </cell>
          <cell r="D58">
            <v>2495</v>
          </cell>
          <cell r="E58">
            <v>-751.85061095281935</v>
          </cell>
          <cell r="F58">
            <v>-5.0260753456301847E-3</v>
          </cell>
          <cell r="H58">
            <v>4188</v>
          </cell>
          <cell r="I58">
            <v>1844</v>
          </cell>
        </row>
        <row r="59">
          <cell r="A59" t="str">
            <v xml:space="preserve"> - Adjustment For Straight-lining</v>
          </cell>
          <cell r="C59">
            <v>4769.0827916176931</v>
          </cell>
          <cell r="D59">
            <v>5345</v>
          </cell>
          <cell r="E59">
            <v>-575.91720838230685</v>
          </cell>
          <cell r="F59">
            <v>-3.8499713107982276E-3</v>
          </cell>
          <cell r="H59">
            <v>6287</v>
          </cell>
          <cell r="I59">
            <v>5045</v>
          </cell>
        </row>
        <row r="60">
          <cell r="A60" t="str">
            <v xml:space="preserve"> + Other Adjustments1</v>
          </cell>
          <cell r="C60">
            <v>1817.1939222948254</v>
          </cell>
          <cell r="D60">
            <v>7394</v>
          </cell>
          <cell r="E60">
            <v>5576.8060777051742</v>
          </cell>
          <cell r="F60">
            <v>3.7280607511900356E-2</v>
          </cell>
          <cell r="H60">
            <v>3942</v>
          </cell>
          <cell r="I60">
            <v>4996</v>
          </cell>
        </row>
        <row r="61">
          <cell r="A61" t="str">
            <v>Adjusted Funds From Operations</v>
          </cell>
          <cell r="C61">
            <v>68068.689886252891</v>
          </cell>
          <cell r="D61">
            <v>70386</v>
          </cell>
          <cell r="E61">
            <v>2317.3101137471094</v>
          </cell>
          <cell r="F61">
            <v>1.5491076367050669E-2</v>
          </cell>
          <cell r="H61">
            <v>58501</v>
          </cell>
          <cell r="I61">
            <v>61975</v>
          </cell>
        </row>
        <row r="63">
          <cell r="A63" t="str">
            <v>Diluted FFO</v>
          </cell>
        </row>
        <row r="64">
          <cell r="A64" t="str">
            <v xml:space="preserve">  Basic FFO</v>
          </cell>
          <cell r="C64">
            <v>86837.485250986501</v>
          </cell>
          <cell r="D64">
            <v>88787</v>
          </cell>
          <cell r="E64">
            <v>1949.5147490134987</v>
          </cell>
          <cell r="F64">
            <v>1.3032386850815553E-2</v>
          </cell>
          <cell r="H64">
            <v>87175</v>
          </cell>
          <cell r="I64">
            <v>78756</v>
          </cell>
        </row>
        <row r="65">
          <cell r="A65" t="str">
            <v xml:space="preserve">  Preferred Conv D and G</v>
          </cell>
          <cell r="C65">
            <v>0</v>
          </cell>
          <cell r="D65">
            <v>0</v>
          </cell>
          <cell r="E65">
            <v>0</v>
          </cell>
          <cell r="F65">
            <v>0</v>
          </cell>
          <cell r="H65">
            <v>0</v>
          </cell>
          <cell r="I65">
            <v>0</v>
          </cell>
        </row>
        <row r="66">
          <cell r="A66" t="str">
            <v xml:space="preserve">  JV Partner Convertible Ownership FFO</v>
          </cell>
          <cell r="C66">
            <v>0</v>
          </cell>
          <cell r="D66">
            <v>0</v>
          </cell>
          <cell r="E66">
            <v>0</v>
          </cell>
          <cell r="F66">
            <v>0</v>
          </cell>
          <cell r="H66">
            <v>0</v>
          </cell>
          <cell r="I66">
            <v>0</v>
          </cell>
        </row>
        <row r="67">
          <cell r="A67" t="str">
            <v xml:space="preserve">  Unitholder Minority Interest</v>
          </cell>
          <cell r="C67">
            <v>2045.648198426301</v>
          </cell>
          <cell r="D67">
            <v>6083</v>
          </cell>
          <cell r="E67">
            <v>4037.351801573699</v>
          </cell>
          <cell r="F67">
            <v>2.6989449840054143E-2</v>
          </cell>
          <cell r="H67">
            <v>20255</v>
          </cell>
          <cell r="I67">
            <v>2164</v>
          </cell>
        </row>
        <row r="68">
          <cell r="A68" t="str">
            <v xml:space="preserve">  Minority Interest Share of Add-Backs</v>
          </cell>
          <cell r="C68">
            <v>5314.5259572794193</v>
          </cell>
          <cell r="D68">
            <v>2621</v>
          </cell>
          <cell r="E68">
            <v>-2693.5259572794193</v>
          </cell>
          <cell r="F68">
            <v>-1.8006056268998056E-2</v>
          </cell>
          <cell r="H68">
            <v>-12038</v>
          </cell>
          <cell r="I68">
            <v>5622</v>
          </cell>
        </row>
        <row r="69">
          <cell r="A69" t="str">
            <v>Total Diluted FFO</v>
          </cell>
          <cell r="C69">
            <v>94197.659406692212</v>
          </cell>
          <cell r="D69">
            <v>97491</v>
          </cell>
          <cell r="E69">
            <v>3293.3405933077884</v>
          </cell>
          <cell r="F69">
            <v>2.2015780421871706E-2</v>
          </cell>
          <cell r="H69">
            <v>95392</v>
          </cell>
          <cell r="I69">
            <v>86542</v>
          </cell>
        </row>
        <row r="71">
          <cell r="A71" t="str">
            <v>Diluted EPS before Extraordinary</v>
          </cell>
          <cell r="C71">
            <v>0.23837260175272784</v>
          </cell>
          <cell r="D71">
            <v>0.45266499974336227</v>
          </cell>
          <cell r="E71">
            <v>0.21429239799063443</v>
          </cell>
          <cell r="H71">
            <v>1.4874090186564042</v>
          </cell>
          <cell r="I71">
            <v>0.15961340585036013</v>
          </cell>
        </row>
        <row r="72">
          <cell r="A72" t="str">
            <v>Diluted EPS after Extraordinary</v>
          </cell>
          <cell r="C72">
            <v>0.23837260175272784</v>
          </cell>
          <cell r="D72">
            <v>0.45266499974336227</v>
          </cell>
          <cell r="E72">
            <v>0.21429239799063443</v>
          </cell>
          <cell r="H72">
            <v>1.4874090186564042</v>
          </cell>
          <cell r="I72">
            <v>0.15961340585036013</v>
          </cell>
        </row>
        <row r="73">
          <cell r="A73" t="str">
            <v>Normalized Earnings Per Share</v>
          </cell>
          <cell r="C73">
            <v>0.16559753035856342</v>
          </cell>
          <cell r="D73">
            <v>0.45094186055037799</v>
          </cell>
          <cell r="E73">
            <v>0.2853443301918146</v>
          </cell>
          <cell r="H73">
            <v>1.4877994366825622</v>
          </cell>
          <cell r="I73">
            <v>0.15939291489048948</v>
          </cell>
        </row>
        <row r="75">
          <cell r="A75" t="str">
            <v xml:space="preserve">FFO Per Share - Diluted </v>
          </cell>
          <cell r="C75">
            <v>0.62501063710066562</v>
          </cell>
          <cell r="D75">
            <v>0.65172137174944844</v>
          </cell>
          <cell r="E75">
            <v>2.6710734648782819E-2</v>
          </cell>
          <cell r="H75">
            <v>0.60804548612660392</v>
          </cell>
          <cell r="I75">
            <v>0.57940333681476131</v>
          </cell>
        </row>
        <row r="77">
          <cell r="A77" t="str">
            <v>Adjusted FFO Per Share - Diluted</v>
          </cell>
          <cell r="C77">
            <v>0.4953703766179291</v>
          </cell>
          <cell r="D77">
            <v>0.51610585207399962</v>
          </cell>
          <cell r="E77">
            <v>2.0735475456070518E-2</v>
          </cell>
          <cell r="H77">
            <v>0.40785437407624309</v>
          </cell>
          <cell r="I77">
            <v>0.4554975745994414</v>
          </cell>
        </row>
        <row r="78">
          <cell r="A78" t="str">
            <v>NOI Per Share</v>
          </cell>
          <cell r="C78">
            <v>0.97447995544729205</v>
          </cell>
          <cell r="D78">
            <v>1.0455128722163969</v>
          </cell>
          <cell r="E78">
            <v>7.1032916769104837E-2</v>
          </cell>
          <cell r="H78">
            <v>0.79374773418109823</v>
          </cell>
          <cell r="I78">
            <v>1.0410848155225636</v>
          </cell>
        </row>
        <row r="79">
          <cell r="A79" t="str">
            <v>EBITDA Per Share</v>
          </cell>
          <cell r="C79">
            <v>1.016509960685096</v>
          </cell>
          <cell r="D79">
            <v>1.0729877767104907</v>
          </cell>
          <cell r="E79">
            <v>5.64778160253947E-2</v>
          </cell>
          <cell r="H79">
            <v>0.84077916283220389</v>
          </cell>
          <cell r="I79">
            <v>1.0154417168896075</v>
          </cell>
        </row>
        <row r="81">
          <cell r="A81" t="str">
            <v>Dividends Per Share</v>
          </cell>
          <cell r="C81">
            <v>0.47</v>
          </cell>
          <cell r="D81">
            <v>0.47499999999999998</v>
          </cell>
          <cell r="E81">
            <v>5.0000000000000001E-3</v>
          </cell>
          <cell r="H81">
            <v>0.47</v>
          </cell>
          <cell r="I81">
            <v>0.47</v>
          </cell>
        </row>
        <row r="83">
          <cell r="A83" t="str">
            <v xml:space="preserve">Payout Ratio (Net Income) </v>
          </cell>
          <cell r="C83">
            <v>1.9717031090995401</v>
          </cell>
          <cell r="D83">
            <v>1.0493411248258657</v>
          </cell>
          <cell r="E83">
            <v>-0.92236198427367433</v>
          </cell>
          <cell r="H83">
            <v>0.31598571348219812</v>
          </cell>
          <cell r="I83">
            <v>2.9446148178846063</v>
          </cell>
        </row>
        <row r="84">
          <cell r="A84" t="str">
            <v xml:space="preserve">Payout Ratio (FFO) </v>
          </cell>
          <cell r="C84">
            <v>0.75198720165829869</v>
          </cell>
          <cell r="D84">
            <v>0.72883907232462486</v>
          </cell>
          <cell r="E84">
            <v>-2.3148129333673828E-2</v>
          </cell>
          <cell r="H84">
            <v>0.77296848792351558</v>
          </cell>
          <cell r="I84">
            <v>0.81117931177925162</v>
          </cell>
        </row>
        <row r="85">
          <cell r="A85" t="str">
            <v xml:space="preserve">Payout Ratio (AFFO) </v>
          </cell>
          <cell r="C85">
            <v>0.94878503476299536</v>
          </cell>
          <cell r="D85">
            <v>0.92035383456937458</v>
          </cell>
          <cell r="E85">
            <v>-2.8431200193620776E-2</v>
          </cell>
          <cell r="H85">
            <v>1.1523720962034836</v>
          </cell>
          <cell r="I85">
            <v>1.031838644614764</v>
          </cell>
        </row>
        <row r="87">
          <cell r="A87" t="str">
            <v>Shares Outstanding</v>
          </cell>
          <cell r="C87">
            <v>136318.69</v>
          </cell>
          <cell r="D87">
            <v>135117</v>
          </cell>
          <cell r="E87">
            <v>-1201.69</v>
          </cell>
          <cell r="H87">
            <v>142663</v>
          </cell>
          <cell r="I87">
            <v>134969</v>
          </cell>
        </row>
        <row r="88">
          <cell r="A88" t="str">
            <v>Other dilutive securities</v>
          </cell>
          <cell r="C88">
            <v>1091</v>
          </cell>
          <cell r="D88">
            <v>1262</v>
          </cell>
          <cell r="E88">
            <v>171</v>
          </cell>
          <cell r="H88">
            <v>773</v>
          </cell>
          <cell r="I88">
            <v>1091</v>
          </cell>
        </row>
        <row r="89">
          <cell r="A89" t="str">
            <v>Diluted Shares O/S (Thous.)</v>
          </cell>
          <cell r="C89">
            <v>137409.69</v>
          </cell>
          <cell r="D89">
            <v>136379</v>
          </cell>
          <cell r="E89">
            <v>-1030.69</v>
          </cell>
          <cell r="H89">
            <v>143436</v>
          </cell>
          <cell r="I89">
            <v>136060</v>
          </cell>
        </row>
        <row r="90">
          <cell r="A90" t="str">
            <v>Units Outstanding</v>
          </cell>
          <cell r="C90">
            <v>13304</v>
          </cell>
          <cell r="D90">
            <v>13211</v>
          </cell>
          <cell r="E90">
            <v>-93</v>
          </cell>
          <cell r="H90">
            <v>13447</v>
          </cell>
          <cell r="I90">
            <v>13304</v>
          </cell>
        </row>
        <row r="91">
          <cell r="A91" t="str">
            <v>Convertible D &amp; G Equivalents</v>
          </cell>
          <cell r="C91">
            <v>0</v>
          </cell>
          <cell r="D91">
            <v>0</v>
          </cell>
          <cell r="E91">
            <v>0</v>
          </cell>
          <cell r="H91">
            <v>0</v>
          </cell>
          <cell r="I91">
            <v>0</v>
          </cell>
        </row>
        <row r="92">
          <cell r="A92" t="str">
            <v>JV Covertible Equivalents</v>
          </cell>
          <cell r="C92">
            <v>0</v>
          </cell>
          <cell r="D92">
            <v>0</v>
          </cell>
          <cell r="E92">
            <v>0</v>
          </cell>
          <cell r="H92">
            <v>0</v>
          </cell>
          <cell r="I92">
            <v>0</v>
          </cell>
        </row>
        <row r="93">
          <cell r="A93" t="str">
            <v>Diluted Shares and Units (Thous.)</v>
          </cell>
          <cell r="C93">
            <v>150713.69</v>
          </cell>
          <cell r="D93">
            <v>149590</v>
          </cell>
          <cell r="E93">
            <v>-1123.69</v>
          </cell>
          <cell r="H93">
            <v>156883</v>
          </cell>
          <cell r="I93">
            <v>149364</v>
          </cell>
        </row>
        <row r="98">
          <cell r="A98" t="str">
            <v>Matt Ostrower</v>
          </cell>
          <cell r="I98" t="str">
            <v>(212) 761-6284</v>
          </cell>
        </row>
        <row r="99">
          <cell r="A99" t="str">
            <v>Morgan Stanley  REIT Research</v>
          </cell>
          <cell r="I99" t="str">
            <v>Matthew.Ostrower@morganstanley.com</v>
          </cell>
        </row>
      </sheetData>
      <sheetData sheetId="30" refreshError="1">
        <row r="1">
          <cell r="A1" t="str">
            <v>Duke Realty (DRE)</v>
          </cell>
          <cell r="I1" t="str">
            <v>Matt Ostrower</v>
          </cell>
        </row>
        <row r="2">
          <cell r="A2" t="str">
            <v>4Q06 Earnings Variance Analysis Worksheet</v>
          </cell>
          <cell r="I2" t="str">
            <v>Morgan Stanley REIT Research Team</v>
          </cell>
        </row>
        <row r="3">
          <cell r="A3" t="str">
            <v>($ in Thousands, Except per Share Amounts)</v>
          </cell>
          <cell r="I3" t="str">
            <v>(212) 761-6284   Matthew.Ostrower@morganstanley.com</v>
          </cell>
        </row>
        <row r="5">
          <cell r="C5">
            <v>55</v>
          </cell>
          <cell r="D5">
            <v>55</v>
          </cell>
          <cell r="H5">
            <v>50</v>
          </cell>
          <cell r="I5">
            <v>54</v>
          </cell>
        </row>
        <row r="6">
          <cell r="C6" t="str">
            <v>MS</v>
          </cell>
          <cell r="D6" t="str">
            <v>Reported</v>
          </cell>
          <cell r="F6" t="str">
            <v>Per Share</v>
          </cell>
        </row>
        <row r="7">
          <cell r="A7" t="str">
            <v>Year Ends December 31</v>
          </cell>
          <cell r="C7" t="str">
            <v>4Q06E</v>
          </cell>
          <cell r="D7" t="str">
            <v>4Q06A</v>
          </cell>
          <cell r="E7" t="str">
            <v>Variance</v>
          </cell>
          <cell r="F7" t="str">
            <v>Impact</v>
          </cell>
          <cell r="G7" t="str">
            <v>Comments</v>
          </cell>
          <cell r="H7" t="str">
            <v>4Q05A</v>
          </cell>
          <cell r="I7" t="str">
            <v>3Q06A</v>
          </cell>
        </row>
        <row r="9">
          <cell r="A9" t="str">
            <v>Rental Expenses as % of Rental Income</v>
          </cell>
          <cell r="C9">
            <v>0.2112357084891934</v>
          </cell>
          <cell r="D9">
            <v>0.23596102394059279</v>
          </cell>
          <cell r="H9">
            <v>0.22134557690076412</v>
          </cell>
          <cell r="I9">
            <v>0.22123570848919344</v>
          </cell>
        </row>
        <row r="10">
          <cell r="A10" t="str">
            <v>Rental Expenses as % of Total Income</v>
          </cell>
          <cell r="C10">
            <v>0.20816156481009132</v>
          </cell>
          <cell r="D10">
            <v>0.21804104323575549</v>
          </cell>
          <cell r="H10">
            <v>0.21595717727980854</v>
          </cell>
          <cell r="I10">
            <v>0.21758719214149094</v>
          </cell>
        </row>
        <row r="11">
          <cell r="A11" t="str">
            <v>Real Estate Taxes as % of Rental Income</v>
          </cell>
          <cell r="C11">
            <v>0.11085554589849844</v>
          </cell>
          <cell r="D11">
            <v>0.10429024556108747</v>
          </cell>
          <cell r="H11">
            <v>0.12125883321454421</v>
          </cell>
          <cell r="I11">
            <v>0.11085554589849846</v>
          </cell>
        </row>
        <row r="12">
          <cell r="A12" t="str">
            <v>Construction and Mgmt Fee Income as % of Rental Income</v>
          </cell>
          <cell r="C12">
            <v>0.16664959913287875</v>
          </cell>
          <cell r="D12" t="e">
            <v>#N/A</v>
          </cell>
          <cell r="H12" t="e">
            <v>#N/A</v>
          </cell>
          <cell r="I12" t="e">
            <v>#N/A</v>
          </cell>
        </row>
        <row r="13">
          <cell r="A13" t="str">
            <v>Op Expenses as % of Construction and Mgmt Fee Income</v>
          </cell>
          <cell r="C13">
            <v>0.5305241612530035</v>
          </cell>
          <cell r="D13" t="e">
            <v>#N/A</v>
          </cell>
          <cell r="H13" t="e">
            <v>#N/A</v>
          </cell>
          <cell r="I13" t="e">
            <v>#N/A</v>
          </cell>
        </row>
        <row r="14">
          <cell r="A14" t="str">
            <v>G&amp;A as % of NOI</v>
          </cell>
          <cell r="C14">
            <v>4.6036437246963567E-2</v>
          </cell>
          <cell r="D14">
            <v>5.4620386972462333E-2</v>
          </cell>
          <cell r="H14">
            <v>7.1036437246963569E-2</v>
          </cell>
          <cell r="I14">
            <v>4.7718569845566883E-2</v>
          </cell>
        </row>
        <row r="16">
          <cell r="A16" t="str">
            <v>RENTAL OPERATIONS</v>
          </cell>
        </row>
        <row r="17">
          <cell r="A17" t="str">
            <v>Rental Income</v>
          </cell>
          <cell r="C17">
            <v>215196.08</v>
          </cell>
          <cell r="D17">
            <v>201457</v>
          </cell>
          <cell r="E17">
            <v>-13739.08</v>
          </cell>
          <cell r="F17">
            <v>-9.219621527311761E-2</v>
          </cell>
          <cell r="H17">
            <v>180993</v>
          </cell>
          <cell r="I17">
            <v>208253</v>
          </cell>
        </row>
        <row r="18">
          <cell r="A18" t="str">
            <v>Equity in Unconsolidated Cos.</v>
          </cell>
          <cell r="C18">
            <v>3178.0298620597059</v>
          </cell>
          <cell r="D18">
            <v>16557</v>
          </cell>
          <cell r="E18">
            <v>13378.970137940294</v>
          </cell>
          <cell r="F18">
            <v>8.9779694926454795E-2</v>
          </cell>
          <cell r="H18">
            <v>4516</v>
          </cell>
          <cell r="I18">
            <v>3492</v>
          </cell>
        </row>
        <row r="19">
          <cell r="A19" t="str">
            <v>Total Income</v>
          </cell>
          <cell r="C19">
            <v>218374.1098620597</v>
          </cell>
          <cell r="D19">
            <v>218014</v>
          </cell>
          <cell r="E19">
            <v>-360.10986205970403</v>
          </cell>
          <cell r="F19">
            <v>-2.4165203466628912E-3</v>
          </cell>
          <cell r="H19">
            <v>185509</v>
          </cell>
          <cell r="I19">
            <v>211745</v>
          </cell>
        </row>
        <row r="21">
          <cell r="A21" t="str">
            <v>Rental Expenses</v>
          </cell>
          <cell r="C21">
            <v>-45457.096422897142</v>
          </cell>
          <cell r="D21">
            <v>-47536</v>
          </cell>
          <cell r="E21">
            <v>-2078.9035771028575</v>
          </cell>
          <cell r="F21">
            <v>-1.3950500450294306E-2</v>
          </cell>
          <cell r="H21">
            <v>-40062</v>
          </cell>
          <cell r="I21">
            <v>-46073</v>
          </cell>
        </row>
        <row r="22">
          <cell r="A22" t="str">
            <v>Real Estate Taxes</v>
          </cell>
          <cell r="C22">
            <v>-23855.678923616942</v>
          </cell>
          <cell r="D22">
            <v>-21010</v>
          </cell>
          <cell r="E22">
            <v>2845.6789236169425</v>
          </cell>
          <cell r="F22">
            <v>1.9095953050710927E-2</v>
          </cell>
          <cell r="H22">
            <v>-21947</v>
          </cell>
          <cell r="I22">
            <v>-23086</v>
          </cell>
        </row>
        <row r="23">
          <cell r="A23" t="str">
            <v>Acq. &amp; Develop. NOI</v>
          </cell>
          <cell r="C23">
            <v>-185.11688248669861</v>
          </cell>
          <cell r="D23">
            <v>0</v>
          </cell>
          <cell r="E23">
            <v>185.11688248669861</v>
          </cell>
          <cell r="F23">
            <v>1.2422284424016816E-3</v>
          </cell>
        </row>
        <row r="24">
          <cell r="A24" t="str">
            <v>Net Operating Income</v>
          </cell>
          <cell r="C24">
            <v>148876.21763305893</v>
          </cell>
          <cell r="D24">
            <v>149468</v>
          </cell>
          <cell r="E24">
            <v>591.78236694107181</v>
          </cell>
          <cell r="F24">
            <v>3.9711606961553604E-3</v>
          </cell>
          <cell r="H24">
            <v>123500</v>
          </cell>
          <cell r="I24">
            <v>142586</v>
          </cell>
        </row>
        <row r="26">
          <cell r="A26" t="str">
            <v>SERVICE OPERATIONS</v>
          </cell>
        </row>
        <row r="27">
          <cell r="A27" t="str">
            <v>Gross Contractor Revenue</v>
          </cell>
          <cell r="C27">
            <v>85759.65179439541</v>
          </cell>
          <cell r="D27">
            <v>84638</v>
          </cell>
          <cell r="E27">
            <v>-1121.6517943954095</v>
          </cell>
          <cell r="F27">
            <v>-7.5268540759321533E-3</v>
          </cell>
          <cell r="H27">
            <v>87771.875</v>
          </cell>
          <cell r="I27">
            <v>100314</v>
          </cell>
        </row>
        <row r="28">
          <cell r="A28" t="str">
            <v>Gross Contractor Costs</v>
          </cell>
          <cell r="C28">
            <v>-79048.679382984061</v>
          </cell>
          <cell r="D28">
            <v>-78072</v>
          </cell>
          <cell r="E28">
            <v>976.67938298406079</v>
          </cell>
          <cell r="F28">
            <v>6.5540154541944761E-3</v>
          </cell>
          <cell r="H28">
            <v>-80139.005000000005</v>
          </cell>
          <cell r="I28">
            <v>-93555</v>
          </cell>
        </row>
        <row r="29">
          <cell r="A29" t="str">
            <v xml:space="preserve">  Net Contractor Revenue</v>
          </cell>
          <cell r="C29">
            <v>6710.9724114113487</v>
          </cell>
          <cell r="D29">
            <v>6566</v>
          </cell>
          <cell r="E29">
            <v>-144.97241141134873</v>
          </cell>
          <cell r="F29">
            <v>-9.7283862173767768E-4</v>
          </cell>
          <cell r="H29">
            <v>7632.87</v>
          </cell>
          <cell r="I29">
            <v>6759</v>
          </cell>
        </row>
        <row r="30">
          <cell r="A30" t="str">
            <v>Construction and Devel. Activity Income (Devel Gains)</v>
          </cell>
          <cell r="C30">
            <v>24218</v>
          </cell>
          <cell r="D30" t="e">
            <v>#N/A</v>
          </cell>
          <cell r="E30" t="e">
            <v>#N/A</v>
          </cell>
          <cell r="F30" t="e">
            <v>#N/A</v>
          </cell>
          <cell r="H30" t="e">
            <v>#N/A</v>
          </cell>
          <cell r="I30" t="e">
            <v>#N/A</v>
          </cell>
        </row>
        <row r="31">
          <cell r="A31" t="str">
            <v>Property Mgmt. Maint. &amp; Leasing Fees</v>
          </cell>
          <cell r="C31">
            <v>3688.3680555555557</v>
          </cell>
          <cell r="D31" t="e">
            <v>#N/A</v>
          </cell>
          <cell r="E31" t="e">
            <v>#N/A</v>
          </cell>
          <cell r="F31" t="e">
            <v>#N/A</v>
          </cell>
          <cell r="H31" t="e">
            <v>#N/A</v>
          </cell>
          <cell r="I31" t="e">
            <v>#N/A</v>
          </cell>
        </row>
        <row r="32">
          <cell r="A32" t="str">
            <v>Other Income</v>
          </cell>
          <cell r="C32">
            <v>1245</v>
          </cell>
          <cell r="D32">
            <v>0</v>
          </cell>
          <cell r="E32">
            <v>-1245</v>
          </cell>
          <cell r="F32">
            <v>-8.3545832774124286E-3</v>
          </cell>
          <cell r="H32">
            <v>245</v>
          </cell>
          <cell r="I32">
            <v>715</v>
          </cell>
        </row>
        <row r="33">
          <cell r="A33" t="str">
            <v>Operating Expenses</v>
          </cell>
          <cell r="C33">
            <v>-19025.838096807263</v>
          </cell>
          <cell r="D33">
            <v>-13208</v>
          </cell>
          <cell r="E33">
            <v>5817.8380968072634</v>
          </cell>
          <cell r="F33">
            <v>3.9040652911067397E-2</v>
          </cell>
          <cell r="H33">
            <v>-8074</v>
          </cell>
          <cell r="I33">
            <v>-11923</v>
          </cell>
        </row>
        <row r="34">
          <cell r="A34" t="str">
            <v>General and Administrative</v>
          </cell>
          <cell r="C34">
            <v>-6853.7306506296081</v>
          </cell>
          <cell r="D34">
            <v>-8164</v>
          </cell>
          <cell r="E34">
            <v>-1310.2693493703919</v>
          </cell>
          <cell r="F34">
            <v>-8.7925738113702311E-3</v>
          </cell>
          <cell r="H34">
            <v>-8773</v>
          </cell>
          <cell r="I34">
            <v>-6804</v>
          </cell>
        </row>
        <row r="36">
          <cell r="A36" t="str">
            <v>EBITDA</v>
          </cell>
          <cell r="C36">
            <v>158858.98935258895</v>
          </cell>
          <cell r="D36">
            <v>176023</v>
          </cell>
          <cell r="E36">
            <v>17164.010647411051</v>
          </cell>
          <cell r="F36">
            <v>0.11517924203067408</v>
          </cell>
          <cell r="H36">
            <v>120567</v>
          </cell>
          <cell r="I36">
            <v>146333</v>
          </cell>
        </row>
        <row r="38">
          <cell r="A38" t="str">
            <v>Interest Expense</v>
          </cell>
          <cell r="C38">
            <v>47723.083336152886</v>
          </cell>
          <cell r="D38">
            <v>49302</v>
          </cell>
          <cell r="E38">
            <v>-1578.9166638471143</v>
          </cell>
          <cell r="F38">
            <v>-1.0595333940726844E-2</v>
          </cell>
          <cell r="H38">
            <v>30807</v>
          </cell>
          <cell r="I38">
            <v>50173</v>
          </cell>
        </row>
        <row r="39">
          <cell r="A39" t="str">
            <v>Depreciation and Amortization</v>
          </cell>
          <cell r="C39">
            <v>61425.50165972938</v>
          </cell>
          <cell r="D39">
            <v>62275</v>
          </cell>
          <cell r="E39">
            <v>-849.49834027062025</v>
          </cell>
          <cell r="F39">
            <v>-5.7005659661160937E-3</v>
          </cell>
          <cell r="H39">
            <v>59139</v>
          </cell>
          <cell r="I39">
            <v>63892</v>
          </cell>
        </row>
        <row r="40">
          <cell r="A40" t="str">
            <v>Interest Income</v>
          </cell>
          <cell r="C40">
            <v>2845.8645799999122</v>
          </cell>
          <cell r="D40">
            <v>2137</v>
          </cell>
          <cell r="E40">
            <v>-708.86457999991217</v>
          </cell>
          <cell r="F40">
            <v>-4.7568419004154622E-3</v>
          </cell>
          <cell r="H40">
            <v>1758</v>
          </cell>
          <cell r="I40">
            <v>4381</v>
          </cell>
        </row>
        <row r="41">
          <cell r="A41" t="str">
            <v>Other Expense</v>
          </cell>
          <cell r="C41">
            <v>0</v>
          </cell>
          <cell r="D41">
            <v>0</v>
          </cell>
          <cell r="E41">
            <v>0</v>
          </cell>
          <cell r="F41">
            <v>0</v>
          </cell>
          <cell r="H41">
            <v>-797</v>
          </cell>
          <cell r="I41">
            <v>0</v>
          </cell>
        </row>
        <row r="42">
          <cell r="A42" t="str">
            <v>Other Min. Int. in Earn. of Subs.</v>
          </cell>
          <cell r="C42">
            <v>-131.55852202716554</v>
          </cell>
          <cell r="D42">
            <v>54</v>
          </cell>
          <cell r="E42">
            <v>-185.55852202716554</v>
          </cell>
          <cell r="F42">
            <v>-1.2451920683610625E-3</v>
          </cell>
          <cell r="H42">
            <v>24</v>
          </cell>
          <cell r="I42">
            <v>-126</v>
          </cell>
        </row>
        <row r="43">
          <cell r="A43" t="str">
            <v>Preferred Issuance Costs</v>
          </cell>
          <cell r="C43">
            <v>0</v>
          </cell>
          <cell r="D43">
            <v>0</v>
          </cell>
          <cell r="E43">
            <v>0</v>
          </cell>
          <cell r="F43">
            <v>0</v>
          </cell>
          <cell r="H43">
            <v>0</v>
          </cell>
          <cell r="I43">
            <v>0</v>
          </cell>
        </row>
        <row r="44">
          <cell r="A44" t="str">
            <v>NI Before Gains &amp; Minority Int.</v>
          </cell>
          <cell r="C44">
            <v>52424.710414679423</v>
          </cell>
          <cell r="D44">
            <v>66637</v>
          </cell>
          <cell r="E44">
            <v>14212.289585320577</v>
          </cell>
          <cell r="F44">
            <v>9.5371692291776791E-2</v>
          </cell>
          <cell r="H44">
            <v>31606</v>
          </cell>
          <cell r="I44">
            <v>36523</v>
          </cell>
        </row>
        <row r="46">
          <cell r="A46" t="str">
            <v>Gains On Sale</v>
          </cell>
          <cell r="C46">
            <v>50600</v>
          </cell>
          <cell r="D46">
            <v>0</v>
          </cell>
          <cell r="E46">
            <v>-50600</v>
          </cell>
          <cell r="F46">
            <v>-0.33955173802174204</v>
          </cell>
          <cell r="H46">
            <v>14</v>
          </cell>
          <cell r="I46">
            <v>235</v>
          </cell>
        </row>
        <row r="47">
          <cell r="A47" t="str">
            <v>Land Sales Gains - incl. in FFO</v>
          </cell>
          <cell r="C47">
            <v>4000</v>
          </cell>
          <cell r="D47">
            <v>2364</v>
          </cell>
          <cell r="E47">
            <v>-1636</v>
          </cell>
          <cell r="F47">
            <v>-1.0978392162125889E-2</v>
          </cell>
          <cell r="H47">
            <v>8421</v>
          </cell>
          <cell r="I47">
            <v>2982</v>
          </cell>
        </row>
        <row r="48">
          <cell r="A48" t="str">
            <v>Min Interest in Earnings of Pfd Unitholders</v>
          </cell>
          <cell r="C48">
            <v>0</v>
          </cell>
          <cell r="D48">
            <v>0</v>
          </cell>
          <cell r="E48">
            <v>0</v>
          </cell>
          <cell r="F48">
            <v>0</v>
          </cell>
          <cell r="H48">
            <v>0</v>
          </cell>
          <cell r="I48">
            <v>0</v>
          </cell>
        </row>
        <row r="49">
          <cell r="A49" t="str">
            <v>Min Interest in Earnings of Unitholders</v>
          </cell>
          <cell r="C49">
            <v>2407.7297761479663</v>
          </cell>
          <cell r="D49">
            <v>4743</v>
          </cell>
          <cell r="E49">
            <v>-2335.2702238520337</v>
          </cell>
          <cell r="F49">
            <v>-1.5670851052556931E-2</v>
          </cell>
          <cell r="H49">
            <v>2656</v>
          </cell>
          <cell r="I49">
            <v>2306</v>
          </cell>
        </row>
        <row r="50">
          <cell r="A50" t="str">
            <v>Net Income</v>
          </cell>
          <cell r="C50">
            <v>104616.98063853146</v>
          </cell>
          <cell r="D50">
            <v>64258</v>
          </cell>
          <cell r="E50">
            <v>-40358.980638531459</v>
          </cell>
          <cell r="F50">
            <v>-0.27082928894464808</v>
          </cell>
          <cell r="H50">
            <v>37372</v>
          </cell>
          <cell r="I50">
            <v>37199</v>
          </cell>
        </row>
        <row r="51">
          <cell r="A51" t="str">
            <v>Preferred Dividend</v>
          </cell>
          <cell r="C51">
            <v>15226</v>
          </cell>
          <cell r="D51">
            <v>15226</v>
          </cell>
          <cell r="E51">
            <v>0</v>
          </cell>
          <cell r="F51">
            <v>0</v>
          </cell>
          <cell r="H51">
            <v>11620</v>
          </cell>
          <cell r="I51">
            <v>15226</v>
          </cell>
        </row>
        <row r="52">
          <cell r="A52" t="str">
            <v>Net Income from Discontinued Operations</v>
          </cell>
          <cell r="C52">
            <v>-3974</v>
          </cell>
          <cell r="D52">
            <v>649</v>
          </cell>
          <cell r="E52">
            <v>4623</v>
          </cell>
          <cell r="F52">
            <v>3.102268151925916E-2</v>
          </cell>
          <cell r="H52">
            <v>418</v>
          </cell>
          <cell r="I52">
            <v>-3974</v>
          </cell>
        </row>
        <row r="53">
          <cell r="A53" t="str">
            <v>Gain on Sale of Discontinued Operations</v>
          </cell>
          <cell r="C53">
            <v>43735</v>
          </cell>
          <cell r="D53">
            <v>515</v>
          </cell>
          <cell r="E53">
            <v>-43220</v>
          </cell>
          <cell r="F53">
            <v>-0.29002818413635756</v>
          </cell>
          <cell r="H53">
            <v>3885</v>
          </cell>
          <cell r="I53">
            <v>43735</v>
          </cell>
        </row>
        <row r="54">
          <cell r="A54" t="str">
            <v>Net Income Avail. to Common</v>
          </cell>
          <cell r="C54">
            <v>129151.98063853146</v>
          </cell>
          <cell r="D54">
            <v>50196</v>
          </cell>
          <cell r="E54">
            <v>-78955.980638531459</v>
          </cell>
          <cell r="F54">
            <v>-0.52983479156174651</v>
          </cell>
          <cell r="H54">
            <v>30055</v>
          </cell>
          <cell r="I54">
            <v>61734</v>
          </cell>
        </row>
        <row r="55">
          <cell r="B55" t="str">
            <v>Adjustment OP units</v>
          </cell>
          <cell r="C55" t="e">
            <v>#N/A</v>
          </cell>
          <cell r="D55" t="e">
            <v>#N/A</v>
          </cell>
          <cell r="H55" t="e">
            <v>#N/A</v>
          </cell>
          <cell r="I55" t="e">
            <v>#N/A</v>
          </cell>
        </row>
        <row r="56">
          <cell r="B56" t="str">
            <v>Adjustment: Gains and Extraordinary Items</v>
          </cell>
          <cell r="C56" t="e">
            <v>#N/A</v>
          </cell>
          <cell r="D56" t="e">
            <v>#N/A</v>
          </cell>
          <cell r="E56" t="e">
            <v>#N/A</v>
          </cell>
          <cell r="F56" t="e">
            <v>#N/A</v>
          </cell>
          <cell r="H56" t="e">
            <v>#N/A</v>
          </cell>
          <cell r="I56" t="e">
            <v>#N/A</v>
          </cell>
        </row>
        <row r="57">
          <cell r="A57" t="str">
            <v>Normalized Earnings</v>
          </cell>
          <cell r="C57">
            <v>78551.980638531459</v>
          </cell>
          <cell r="D57">
            <v>50196</v>
          </cell>
          <cell r="E57">
            <v>-28355.980638531459</v>
          </cell>
          <cell r="F57">
            <v>-0.19028305354000441</v>
          </cell>
          <cell r="H57">
            <v>30041</v>
          </cell>
          <cell r="I57">
            <v>61499</v>
          </cell>
        </row>
        <row r="59">
          <cell r="A59" t="str">
            <v xml:space="preserve">  + Depreciation and Amortization</v>
          </cell>
          <cell r="C59">
            <v>61425.50165972938</v>
          </cell>
          <cell r="D59">
            <v>64156</v>
          </cell>
          <cell r="E59">
            <v>2730.4983402706202</v>
          </cell>
          <cell r="F59">
            <v>1.8323032749098245E-2</v>
          </cell>
          <cell r="H59">
            <v>59197</v>
          </cell>
          <cell r="I59">
            <v>64363</v>
          </cell>
        </row>
        <row r="60">
          <cell r="A60" t="str">
            <v xml:space="preserve">  + Depr. &amp; Amort. on J.V.'s</v>
          </cell>
          <cell r="C60">
            <v>4796.3999999999996</v>
          </cell>
          <cell r="D60">
            <v>4700</v>
          </cell>
          <cell r="E60">
            <v>-96.399999999999636</v>
          </cell>
          <cell r="F60">
            <v>-6.4689303449201206E-4</v>
          </cell>
          <cell r="H60">
            <v>4699</v>
          </cell>
          <cell r="I60">
            <v>4568</v>
          </cell>
        </row>
        <row r="61">
          <cell r="A61" t="str">
            <v xml:space="preserve">  - Earnings from Property Sales</v>
          </cell>
          <cell r="C61">
            <v>-94335</v>
          </cell>
          <cell r="D61">
            <v>-11237</v>
          </cell>
          <cell r="E61">
            <v>83098</v>
          </cell>
          <cell r="F61">
            <v>0.5576298483425044</v>
          </cell>
          <cell r="H61">
            <v>-4200</v>
          </cell>
          <cell r="I61">
            <v>-39257</v>
          </cell>
        </row>
        <row r="62">
          <cell r="A62" t="str">
            <v xml:space="preserve">  - MI Share of Add-Backs</v>
          </cell>
          <cell r="C62">
            <v>-2736.6260812158803</v>
          </cell>
          <cell r="D62">
            <v>-5027</v>
          </cell>
          <cell r="E62">
            <v>-2290.3739187841197</v>
          </cell>
          <cell r="F62">
            <v>-1.5369574008751307E-2</v>
          </cell>
          <cell r="H62">
            <v>-5203</v>
          </cell>
          <cell r="I62">
            <v>-2621</v>
          </cell>
        </row>
        <row r="63">
          <cell r="A63" t="str">
            <v xml:space="preserve"> Funds From Operations</v>
          </cell>
          <cell r="C63">
            <v>98302.256217044953</v>
          </cell>
          <cell r="D63">
            <v>102788</v>
          </cell>
          <cell r="E63">
            <v>4485.7437829550472</v>
          </cell>
          <cell r="F63">
            <v>3.0101622486612852E-2</v>
          </cell>
          <cell r="H63">
            <v>84548</v>
          </cell>
          <cell r="I63">
            <v>88787</v>
          </cell>
        </row>
        <row r="65">
          <cell r="A65" t="str">
            <v xml:space="preserve"> - TIs &amp; Leasing Commisions</v>
          </cell>
          <cell r="C65">
            <v>18747.089388871089</v>
          </cell>
          <cell r="D65">
            <v>11349</v>
          </cell>
          <cell r="E65">
            <v>7398.0893888710889</v>
          </cell>
          <cell r="F65">
            <v>4.9644942885995767E-2</v>
          </cell>
          <cell r="H65">
            <v>25229</v>
          </cell>
          <cell r="I65">
            <v>17955</v>
          </cell>
        </row>
        <row r="66">
          <cell r="A66" t="str">
            <v xml:space="preserve"> - Capital Expenditures</v>
          </cell>
          <cell r="C66">
            <v>2605.0675591887143</v>
          </cell>
          <cell r="D66">
            <v>3178</v>
          </cell>
          <cell r="E66">
            <v>-572.93244081128569</v>
          </cell>
          <cell r="F66">
            <v>-3.8446681036859863E-3</v>
          </cell>
          <cell r="H66">
            <v>5982</v>
          </cell>
          <cell r="I66">
            <v>2495</v>
          </cell>
        </row>
        <row r="67">
          <cell r="A67" t="str">
            <v xml:space="preserve"> - Adjustment For Straight-lining</v>
          </cell>
          <cell r="C67">
            <v>5580.7960336126962</v>
          </cell>
          <cell r="D67">
            <v>5607</v>
          </cell>
          <cell r="E67">
            <v>-26.203966387303808</v>
          </cell>
          <cell r="F67">
            <v>-1.7584194327810904E-4</v>
          </cell>
          <cell r="H67">
            <v>6129</v>
          </cell>
          <cell r="I67">
            <v>5345</v>
          </cell>
        </row>
        <row r="68">
          <cell r="A68" t="str">
            <v xml:space="preserve"> + Other Adjustments1</v>
          </cell>
          <cell r="C68">
            <v>2393.2106421183566</v>
          </cell>
          <cell r="D68">
            <v>6024</v>
          </cell>
          <cell r="E68">
            <v>3630.7893578816434</v>
          </cell>
          <cell r="F68">
            <v>2.4364443416196774E-2</v>
          </cell>
          <cell r="H68">
            <v>3786</v>
          </cell>
          <cell r="I68">
            <v>7394</v>
          </cell>
        </row>
        <row r="69">
          <cell r="A69" t="str">
            <v>Adjusted Funds From Operations</v>
          </cell>
          <cell r="C69">
            <v>73762.513877490812</v>
          </cell>
          <cell r="D69">
            <v>88678</v>
          </cell>
          <cell r="E69">
            <v>14915.486122509188</v>
          </cell>
          <cell r="F69">
            <v>0.10009049874184128</v>
          </cell>
          <cell r="H69">
            <v>50994</v>
          </cell>
          <cell r="I69">
            <v>70386</v>
          </cell>
        </row>
        <row r="71">
          <cell r="A71" t="str">
            <v>Diluted FFO</v>
          </cell>
        </row>
        <row r="72">
          <cell r="A72" t="str">
            <v xml:space="preserve">  Basic FFO</v>
          </cell>
          <cell r="C72">
            <v>98302.256217044953</v>
          </cell>
          <cell r="D72">
            <v>102788</v>
          </cell>
          <cell r="E72">
            <v>4485.7437829550472</v>
          </cell>
          <cell r="F72">
            <v>3.0101622486612852E-2</v>
          </cell>
          <cell r="H72">
            <v>84548</v>
          </cell>
          <cell r="I72">
            <v>88787</v>
          </cell>
        </row>
        <row r="73">
          <cell r="A73" t="str">
            <v xml:space="preserve">  Preferred Conv D and G</v>
          </cell>
          <cell r="C73">
            <v>0</v>
          </cell>
          <cell r="D73">
            <v>0</v>
          </cell>
          <cell r="E73">
            <v>0</v>
          </cell>
          <cell r="F73">
            <v>0</v>
          </cell>
          <cell r="H73">
            <v>0</v>
          </cell>
          <cell r="I73">
            <v>0</v>
          </cell>
        </row>
        <row r="74">
          <cell r="A74" t="str">
            <v xml:space="preserve">  JV Partner Convertible Ownership FFO</v>
          </cell>
          <cell r="C74">
            <v>0</v>
          </cell>
          <cell r="D74">
            <v>0</v>
          </cell>
          <cell r="E74">
            <v>0</v>
          </cell>
          <cell r="F74">
            <v>0</v>
          </cell>
          <cell r="H74">
            <v>0</v>
          </cell>
          <cell r="I74">
            <v>0</v>
          </cell>
        </row>
        <row r="75">
          <cell r="A75" t="str">
            <v xml:space="preserve">  Unitholder Minority Interest</v>
          </cell>
          <cell r="C75">
            <v>6351.3530912003807</v>
          </cell>
          <cell r="D75">
            <v>4842</v>
          </cell>
          <cell r="E75">
            <v>-1509.3530912003807</v>
          </cell>
          <cell r="F75">
            <v>-1.0128526984299965E-2</v>
          </cell>
          <cell r="H75">
            <v>3078</v>
          </cell>
          <cell r="I75">
            <v>6083</v>
          </cell>
        </row>
        <row r="76">
          <cell r="A76" t="str">
            <v xml:space="preserve">  Minority Interest Share of Add-Backs</v>
          </cell>
          <cell r="C76">
            <v>2736.6260812158803</v>
          </cell>
          <cell r="D76">
            <v>5027</v>
          </cell>
          <cell r="E76">
            <v>2290.3739187841197</v>
          </cell>
          <cell r="F76">
            <v>1.5369574008751307E-2</v>
          </cell>
          <cell r="H76">
            <v>5203</v>
          </cell>
          <cell r="I76">
            <v>2621</v>
          </cell>
        </row>
        <row r="77">
          <cell r="A77" t="str">
            <v>Total Diluted FFO</v>
          </cell>
          <cell r="C77">
            <v>107390.23538946122</v>
          </cell>
          <cell r="D77">
            <v>112657</v>
          </cell>
          <cell r="E77">
            <v>5266.764610538783</v>
          </cell>
          <cell r="F77">
            <v>3.534266951106417E-2</v>
          </cell>
          <cell r="H77">
            <v>92829</v>
          </cell>
          <cell r="I77">
            <v>97491</v>
          </cell>
        </row>
        <row r="79">
          <cell r="A79" t="str">
            <v>Diluted EPS before Extraordinary</v>
          </cell>
          <cell r="C79">
            <v>0.95340254121117363</v>
          </cell>
          <cell r="D79">
            <v>0.36859767515292147</v>
          </cell>
          <cell r="E79">
            <v>-0.5848048660582521</v>
          </cell>
          <cell r="H79">
            <v>0.21819145383532007</v>
          </cell>
          <cell r="I79">
            <v>0.45266499974336227</v>
          </cell>
        </row>
        <row r="80">
          <cell r="A80" t="str">
            <v>Diluted EPS after Extraordinary</v>
          </cell>
          <cell r="C80">
            <v>0.95340254121117363</v>
          </cell>
          <cell r="D80">
            <v>0.36859767515292147</v>
          </cell>
          <cell r="E80">
            <v>-0.5848048660582521</v>
          </cell>
          <cell r="H80">
            <v>0.21819145383532007</v>
          </cell>
          <cell r="I80">
            <v>0.45266499974336227</v>
          </cell>
        </row>
        <row r="81">
          <cell r="A81" t="str">
            <v>Normalized Earnings Per Share</v>
          </cell>
          <cell r="C81">
            <v>0.57987231467670952</v>
          </cell>
          <cell r="D81">
            <v>0.36859767515292147</v>
          </cell>
          <cell r="E81">
            <v>-0.21127463952378805</v>
          </cell>
          <cell r="H81">
            <v>0.21808981749016304</v>
          </cell>
          <cell r="I81">
            <v>0.45094186055037799</v>
          </cell>
        </row>
        <row r="83">
          <cell r="A83" t="str">
            <v xml:space="preserve">FFO Per Share - Diluted </v>
          </cell>
          <cell r="C83">
            <v>0.72231403612759337</v>
          </cell>
          <cell r="D83">
            <v>0.7559857737216481</v>
          </cell>
          <cell r="E83">
            <v>3.3671737594054729E-2</v>
          </cell>
          <cell r="H83">
            <v>0.61417182176056107</v>
          </cell>
          <cell r="I83">
            <v>0.65172137174944844</v>
          </cell>
        </row>
        <row r="85">
          <cell r="A85" t="str">
            <v>Adjusted FFO Per Share - Diluted</v>
          </cell>
          <cell r="C85">
            <v>0.54451637388163443</v>
          </cell>
          <cell r="D85">
            <v>0.65117747703424123</v>
          </cell>
          <cell r="E85">
            <v>0.1066611031526068</v>
          </cell>
          <cell r="H85">
            <v>0.37020312749553524</v>
          </cell>
          <cell r="I85">
            <v>0.51610585207399962</v>
          </cell>
        </row>
        <row r="86">
          <cell r="A86" t="str">
            <v>NOI Per Share</v>
          </cell>
          <cell r="C86">
            <v>1.099007258855152</v>
          </cell>
          <cell r="D86">
            <v>1.0975686769813704</v>
          </cell>
          <cell r="E86">
            <v>-1.4385818737816525E-3</v>
          </cell>
          <cell r="H86">
            <v>0.89657775906378412</v>
          </cell>
          <cell r="I86">
            <v>1.0455128722163969</v>
          </cell>
        </row>
        <row r="87">
          <cell r="A87" t="str">
            <v>EBITDA Per Share</v>
          </cell>
          <cell r="C87">
            <v>1.1727002822116321</v>
          </cell>
          <cell r="D87">
            <v>1.2925665107467268</v>
          </cell>
          <cell r="E87">
            <v>0.11986622853509465</v>
          </cell>
          <cell r="H87">
            <v>0.8752849447533867</v>
          </cell>
          <cell r="I87">
            <v>1.0729877767104907</v>
          </cell>
        </row>
        <row r="89">
          <cell r="A89" t="str">
            <v>Dividends Per Share</v>
          </cell>
          <cell r="C89">
            <v>0.51500000000000001</v>
          </cell>
          <cell r="D89">
            <v>0.47499999999999998</v>
          </cell>
          <cell r="E89">
            <v>-0.04</v>
          </cell>
          <cell r="H89">
            <v>0.47</v>
          </cell>
          <cell r="I89">
            <v>0.47499999999999998</v>
          </cell>
        </row>
        <row r="91">
          <cell r="A91" t="str">
            <v xml:space="preserve">Payout Ratio (Net Income) </v>
          </cell>
          <cell r="C91">
            <v>0.54017057616162811</v>
          </cell>
          <cell r="D91">
            <v>1.2886679217467527</v>
          </cell>
          <cell r="E91">
            <v>0.7484973455851246</v>
          </cell>
          <cell r="H91">
            <v>2.1540715355182165</v>
          </cell>
          <cell r="I91">
            <v>1.0493411248258657</v>
          </cell>
        </row>
        <row r="92">
          <cell r="A92" t="str">
            <v xml:space="preserve">Payout Ratio (FFO) </v>
          </cell>
          <cell r="C92">
            <v>0.71298628330825853</v>
          </cell>
          <cell r="D92">
            <v>0.62831870190045891</v>
          </cell>
          <cell r="E92">
            <v>-8.4667581407799619E-2</v>
          </cell>
          <cell r="H92">
            <v>0.76525816285858939</v>
          </cell>
          <cell r="I92">
            <v>0.72883907232462486</v>
          </cell>
        </row>
        <row r="93">
          <cell r="A93" t="str">
            <v xml:space="preserve">Payout Ratio (AFFO) </v>
          </cell>
          <cell r="C93">
            <v>0.94579341357317825</v>
          </cell>
          <cell r="D93">
            <v>0.72944783373553745</v>
          </cell>
          <cell r="E93">
            <v>-0.2163455798376408</v>
          </cell>
          <cell r="H93">
            <v>1.2695732831313489</v>
          </cell>
          <cell r="I93">
            <v>0.92035383456937458</v>
          </cell>
        </row>
        <row r="95">
          <cell r="A95" t="str">
            <v>Shares Outstanding</v>
          </cell>
          <cell r="C95">
            <v>134202.27144452615</v>
          </cell>
          <cell r="D95">
            <v>134665</v>
          </cell>
          <cell r="E95">
            <v>462.72855547384825</v>
          </cell>
          <cell r="H95">
            <v>136855</v>
          </cell>
          <cell r="I95">
            <v>135117</v>
          </cell>
        </row>
        <row r="96">
          <cell r="A96" t="str">
            <v>Other dilutive securities</v>
          </cell>
          <cell r="C96">
            <v>1262</v>
          </cell>
          <cell r="D96">
            <v>1516</v>
          </cell>
          <cell r="E96">
            <v>254</v>
          </cell>
          <cell r="H96">
            <v>891</v>
          </cell>
          <cell r="I96">
            <v>1262</v>
          </cell>
        </row>
        <row r="97">
          <cell r="A97" t="str">
            <v>Diluted Shares O/S (Thous.)</v>
          </cell>
          <cell r="C97">
            <v>135464.27144452615</v>
          </cell>
          <cell r="D97">
            <v>136181</v>
          </cell>
          <cell r="E97">
            <v>716.72855547384825</v>
          </cell>
          <cell r="H97">
            <v>137746</v>
          </cell>
          <cell r="I97">
            <v>136379</v>
          </cell>
        </row>
        <row r="98">
          <cell r="A98" t="str">
            <v>Units Outstanding</v>
          </cell>
          <cell r="C98">
            <v>13211</v>
          </cell>
          <cell r="D98">
            <v>12839</v>
          </cell>
          <cell r="E98">
            <v>-372</v>
          </cell>
          <cell r="H98">
            <v>13399</v>
          </cell>
          <cell r="I98">
            <v>13211</v>
          </cell>
        </row>
        <row r="99">
          <cell r="A99" t="str">
            <v>Convertible D &amp; G Equivalents</v>
          </cell>
          <cell r="C99">
            <v>0</v>
          </cell>
          <cell r="D99">
            <v>0</v>
          </cell>
          <cell r="E99">
            <v>0</v>
          </cell>
          <cell r="H99">
            <v>0</v>
          </cell>
          <cell r="I99">
            <v>0</v>
          </cell>
        </row>
        <row r="100">
          <cell r="A100" t="str">
            <v>JV Covertible Equivalents</v>
          </cell>
          <cell r="C100">
            <v>0</v>
          </cell>
          <cell r="D100">
            <v>0</v>
          </cell>
          <cell r="E100">
            <v>0</v>
          </cell>
          <cell r="H100">
            <v>0</v>
          </cell>
          <cell r="I100">
            <v>0</v>
          </cell>
        </row>
        <row r="101">
          <cell r="A101" t="str">
            <v>Diluted Shares and Units (Thous.)</v>
          </cell>
          <cell r="C101">
            <v>148675.27144452615</v>
          </cell>
          <cell r="D101">
            <v>149020</v>
          </cell>
          <cell r="E101">
            <v>344.72855547384825</v>
          </cell>
          <cell r="H101">
            <v>151145</v>
          </cell>
          <cell r="I101">
            <v>149590</v>
          </cell>
        </row>
        <row r="106">
          <cell r="A106" t="str">
            <v>Matt Ostrower</v>
          </cell>
          <cell r="I106" t="str">
            <v>(212) 761-6284</v>
          </cell>
        </row>
        <row r="107">
          <cell r="A107" t="str">
            <v>Morgan Stanley  REIT Research</v>
          </cell>
          <cell r="I107" t="str">
            <v>Matthew.Ostrower@morganstanley.com</v>
          </cell>
        </row>
      </sheetData>
      <sheetData sheetId="31" refreshError="1">
        <row r="1">
          <cell r="A1" t="str">
            <v>Duke Realty (DRE)</v>
          </cell>
          <cell r="I1" t="str">
            <v>Matt Ostrower</v>
          </cell>
        </row>
        <row r="2">
          <cell r="A2" t="str">
            <v>1Q07 Earnings Variance Analysis Worksheet</v>
          </cell>
          <cell r="I2" t="str">
            <v>Morgan Stanley REIT Research Team</v>
          </cell>
        </row>
        <row r="3">
          <cell r="A3" t="str">
            <v>($ in Thousands, Except per Share Amounts)</v>
          </cell>
          <cell r="I3" t="str">
            <v>(212) 761-6284   Matthew.Ostrower@morganstanley.com</v>
          </cell>
        </row>
        <row r="5">
          <cell r="C5">
            <v>57</v>
          </cell>
          <cell r="D5">
            <v>57</v>
          </cell>
          <cell r="H5">
            <v>52</v>
          </cell>
          <cell r="I5">
            <v>55</v>
          </cell>
        </row>
        <row r="6">
          <cell r="C6" t="str">
            <v>MS</v>
          </cell>
          <cell r="D6" t="str">
            <v>Reported</v>
          </cell>
          <cell r="F6" t="str">
            <v>Per Share</v>
          </cell>
        </row>
        <row r="7">
          <cell r="A7" t="str">
            <v>Year Ends December 31</v>
          </cell>
          <cell r="C7" t="str">
            <v>1Q07E</v>
          </cell>
          <cell r="D7" t="str">
            <v>1Q07A</v>
          </cell>
          <cell r="E7" t="str">
            <v>Variance</v>
          </cell>
          <cell r="F7" t="str">
            <v>Impact</v>
          </cell>
          <cell r="G7" t="str">
            <v>Comments</v>
          </cell>
          <cell r="H7" t="str">
            <v>1Q06A</v>
          </cell>
          <cell r="I7" t="str">
            <v>4Q06A</v>
          </cell>
        </row>
        <row r="9">
          <cell r="A9" t="str">
            <v>Rental Expenses as % of Rental Income</v>
          </cell>
          <cell r="C9">
            <v>0.23596102394059279</v>
          </cell>
          <cell r="D9">
            <v>0.24162316157862007</v>
          </cell>
          <cell r="H9">
            <v>0.23917004309788639</v>
          </cell>
          <cell r="I9">
            <v>0.23596102394059279</v>
          </cell>
        </row>
        <row r="10">
          <cell r="A10" t="str">
            <v>Rental Expenses as % of Total Income</v>
          </cell>
          <cell r="C10">
            <v>0.23138695146657048</v>
          </cell>
          <cell r="D10">
            <v>0.23298533964246204</v>
          </cell>
          <cell r="H10">
            <v>0.22939149719807528</v>
          </cell>
          <cell r="I10">
            <v>0.21804104323575549</v>
          </cell>
        </row>
        <row r="11">
          <cell r="A11" t="str">
            <v>Real Estate Taxes as % of Rental Income</v>
          </cell>
          <cell r="C11">
            <v>0.10429024556108747</v>
          </cell>
          <cell r="D11">
            <v>0.12410880851494599</v>
          </cell>
          <cell r="H11">
            <v>0.11942501741980438</v>
          </cell>
          <cell r="I11">
            <v>0.10429024556108747</v>
          </cell>
        </row>
        <row r="12">
          <cell r="A12" t="str">
            <v>Construction and Mgmt Fee Income as % of Rental Income</v>
          </cell>
          <cell r="C12">
            <v>5.7766408711364216E-2</v>
          </cell>
          <cell r="D12">
            <v>7.1006088302072334E-2</v>
          </cell>
          <cell r="H12">
            <v>5.1645203747193474E-2</v>
          </cell>
          <cell r="I12">
            <v>0.23790188476945454</v>
          </cell>
        </row>
        <row r="13">
          <cell r="A13" t="str">
            <v>Op Expenses as % of Construction and Mgmt Fee Income</v>
          </cell>
          <cell r="C13">
            <v>0.52052416125300349</v>
          </cell>
          <cell r="D13">
            <v>0.52926001357773256</v>
          </cell>
          <cell r="H13">
            <v>0.5552668398960624</v>
          </cell>
          <cell r="I13">
            <v>0.27558578671729922</v>
          </cell>
        </row>
        <row r="14">
          <cell r="A14" t="str">
            <v>G&amp;A as % of NOI</v>
          </cell>
          <cell r="C14">
            <v>8.102544006612393E-2</v>
          </cell>
          <cell r="D14">
            <v>9.6698451905678259E-2</v>
          </cell>
          <cell r="H14">
            <v>0.10523813835566824</v>
          </cell>
          <cell r="I14">
            <v>5.4620386972462333E-2</v>
          </cell>
        </row>
        <row r="16">
          <cell r="A16" t="str">
            <v>RENTAL OPERATIONS</v>
          </cell>
        </row>
        <row r="17">
          <cell r="A17" t="str">
            <v>Rental Income</v>
          </cell>
          <cell r="C17">
            <v>202855.902</v>
          </cell>
          <cell r="D17">
            <v>207447</v>
          </cell>
          <cell r="E17">
            <v>4591.0979999999981</v>
          </cell>
          <cell r="F17">
            <v>3.0952544041206242E-2</v>
          </cell>
          <cell r="H17">
            <v>193745</v>
          </cell>
          <cell r="I17">
            <v>201457</v>
          </cell>
        </row>
        <row r="18">
          <cell r="A18" t="str">
            <v>Equity in Unconsolidated Cos.</v>
          </cell>
          <cell r="C18">
            <v>4010.068811789592</v>
          </cell>
          <cell r="D18">
            <v>7691</v>
          </cell>
          <cell r="E18">
            <v>3680.931188210408</v>
          </cell>
          <cell r="F18">
            <v>2.4816326010843662E-2</v>
          </cell>
          <cell r="H18">
            <v>8259</v>
          </cell>
          <cell r="I18">
            <v>16557</v>
          </cell>
        </row>
        <row r="19">
          <cell r="A19" t="str">
            <v>Total Income</v>
          </cell>
          <cell r="C19">
            <v>206865.97081178959</v>
          </cell>
          <cell r="D19">
            <v>215138</v>
          </cell>
          <cell r="E19">
            <v>8272.0291882104066</v>
          </cell>
          <cell r="F19">
            <v>5.5768870052049904E-2</v>
          </cell>
          <cell r="H19">
            <v>202004</v>
          </cell>
          <cell r="I19">
            <v>218014</v>
          </cell>
        </row>
        <row r="21">
          <cell r="A21" t="str">
            <v>Rental Expenses</v>
          </cell>
          <cell r="C21">
            <v>-47866.086348312543</v>
          </cell>
          <cell r="D21">
            <v>-50124</v>
          </cell>
          <cell r="E21">
            <v>-2257.9136516874569</v>
          </cell>
          <cell r="F21">
            <v>-1.5222539737791885E-2</v>
          </cell>
          <cell r="H21">
            <v>-46338</v>
          </cell>
          <cell r="I21">
            <v>-47536</v>
          </cell>
        </row>
        <row r="22">
          <cell r="A22" t="str">
            <v>Real Estate Taxes</v>
          </cell>
          <cell r="C22">
            <v>-21155.891833095895</v>
          </cell>
          <cell r="D22">
            <v>-25746</v>
          </cell>
          <cell r="E22">
            <v>-4590.108166904105</v>
          </cell>
          <cell r="F22">
            <v>-3.0945870724170953E-2</v>
          </cell>
          <cell r="H22">
            <v>-23138</v>
          </cell>
          <cell r="I22">
            <v>-21010</v>
          </cell>
        </row>
        <row r="23">
          <cell r="A23" t="str">
            <v>Acq. &amp; Develop. NOI</v>
          </cell>
          <cell r="C23">
            <v>996.17595462920372</v>
          </cell>
          <cell r="D23">
            <v>0</v>
          </cell>
          <cell r="E23">
            <v>-996.17595462920372</v>
          </cell>
          <cell r="F23">
            <v>-6.7160797065214271E-3</v>
          </cell>
        </row>
        <row r="24">
          <cell r="A24" t="str">
            <v>Net Operating Income</v>
          </cell>
          <cell r="C24">
            <v>138840.16858501037</v>
          </cell>
          <cell r="D24">
            <v>139268</v>
          </cell>
          <cell r="E24">
            <v>427.83141498963232</v>
          </cell>
          <cell r="F24">
            <v>2.8843798835655838E-3</v>
          </cell>
          <cell r="H24">
            <v>132528</v>
          </cell>
          <cell r="I24">
            <v>149468</v>
          </cell>
        </row>
        <row r="26">
          <cell r="A26" t="str">
            <v>SERVICE OPERATIONS</v>
          </cell>
        </row>
        <row r="27">
          <cell r="A27" t="str">
            <v>Gross Contractor Revenue</v>
          </cell>
          <cell r="C27">
            <v>62978.5</v>
          </cell>
          <cell r="D27">
            <v>0</v>
          </cell>
          <cell r="E27">
            <v>-62978.5</v>
          </cell>
          <cell r="F27">
            <v>-0.42459228596277143</v>
          </cell>
          <cell r="H27">
            <v>69549</v>
          </cell>
          <cell r="I27">
            <v>84638</v>
          </cell>
        </row>
        <row r="28">
          <cell r="A28" t="str">
            <v>Gross Contractor Costs</v>
          </cell>
          <cell r="C28">
            <v>-58554</v>
          </cell>
          <cell r="D28">
            <v>0</v>
          </cell>
          <cell r="E28">
            <v>58554</v>
          </cell>
          <cell r="F28">
            <v>0.3947629224618579</v>
          </cell>
          <cell r="H28">
            <v>-64208</v>
          </cell>
          <cell r="I28">
            <v>-78072</v>
          </cell>
        </row>
        <row r="29">
          <cell r="A29" t="str">
            <v xml:space="preserve">  Net Contractor Revenue</v>
          </cell>
          <cell r="C29">
            <v>4424.5</v>
          </cell>
          <cell r="D29">
            <v>5469</v>
          </cell>
          <cell r="E29">
            <v>1044.5</v>
          </cell>
          <cell r="F29">
            <v>7.041873697978116E-3</v>
          </cell>
          <cell r="H29">
            <v>5341</v>
          </cell>
          <cell r="I29">
            <v>6566</v>
          </cell>
        </row>
        <row r="30">
          <cell r="A30" t="str">
            <v>Gain on Sale of Service Operations Properties</v>
          </cell>
          <cell r="C30">
            <v>1300</v>
          </cell>
          <cell r="D30">
            <v>2864</v>
          </cell>
          <cell r="E30">
            <v>1564</v>
          </cell>
          <cell r="F30">
            <v>1.0544270429523958E-2</v>
          </cell>
          <cell r="H30">
            <v>722</v>
          </cell>
          <cell r="I30">
            <v>36442</v>
          </cell>
        </row>
        <row r="31">
          <cell r="A31" t="str">
            <v>Service Fee Revenue</v>
          </cell>
          <cell r="C31">
            <v>5837.7569444444443</v>
          </cell>
          <cell r="D31">
            <v>6397</v>
          </cell>
          <cell r="E31">
            <v>559.24305555555566</v>
          </cell>
          <cell r="F31">
            <v>3.7703388833830367E-3</v>
          </cell>
          <cell r="H31">
            <v>3787</v>
          </cell>
          <cell r="I31">
            <v>4919</v>
          </cell>
        </row>
        <row r="32">
          <cell r="A32" t="str">
            <v>Other Income</v>
          </cell>
          <cell r="C32">
            <v>156</v>
          </cell>
          <cell r="D32">
            <v>0</v>
          </cell>
          <cell r="E32">
            <v>-156</v>
          </cell>
          <cell r="F32">
            <v>-1.0517302985970187E-3</v>
          </cell>
          <cell r="H32">
            <v>156</v>
          </cell>
          <cell r="I32">
            <v>0</v>
          </cell>
        </row>
        <row r="33">
          <cell r="A33" t="str">
            <v>Operating Expenses</v>
          </cell>
          <cell r="C33">
            <v>-6099.6358673541281</v>
          </cell>
          <cell r="D33">
            <v>-7796</v>
          </cell>
          <cell r="E33">
            <v>-1696.3641326458719</v>
          </cell>
          <cell r="F33">
            <v>-1.1436650998441766E-2</v>
          </cell>
          <cell r="H33">
            <v>-5556</v>
          </cell>
          <cell r="I33">
            <v>-13208</v>
          </cell>
        </row>
        <row r="34">
          <cell r="A34" t="str">
            <v>General and Administrative</v>
          </cell>
          <cell r="C34">
            <v>-11249.5857584553</v>
          </cell>
          <cell r="D34">
            <v>-13467</v>
          </cell>
          <cell r="E34">
            <v>-2217.4142415447004</v>
          </cell>
          <cell r="F34">
            <v>-1.4949498348545446E-2</v>
          </cell>
          <cell r="H34">
            <v>-13947</v>
          </cell>
          <cell r="I34">
            <v>-8164</v>
          </cell>
        </row>
        <row r="36">
          <cell r="A36" t="str">
            <v>EBITDA</v>
          </cell>
          <cell r="C36">
            <v>133209.20390364539</v>
          </cell>
          <cell r="D36">
            <v>132735</v>
          </cell>
          <cell r="E36">
            <v>-474.20390364539344</v>
          </cell>
          <cell r="F36">
            <v>-3.1970167511335998E-3</v>
          </cell>
          <cell r="H36">
            <v>123031</v>
          </cell>
          <cell r="I36">
            <v>176023</v>
          </cell>
        </row>
        <row r="38">
          <cell r="A38" t="str">
            <v>Interest Expense</v>
          </cell>
          <cell r="C38">
            <v>44187.247152447679</v>
          </cell>
          <cell r="D38">
            <v>45704</v>
          </cell>
          <cell r="E38">
            <v>-1516.7528475523213</v>
          </cell>
          <cell r="F38">
            <v>-1.0225736700346676E-2</v>
          </cell>
          <cell r="H38">
            <v>38655</v>
          </cell>
          <cell r="I38">
            <v>49302</v>
          </cell>
        </row>
        <row r="39">
          <cell r="A39" t="str">
            <v>Depreciation and Amortization</v>
          </cell>
          <cell r="C39">
            <v>59677.454870435424</v>
          </cell>
          <cell r="D39">
            <v>67739</v>
          </cell>
          <cell r="E39">
            <v>-8061.5451295645762</v>
          </cell>
          <cell r="F39">
            <v>-5.434981580942496E-2</v>
          </cell>
          <cell r="H39">
            <v>60147</v>
          </cell>
          <cell r="I39">
            <v>62275</v>
          </cell>
        </row>
        <row r="40">
          <cell r="A40" t="str">
            <v>Interest Income</v>
          </cell>
          <cell r="C40">
            <v>1985.049912129467</v>
          </cell>
          <cell r="D40">
            <v>2418</v>
          </cell>
          <cell r="E40">
            <v>432.95008787053303</v>
          </cell>
          <cell r="F40">
            <v>2.9188892640620591E-3</v>
          </cell>
          <cell r="H40">
            <v>2200</v>
          </cell>
          <cell r="I40">
            <v>2137</v>
          </cell>
        </row>
        <row r="41">
          <cell r="A41" t="str">
            <v>Other Expense</v>
          </cell>
          <cell r="C41">
            <v>0</v>
          </cell>
          <cell r="D41">
            <v>0</v>
          </cell>
          <cell r="E41">
            <v>0</v>
          </cell>
          <cell r="F41">
            <v>0</v>
          </cell>
          <cell r="H41">
            <v>-220</v>
          </cell>
          <cell r="I41">
            <v>0</v>
          </cell>
        </row>
        <row r="42">
          <cell r="A42" t="str">
            <v>Other Min. Int. in Earn. of Subs.</v>
          </cell>
          <cell r="C42">
            <v>50.160362777253724</v>
          </cell>
          <cell r="D42">
            <v>-15</v>
          </cell>
          <cell r="E42">
            <v>65.160362777253724</v>
          </cell>
          <cell r="F42">
            <v>4.3930210128468672E-4</v>
          </cell>
          <cell r="H42">
            <v>-102</v>
          </cell>
          <cell r="I42">
            <v>54</v>
          </cell>
        </row>
        <row r="43">
          <cell r="A43" t="str">
            <v>Preferred Issuance Costs</v>
          </cell>
          <cell r="C43">
            <v>0</v>
          </cell>
          <cell r="D43">
            <v>0</v>
          </cell>
          <cell r="E43">
            <v>0</v>
          </cell>
          <cell r="F43">
            <v>0</v>
          </cell>
          <cell r="H43">
            <v>2633</v>
          </cell>
          <cell r="I43">
            <v>0</v>
          </cell>
        </row>
        <row r="44">
          <cell r="A44" t="str">
            <v>NI Before Gains &amp; Minority Int.</v>
          </cell>
          <cell r="C44">
            <v>31379.712155669018</v>
          </cell>
          <cell r="D44">
            <v>21695</v>
          </cell>
          <cell r="E44">
            <v>-9684.7121556690181</v>
          </cell>
          <cell r="F44">
            <v>-6.5292982098127908E-2</v>
          </cell>
          <cell r="H44">
            <v>23474</v>
          </cell>
          <cell r="I44">
            <v>66637</v>
          </cell>
        </row>
        <row r="46">
          <cell r="A46" t="str">
            <v>Gains On Sale</v>
          </cell>
          <cell r="C46">
            <v>16750</v>
          </cell>
          <cell r="D46">
            <v>0</v>
          </cell>
          <cell r="E46">
            <v>-16750</v>
          </cell>
          <cell r="F46">
            <v>-0.11292616988141067</v>
          </cell>
          <cell r="H46">
            <v>-920</v>
          </cell>
          <cell r="I46">
            <v>0</v>
          </cell>
        </row>
        <row r="47">
          <cell r="A47" t="str">
            <v>Land Sales Gains - incl. in FFO</v>
          </cell>
          <cell r="C47">
            <v>3000</v>
          </cell>
          <cell r="D47">
            <v>13997</v>
          </cell>
          <cell r="E47">
            <v>10997</v>
          </cell>
          <cell r="F47">
            <v>7.4140244190201376E-2</v>
          </cell>
          <cell r="H47">
            <v>2810</v>
          </cell>
          <cell r="I47">
            <v>2364</v>
          </cell>
        </row>
        <row r="48">
          <cell r="A48" t="str">
            <v>Min Interest in Earnings of Pfd Unitholders</v>
          </cell>
          <cell r="C48">
            <v>0</v>
          </cell>
          <cell r="D48">
            <v>0</v>
          </cell>
          <cell r="E48">
            <v>0</v>
          </cell>
          <cell r="F48">
            <v>0</v>
          </cell>
          <cell r="H48">
            <v>0</v>
          </cell>
          <cell r="I48">
            <v>0</v>
          </cell>
        </row>
        <row r="49">
          <cell r="A49" t="str">
            <v>Min Interest in Earnings of Unitholders</v>
          </cell>
          <cell r="C49">
            <v>4405.7518639354521</v>
          </cell>
          <cell r="D49">
            <v>1391</v>
          </cell>
          <cell r="E49">
            <v>3014.7518639354521</v>
          </cell>
          <cell r="F49">
            <v>2.0325037679825332E-2</v>
          </cell>
          <cell r="H49">
            <v>1253</v>
          </cell>
          <cell r="I49">
            <v>4743</v>
          </cell>
        </row>
        <row r="50">
          <cell r="A50" t="str">
            <v>Net Income</v>
          </cell>
          <cell r="C50">
            <v>46723.960291733565</v>
          </cell>
          <cell r="D50">
            <v>34301</v>
          </cell>
          <cell r="E50">
            <v>-12422.960291733565</v>
          </cell>
          <cell r="F50">
            <v>-8.3753870109511852E-2</v>
          </cell>
          <cell r="H50">
            <v>24111</v>
          </cell>
          <cell r="I50">
            <v>64258</v>
          </cell>
        </row>
        <row r="51">
          <cell r="A51" t="str">
            <v>Preferred Dividend</v>
          </cell>
          <cell r="C51">
            <v>15226</v>
          </cell>
          <cell r="D51">
            <v>15226</v>
          </cell>
          <cell r="E51">
            <v>0</v>
          </cell>
          <cell r="F51">
            <v>0</v>
          </cell>
          <cell r="H51">
            <v>12712</v>
          </cell>
          <cell r="I51">
            <v>15226</v>
          </cell>
        </row>
        <row r="52">
          <cell r="A52" t="str">
            <v>Net Income from Discontinued Operations</v>
          </cell>
          <cell r="C52">
            <v>649</v>
          </cell>
          <cell r="D52">
            <v>-2232</v>
          </cell>
          <cell r="E52">
            <v>-2881</v>
          </cell>
          <cell r="F52">
            <v>-1.9423301219602635E-2</v>
          </cell>
          <cell r="H52">
            <v>-410</v>
          </cell>
          <cell r="I52">
            <v>649</v>
          </cell>
        </row>
        <row r="53">
          <cell r="A53" t="str">
            <v>Gain on Sale of Discontinued Operations</v>
          </cell>
          <cell r="C53">
            <v>515</v>
          </cell>
          <cell r="D53">
            <v>51720</v>
          </cell>
          <cell r="E53">
            <v>51205</v>
          </cell>
          <cell r="F53">
            <v>0.34521698679269452</v>
          </cell>
          <cell r="H53">
            <v>459</v>
          </cell>
          <cell r="I53">
            <v>515</v>
          </cell>
        </row>
        <row r="54">
          <cell r="A54" t="str">
            <v>Net Income Avail. to Common</v>
          </cell>
          <cell r="C54">
            <v>32661.960291733565</v>
          </cell>
          <cell r="D54">
            <v>68563</v>
          </cell>
          <cell r="E54">
            <v>35901.039708266435</v>
          </cell>
          <cell r="F54">
            <v>0.24203981546358003</v>
          </cell>
          <cell r="H54">
            <v>11448</v>
          </cell>
          <cell r="I54">
            <v>50196</v>
          </cell>
        </row>
        <row r="55">
          <cell r="B55" t="str">
            <v>Adjustment OP units</v>
          </cell>
          <cell r="C55" t="e">
            <v>#N/A</v>
          </cell>
          <cell r="D55" t="e">
            <v>#N/A</v>
          </cell>
          <cell r="H55" t="e">
            <v>#N/A</v>
          </cell>
          <cell r="I55" t="e">
            <v>#N/A</v>
          </cell>
        </row>
        <row r="56">
          <cell r="B56" t="str">
            <v>Adjustment: Gains and Extraordinary Items</v>
          </cell>
          <cell r="C56" t="e">
            <v>#N/A</v>
          </cell>
          <cell r="D56" t="e">
            <v>#N/A</v>
          </cell>
          <cell r="E56" t="e">
            <v>#N/A</v>
          </cell>
          <cell r="F56" t="e">
            <v>#N/A</v>
          </cell>
          <cell r="H56" t="e">
            <v>#N/A</v>
          </cell>
          <cell r="I56" t="e">
            <v>#N/A</v>
          </cell>
        </row>
        <row r="57">
          <cell r="A57" t="str">
            <v>Normalized Earnings</v>
          </cell>
          <cell r="C57">
            <v>15911.960291733565</v>
          </cell>
          <cell r="D57">
            <v>68563</v>
          </cell>
          <cell r="E57">
            <v>52651.039708266435</v>
          </cell>
          <cell r="F57">
            <v>0.35496598534499069</v>
          </cell>
          <cell r="H57">
            <v>12368</v>
          </cell>
          <cell r="I57">
            <v>50196</v>
          </cell>
        </row>
        <row r="59">
          <cell r="A59" t="str">
            <v xml:space="preserve">  + Depreciation and Amortization</v>
          </cell>
          <cell r="C59">
            <v>59677.454870435424</v>
          </cell>
          <cell r="D59">
            <v>67739</v>
          </cell>
          <cell r="E59">
            <v>8061.5451295645762</v>
          </cell>
          <cell r="F59">
            <v>5.434981580942496E-2</v>
          </cell>
          <cell r="H59">
            <v>60582</v>
          </cell>
          <cell r="I59">
            <v>64156</v>
          </cell>
        </row>
        <row r="60">
          <cell r="A60" t="str">
            <v xml:space="preserve">  + Depr. &amp; Amort. on J.V.'s</v>
          </cell>
          <cell r="C60">
            <v>4935</v>
          </cell>
          <cell r="D60">
            <v>4968</v>
          </cell>
          <cell r="E60">
            <v>33</v>
          </cell>
          <cell r="F60">
            <v>2.2248140931860013E-4</v>
          </cell>
          <cell r="H60">
            <v>4702</v>
          </cell>
          <cell r="I60">
            <v>4700</v>
          </cell>
        </row>
        <row r="61">
          <cell r="A61" t="str">
            <v xml:space="preserve">  - Earnings from Property Sales</v>
          </cell>
          <cell r="C61">
            <v>-17265</v>
          </cell>
          <cell r="D61">
            <v>-53680</v>
          </cell>
          <cell r="E61">
            <v>-36415</v>
          </cell>
          <cell r="F61">
            <v>-0.24550486425263102</v>
          </cell>
          <cell r="H61">
            <v>-3467</v>
          </cell>
          <cell r="I61">
            <v>-11237</v>
          </cell>
        </row>
        <row r="62">
          <cell r="A62" t="str">
            <v xml:space="preserve">  - MI Share of Add-Backs</v>
          </cell>
          <cell r="C62">
            <v>-4669.5582163195277</v>
          </cell>
          <cell r="D62">
            <v>-1263</v>
          </cell>
          <cell r="E62">
            <v>3406.5582163195277</v>
          </cell>
          <cell r="F62">
            <v>2.2966541602806822E-2</v>
          </cell>
          <cell r="H62">
            <v>-5588</v>
          </cell>
          <cell r="I62">
            <v>-5027</v>
          </cell>
        </row>
        <row r="63">
          <cell r="A63" t="str">
            <v xml:space="preserve"> Funds From Operations</v>
          </cell>
          <cell r="C63">
            <v>75339.85694584946</v>
          </cell>
          <cell r="D63">
            <v>86327</v>
          </cell>
          <cell r="E63">
            <v>10987.14305415054</v>
          </cell>
          <cell r="F63">
            <v>7.4073790032499406E-2</v>
          </cell>
          <cell r="H63">
            <v>67677</v>
          </cell>
          <cell r="I63">
            <v>102788</v>
          </cell>
        </row>
        <row r="65">
          <cell r="A65" t="str">
            <v xml:space="preserve"> - TIs &amp; Leasing Commisions</v>
          </cell>
          <cell r="C65">
            <v>10542.036243686158</v>
          </cell>
          <cell r="D65">
            <v>15869</v>
          </cell>
          <cell r="E65">
            <v>-5326.9637563138422</v>
          </cell>
          <cell r="F65">
            <v>-3.591364860284265E-2</v>
          </cell>
          <cell r="H65">
            <v>15542</v>
          </cell>
          <cell r="I65">
            <v>11349</v>
          </cell>
        </row>
        <row r="66">
          <cell r="A66" t="str">
            <v xml:space="preserve"> - Capital Expenditures</v>
          </cell>
          <cell r="C66">
            <v>2952.0302390020802</v>
          </cell>
          <cell r="D66">
            <v>961</v>
          </cell>
          <cell r="E66">
            <v>1991.0302390020802</v>
          </cell>
          <cell r="F66">
            <v>1.3423248896034305E-2</v>
          </cell>
          <cell r="H66">
            <v>1324</v>
          </cell>
          <cell r="I66">
            <v>3178</v>
          </cell>
        </row>
        <row r="67">
          <cell r="A67" t="str">
            <v xml:space="preserve"> - Adjustment For Straight-lining</v>
          </cell>
          <cell r="C67">
            <v>5208.3176683715119</v>
          </cell>
          <cell r="D67">
            <v>6101</v>
          </cell>
          <cell r="E67">
            <v>-892.6823316284881</v>
          </cell>
          <cell r="F67">
            <v>-6.0183400974096971E-3</v>
          </cell>
          <cell r="H67">
            <v>5755</v>
          </cell>
          <cell r="I67">
            <v>5607</v>
          </cell>
        </row>
        <row r="68">
          <cell r="A68" t="str">
            <v xml:space="preserve"> + Other Adjustments1</v>
          </cell>
          <cell r="C68">
            <v>1610.3010768817608</v>
          </cell>
          <cell r="D68">
            <v>4825</v>
          </cell>
          <cell r="E68">
            <v>3214.6989231182392</v>
          </cell>
          <cell r="F68">
            <v>2.1673052937888848E-2</v>
          </cell>
          <cell r="H68">
            <v>6212</v>
          </cell>
          <cell r="I68">
            <v>6024</v>
          </cell>
        </row>
        <row r="69">
          <cell r="A69" t="str">
            <v>Adjusted Funds From Operations</v>
          </cell>
          <cell r="C69">
            <v>58247.773871671467</v>
          </cell>
          <cell r="D69">
            <v>68221</v>
          </cell>
          <cell r="E69">
            <v>9973.2261283285334</v>
          </cell>
          <cell r="F69">
            <v>6.7238103166170238E-2</v>
          </cell>
          <cell r="H69">
            <v>51268</v>
          </cell>
          <cell r="I69">
            <v>88678</v>
          </cell>
        </row>
        <row r="71">
          <cell r="A71" t="str">
            <v>Diluted FFO</v>
          </cell>
        </row>
        <row r="72">
          <cell r="A72" t="str">
            <v xml:space="preserve">  Basic FFO</v>
          </cell>
          <cell r="C72">
            <v>75339.85694584946</v>
          </cell>
          <cell r="D72">
            <v>86327</v>
          </cell>
          <cell r="E72">
            <v>10987.14305415054</v>
          </cell>
          <cell r="F72">
            <v>7.4073790032499406E-2</v>
          </cell>
          <cell r="H72">
            <v>67677</v>
          </cell>
          <cell r="I72">
            <v>102788</v>
          </cell>
        </row>
        <row r="73">
          <cell r="A73" t="str">
            <v xml:space="preserve">  Preferred Conv D and G</v>
          </cell>
          <cell r="C73">
            <v>0</v>
          </cell>
          <cell r="D73">
            <v>0</v>
          </cell>
          <cell r="E73">
            <v>0</v>
          </cell>
          <cell r="F73">
            <v>0</v>
          </cell>
          <cell r="H73">
            <v>0</v>
          </cell>
          <cell r="I73">
            <v>0</v>
          </cell>
        </row>
        <row r="74">
          <cell r="A74" t="str">
            <v xml:space="preserve">  JV Partner Convertible Ownership FFO</v>
          </cell>
          <cell r="C74">
            <v>0</v>
          </cell>
          <cell r="D74">
            <v>0</v>
          </cell>
          <cell r="E74">
            <v>0</v>
          </cell>
          <cell r="F74">
            <v>0</v>
          </cell>
          <cell r="H74">
            <v>0</v>
          </cell>
          <cell r="I74">
            <v>0</v>
          </cell>
        </row>
        <row r="75">
          <cell r="A75" t="str">
            <v xml:space="preserve">  Unitholder Minority Interest</v>
          </cell>
          <cell r="C75">
            <v>4497.7125290270833</v>
          </cell>
          <cell r="D75">
            <v>4910</v>
          </cell>
          <cell r="E75">
            <v>412.28747097291671</v>
          </cell>
          <cell r="F75">
            <v>2.7795847753471501E-3</v>
          </cell>
          <cell r="H75">
            <v>1149</v>
          </cell>
          <cell r="I75">
            <v>4842</v>
          </cell>
        </row>
        <row r="76">
          <cell r="A76" t="str">
            <v xml:space="preserve">  Minority Interest Share of Add-Backs</v>
          </cell>
          <cell r="C76">
            <v>4669.5582163195277</v>
          </cell>
          <cell r="D76">
            <v>1263</v>
          </cell>
          <cell r="E76">
            <v>-3406.5582163195277</v>
          </cell>
          <cell r="F76">
            <v>-2.2966541602806822E-2</v>
          </cell>
          <cell r="H76">
            <v>5588</v>
          </cell>
          <cell r="I76">
            <v>5027</v>
          </cell>
        </row>
        <row r="77">
          <cell r="A77" t="str">
            <v>Total Diluted FFO</v>
          </cell>
          <cell r="C77">
            <v>84507.127691196059</v>
          </cell>
          <cell r="D77">
            <v>92500</v>
          </cell>
          <cell r="E77">
            <v>7992.8723088039405</v>
          </cell>
          <cell r="F77">
            <v>5.3886833205039814E-2</v>
          </cell>
          <cell r="H77">
            <v>74414</v>
          </cell>
          <cell r="I77">
            <v>112657</v>
          </cell>
        </row>
        <row r="79">
          <cell r="A79" t="str">
            <v>Diluted EPS before Extraordinary</v>
          </cell>
          <cell r="C79">
            <v>0.23967522072539404</v>
          </cell>
          <cell r="D79">
            <v>0.49468967806173247</v>
          </cell>
          <cell r="E79">
            <v>0.25501445733633843</v>
          </cell>
          <cell r="H79">
            <v>8.4256390252518937E-2</v>
          </cell>
          <cell r="I79">
            <v>0.36859767515292147</v>
          </cell>
        </row>
        <row r="80">
          <cell r="A80" t="str">
            <v>Diluted EPS after Extraordinary</v>
          </cell>
          <cell r="C80">
            <v>0.23967522072539404</v>
          </cell>
          <cell r="D80">
            <v>0.49468967806173247</v>
          </cell>
          <cell r="E80">
            <v>0.25501445733633843</v>
          </cell>
          <cell r="H80">
            <v>8.4256390252518937E-2</v>
          </cell>
          <cell r="I80">
            <v>0.36859767515292147</v>
          </cell>
        </row>
        <row r="81">
          <cell r="A81" t="str">
            <v>Normalized Earnings Per Share</v>
          </cell>
          <cell r="C81">
            <v>0.11676282014402424</v>
          </cell>
          <cell r="D81">
            <v>0.49468967806173247</v>
          </cell>
          <cell r="E81">
            <v>0.37792685791770825</v>
          </cell>
          <cell r="H81">
            <v>9.1027518749402E-2</v>
          </cell>
          <cell r="I81">
            <v>0.36859767515292147</v>
          </cell>
        </row>
        <row r="83">
          <cell r="A83" t="str">
            <v xml:space="preserve">FFO Per Share - Diluted </v>
          </cell>
          <cell r="C83">
            <v>0.56672484451574856</v>
          </cell>
          <cell r="D83">
            <v>0.62362213218092455</v>
          </cell>
          <cell r="E83">
            <v>5.6897287665175988E-2</v>
          </cell>
          <cell r="H83">
            <v>0.49853616051988076</v>
          </cell>
          <cell r="I83">
            <v>0.7559857737216481</v>
          </cell>
        </row>
        <row r="85">
          <cell r="A85" t="str">
            <v>Adjusted FFO Per Share - Diluted</v>
          </cell>
          <cell r="C85">
            <v>0.42742529642315996</v>
          </cell>
          <cell r="D85">
            <v>0.4922221099871571</v>
          </cell>
          <cell r="E85">
            <v>6.4796813563997135E-2</v>
          </cell>
          <cell r="H85">
            <v>0.37732849541108848</v>
          </cell>
          <cell r="I85">
            <v>0.65117747703424123</v>
          </cell>
        </row>
        <row r="86">
          <cell r="A86" t="str">
            <v>NOI Per Share</v>
          </cell>
          <cell r="C86">
            <v>1.0188166219645201</v>
          </cell>
          <cell r="D86">
            <v>1.0048341245905423</v>
          </cell>
          <cell r="E86">
            <v>-1.398249737397772E-2</v>
          </cell>
          <cell r="H86">
            <v>0.97539577982056513</v>
          </cell>
          <cell r="I86">
            <v>1.0975686769813704</v>
          </cell>
        </row>
        <row r="87">
          <cell r="A87" t="str">
            <v>EBITDA Per Share</v>
          </cell>
          <cell r="C87">
            <v>0.97749630037792445</v>
          </cell>
          <cell r="D87">
            <v>0.95769780227708912</v>
          </cell>
          <cell r="E87">
            <v>-1.9798498100835338E-2</v>
          </cell>
          <cell r="H87">
            <v>0.9054985979348058</v>
          </cell>
          <cell r="I87">
            <v>1.2925665107467268</v>
          </cell>
        </row>
        <row r="89">
          <cell r="A89" t="str">
            <v>Dividends Per Share</v>
          </cell>
          <cell r="C89">
            <v>0.47499999999999998</v>
          </cell>
          <cell r="D89">
            <v>0.47499999999999998</v>
          </cell>
          <cell r="E89">
            <v>0</v>
          </cell>
          <cell r="H89">
            <v>0.46500000000000002</v>
          </cell>
          <cell r="I89">
            <v>0.47499999999999998</v>
          </cell>
        </row>
        <row r="91">
          <cell r="A91" t="str">
            <v xml:space="preserve">Payout Ratio (Net Income) </v>
          </cell>
          <cell r="C91">
            <v>1.9818485972908622</v>
          </cell>
          <cell r="D91">
            <v>0.96019792016101979</v>
          </cell>
          <cell r="E91">
            <v>-1.0216506771298424</v>
          </cell>
          <cell r="H91">
            <v>5.5188692348008388</v>
          </cell>
          <cell r="I91">
            <v>1.2886679217467527</v>
          </cell>
        </row>
        <row r="92">
          <cell r="A92" t="str">
            <v xml:space="preserve">Payout Ratio (FFO) </v>
          </cell>
          <cell r="C92">
            <v>0.83814924402312896</v>
          </cell>
          <cell r="D92">
            <v>0.7616791891891892</v>
          </cell>
          <cell r="E92">
            <v>-7.647005483393976E-2</v>
          </cell>
          <cell r="H92">
            <v>0.93273073615179947</v>
          </cell>
          <cell r="I92">
            <v>0.62831870190045891</v>
          </cell>
        </row>
        <row r="93">
          <cell r="A93" t="str">
            <v xml:space="preserve">Payout Ratio (AFFO) </v>
          </cell>
          <cell r="C93">
            <v>1.1113053063891194</v>
          </cell>
          <cell r="D93">
            <v>0.96501150672080438</v>
          </cell>
          <cell r="E93">
            <v>-0.14629379966831502</v>
          </cell>
          <cell r="H93">
            <v>1.2323479558399002</v>
          </cell>
          <cell r="I93">
            <v>0.72944783373553745</v>
          </cell>
        </row>
        <row r="95">
          <cell r="A95" t="str">
            <v>Shares Outstanding</v>
          </cell>
          <cell r="C95">
            <v>134759.91618724633</v>
          </cell>
          <cell r="D95">
            <v>136823</v>
          </cell>
          <cell r="E95">
            <v>2063.0838127536699</v>
          </cell>
          <cell r="H95">
            <v>134781</v>
          </cell>
          <cell r="I95">
            <v>134665</v>
          </cell>
        </row>
        <row r="96">
          <cell r="A96" t="str">
            <v>Other dilutive securities</v>
          </cell>
          <cell r="C96">
            <v>1516</v>
          </cell>
          <cell r="D96">
            <v>1775</v>
          </cell>
          <cell r="E96">
            <v>259</v>
          </cell>
          <cell r="H96">
            <v>1090</v>
          </cell>
          <cell r="I96">
            <v>1516</v>
          </cell>
        </row>
        <row r="97">
          <cell r="A97" t="str">
            <v>Diluted Shares O/S (Thous.)</v>
          </cell>
          <cell r="C97">
            <v>136275.91618724633</v>
          </cell>
          <cell r="D97">
            <v>138598</v>
          </cell>
          <cell r="E97">
            <v>2322.0838127536699</v>
          </cell>
          <cell r="H97">
            <v>135871</v>
          </cell>
          <cell r="I97">
            <v>136181</v>
          </cell>
        </row>
        <row r="98">
          <cell r="A98" t="str">
            <v>Units Outstanding</v>
          </cell>
          <cell r="C98">
            <v>12839</v>
          </cell>
          <cell r="D98">
            <v>9729</v>
          </cell>
          <cell r="E98">
            <v>-3110</v>
          </cell>
          <cell r="H98">
            <v>13394</v>
          </cell>
          <cell r="I98">
            <v>12839</v>
          </cell>
        </row>
        <row r="99">
          <cell r="A99" t="str">
            <v>Convertible D &amp; G Equivalents</v>
          </cell>
          <cell r="C99">
            <v>0</v>
          </cell>
          <cell r="D99">
            <v>0</v>
          </cell>
          <cell r="E99">
            <v>0</v>
          </cell>
          <cell r="H99">
            <v>0</v>
          </cell>
          <cell r="I99">
            <v>0</v>
          </cell>
        </row>
        <row r="100">
          <cell r="A100" t="str">
            <v>JV Covertible Equivalents</v>
          </cell>
          <cell r="C100">
            <v>0</v>
          </cell>
          <cell r="D100">
            <v>0</v>
          </cell>
          <cell r="E100">
            <v>0</v>
          </cell>
          <cell r="H100">
            <v>0</v>
          </cell>
          <cell r="I100">
            <v>0</v>
          </cell>
        </row>
        <row r="101">
          <cell r="A101" t="str">
            <v>Diluted Shares and Units (Thous.)</v>
          </cell>
          <cell r="C101">
            <v>149114.91618724633</v>
          </cell>
          <cell r="D101">
            <v>148327</v>
          </cell>
          <cell r="E101">
            <v>-787.91618724633008</v>
          </cell>
          <cell r="H101">
            <v>149265</v>
          </cell>
          <cell r="I101">
            <v>149020</v>
          </cell>
        </row>
        <row r="106">
          <cell r="A106" t="str">
            <v>Matt Ostrower</v>
          </cell>
          <cell r="I106" t="str">
            <v>(212) 761-6284</v>
          </cell>
        </row>
        <row r="107">
          <cell r="A107" t="str">
            <v>Morgan Stanley  REIT Research</v>
          </cell>
          <cell r="I107" t="str">
            <v>Matthew.Ostrower@morganstanley.com</v>
          </cell>
        </row>
      </sheetData>
      <sheetData sheetId="32" refreshError="1"/>
      <sheetData sheetId="33" refreshError="1">
        <row r="3">
          <cell r="C3" t="str">
            <v>Peer</v>
          </cell>
          <cell r="E3" t="str">
            <v>Peer</v>
          </cell>
          <cell r="G3" t="str">
            <v>Peer</v>
          </cell>
          <cell r="I3" t="str">
            <v>Peer</v>
          </cell>
          <cell r="K3" t="str">
            <v>Peer</v>
          </cell>
          <cell r="M3" t="str">
            <v>Peer</v>
          </cell>
          <cell r="O3" t="str">
            <v>Peer</v>
          </cell>
          <cell r="Q3" t="str">
            <v>Peer</v>
          </cell>
          <cell r="S3" t="str">
            <v>Peer</v>
          </cell>
          <cell r="U3" t="str">
            <v>Peer</v>
          </cell>
          <cell r="W3" t="str">
            <v>Peer</v>
          </cell>
          <cell r="Y3" t="str">
            <v>Peer</v>
          </cell>
          <cell r="AA3" t="str">
            <v>Peer</v>
          </cell>
        </row>
        <row r="4">
          <cell r="C4" t="str">
            <v>Group</v>
          </cell>
          <cell r="E4" t="str">
            <v>Group</v>
          </cell>
          <cell r="G4" t="str">
            <v>Group</v>
          </cell>
          <cell r="I4" t="str">
            <v>Group</v>
          </cell>
          <cell r="K4" t="str">
            <v>Group</v>
          </cell>
          <cell r="M4" t="str">
            <v>Group</v>
          </cell>
          <cell r="O4" t="str">
            <v>Group</v>
          </cell>
          <cell r="Q4" t="str">
            <v>Group</v>
          </cell>
          <cell r="S4" t="str">
            <v>Group</v>
          </cell>
          <cell r="U4" t="str">
            <v>Group</v>
          </cell>
          <cell r="W4" t="str">
            <v>Group</v>
          </cell>
          <cell r="Y4" t="str">
            <v>Group</v>
          </cell>
          <cell r="AA4" t="str">
            <v>Group</v>
          </cell>
          <cell r="AV4" t="str">
            <v>2Q03A</v>
          </cell>
          <cell r="BA4" t="str">
            <v>1Q03A</v>
          </cell>
          <cell r="BE4" t="str">
            <v>4Q02A</v>
          </cell>
          <cell r="BI4" t="str">
            <v>3Q02A</v>
          </cell>
          <cell r="BL4" t="str">
            <v>2Q02A</v>
          </cell>
          <cell r="BO4" t="str">
            <v>1Q02A</v>
          </cell>
          <cell r="BR4" t="str">
            <v>'02 Same-Store</v>
          </cell>
        </row>
        <row r="5">
          <cell r="A5" t="str">
            <v>Performance Measure</v>
          </cell>
          <cell r="B5" t="str">
            <v>3Q04A</v>
          </cell>
          <cell r="C5" t="str">
            <v>3Q04A</v>
          </cell>
          <cell r="D5" t="str">
            <v>4Q04A</v>
          </cell>
          <cell r="E5" t="str">
            <v>4Q04A</v>
          </cell>
          <cell r="F5" t="str">
            <v>1Q05A</v>
          </cell>
          <cell r="G5" t="str">
            <v>1Q05A</v>
          </cell>
          <cell r="H5" t="str">
            <v>2Q05A</v>
          </cell>
          <cell r="I5" t="str">
            <v>2Q05A</v>
          </cell>
          <cell r="J5" t="str">
            <v>3Q05A</v>
          </cell>
          <cell r="K5" t="str">
            <v>3Q05A</v>
          </cell>
          <cell r="L5" t="str">
            <v>4Q05A</v>
          </cell>
          <cell r="M5" t="str">
            <v>4Q05A</v>
          </cell>
          <cell r="N5" t="str">
            <v>1Q06A</v>
          </cell>
          <cell r="O5" t="str">
            <v>1Q06A</v>
          </cell>
          <cell r="P5" t="str">
            <v>2Q06A</v>
          </cell>
          <cell r="Q5" t="str">
            <v>2Q06A</v>
          </cell>
          <cell r="R5" t="str">
            <v>3Q06A</v>
          </cell>
          <cell r="S5" t="str">
            <v>3Q06A</v>
          </cell>
          <cell r="T5" t="str">
            <v>4Q06A</v>
          </cell>
          <cell r="U5" t="str">
            <v>4Q06A</v>
          </cell>
          <cell r="V5" t="str">
            <v>1Q07A</v>
          </cell>
          <cell r="W5" t="str">
            <v>1Q07A</v>
          </cell>
          <cell r="X5" t="str">
            <v>2Q07A</v>
          </cell>
          <cell r="Y5" t="str">
            <v>2Q07A</v>
          </cell>
          <cell r="Z5" t="str">
            <v>3Q07A</v>
          </cell>
          <cell r="AA5" t="str">
            <v>3Q07A</v>
          </cell>
          <cell r="AB5" t="str">
            <v>4Q07A</v>
          </cell>
          <cell r="AC5" t="str">
            <v>Comments</v>
          </cell>
          <cell r="AK5" t="str">
            <v>2Q01A</v>
          </cell>
          <cell r="AL5" t="str">
            <v>Trend</v>
          </cell>
          <cell r="AU5" t="str">
            <v>% of NOI</v>
          </cell>
          <cell r="AV5" t="str">
            <v>NOI</v>
          </cell>
          <cell r="AW5" t="str">
            <v>Occupancy</v>
          </cell>
          <cell r="AX5" t="str">
            <v>Turnover</v>
          </cell>
          <cell r="AZ5" t="str">
            <v>% of NOI</v>
          </cell>
          <cell r="BA5" t="str">
            <v>NOI</v>
          </cell>
          <cell r="BB5" t="str">
            <v>Occupancy</v>
          </cell>
          <cell r="BC5" t="str">
            <v>Turnover</v>
          </cell>
          <cell r="BD5" t="str">
            <v>% of NOI</v>
          </cell>
          <cell r="BE5" t="str">
            <v>NOI</v>
          </cell>
          <cell r="BF5" t="str">
            <v>Occupancy</v>
          </cell>
          <cell r="BG5" t="str">
            <v>Turnover</v>
          </cell>
          <cell r="BH5" t="str">
            <v>% of NOI</v>
          </cell>
          <cell r="BI5" t="str">
            <v>NOI</v>
          </cell>
          <cell r="BJ5" t="str">
            <v>Occupancy</v>
          </cell>
          <cell r="BK5" t="str">
            <v>Turnover</v>
          </cell>
          <cell r="BL5" t="str">
            <v>NOI</v>
          </cell>
          <cell r="BM5" t="str">
            <v>Occupancy</v>
          </cell>
          <cell r="BN5" t="str">
            <v>Turnover</v>
          </cell>
          <cell r="BO5" t="str">
            <v>NOI</v>
          </cell>
          <cell r="BP5" t="str">
            <v>Occupancy</v>
          </cell>
          <cell r="BQ5" t="str">
            <v>Turnover</v>
          </cell>
          <cell r="BR5" t="str">
            <v>NOI Guidance</v>
          </cell>
        </row>
        <row r="6">
          <cell r="A6" t="str">
            <v>FFOPS</v>
          </cell>
          <cell r="B6">
            <v>0.62</v>
          </cell>
          <cell r="D6">
            <v>0.66514775977121066</v>
          </cell>
          <cell r="F6">
            <v>0.56777200101445602</v>
          </cell>
          <cell r="H6">
            <v>0.6093661851304838</v>
          </cell>
          <cell r="J6">
            <v>0.60804548612660392</v>
          </cell>
          <cell r="L6">
            <v>0.61417182176056107</v>
          </cell>
          <cell r="N6">
            <v>0.49853616051988076</v>
          </cell>
          <cell r="P6">
            <v>0.57940333681476131</v>
          </cell>
          <cell r="R6">
            <v>0.65172137174944844</v>
          </cell>
          <cell r="T6">
            <v>0.7559857737216481</v>
          </cell>
          <cell r="V6">
            <v>0.62362213218092455</v>
          </cell>
          <cell r="X6">
            <v>0.63106481512735524</v>
          </cell>
          <cell r="Z6">
            <v>0.67688671258575961</v>
          </cell>
          <cell r="AB6">
            <v>0.79947173182621534</v>
          </cell>
          <cell r="AC6" t="str">
            <v>$0.01 above our est and in-line with consenus</v>
          </cell>
          <cell r="AK6">
            <v>6.6631928927586959E-2</v>
          </cell>
          <cell r="AL6" t="str">
            <v>Deteriorating</v>
          </cell>
          <cell r="AT6" t="str">
            <v>San Fran.</v>
          </cell>
          <cell r="AU6">
            <v>0.25</v>
          </cell>
          <cell r="AV6">
            <v>-0.13</v>
          </cell>
          <cell r="AW6">
            <v>0.95</v>
          </cell>
          <cell r="AX6">
            <v>0.69</v>
          </cell>
          <cell r="AZ6">
            <v>0.26</v>
          </cell>
          <cell r="BA6">
            <v>-0.17</v>
          </cell>
          <cell r="BB6">
            <v>0.95</v>
          </cell>
          <cell r="BC6">
            <v>0.63</v>
          </cell>
          <cell r="BD6">
            <v>0.26</v>
          </cell>
          <cell r="BE6">
            <v>-0.15</v>
          </cell>
          <cell r="BF6">
            <v>0.93</v>
          </cell>
          <cell r="BG6">
            <v>0.71</v>
          </cell>
          <cell r="BH6">
            <v>0.27</v>
          </cell>
          <cell r="BI6">
            <v>-0.13</v>
          </cell>
          <cell r="BJ6">
            <v>0.95</v>
          </cell>
          <cell r="BK6">
            <v>0.72</v>
          </cell>
          <cell r="BL6">
            <v>-0.13</v>
          </cell>
          <cell r="BM6">
            <v>0.95</v>
          </cell>
          <cell r="BN6">
            <v>0.68</v>
          </cell>
          <cell r="BO6">
            <v>-0.11</v>
          </cell>
          <cell r="BP6">
            <v>0.93</v>
          </cell>
          <cell r="BQ6">
            <v>0.71</v>
          </cell>
          <cell r="BR6" t="str">
            <v>-10% to -12%</v>
          </cell>
        </row>
        <row r="8">
          <cell r="A8" t="str">
            <v>TI/LC psf/year of lease (rolling 4Q avg)</v>
          </cell>
          <cell r="B8">
            <v>2.682849870183885</v>
          </cell>
          <cell r="C8">
            <v>2.5516208585795117</v>
          </cell>
          <cell r="D8">
            <v>2.8635010201339801</v>
          </cell>
          <cell r="E8">
            <v>2.6040707656555959</v>
          </cell>
          <cell r="F8">
            <v>2.9454431189784125</v>
          </cell>
          <cell r="G8">
            <v>2.5923288492758898</v>
          </cell>
          <cell r="H8">
            <v>2.9587077207289139</v>
          </cell>
          <cell r="I8">
            <v>2.652440551950809</v>
          </cell>
          <cell r="J8">
            <v>3.0108838591037381</v>
          </cell>
          <cell r="K8">
            <v>2.7114388752515231</v>
          </cell>
          <cell r="L8">
            <v>3.005470934362759</v>
          </cell>
          <cell r="M8">
            <v>2.7094895883165608</v>
          </cell>
          <cell r="N8">
            <v>2.9049831862728848</v>
          </cell>
          <cell r="O8">
            <v>2.6837544854204163</v>
          </cell>
          <cell r="P8">
            <v>2.7690446149550207</v>
          </cell>
          <cell r="Q8">
            <v>2.5757199212215176</v>
          </cell>
          <cell r="R8">
            <v>2.4592465383038107</v>
          </cell>
          <cell r="S8">
            <v>2.5508831382846715</v>
          </cell>
          <cell r="T8">
            <v>2.3230041947179352</v>
          </cell>
          <cell r="U8">
            <v>2.8472318011347935</v>
          </cell>
          <cell r="V8">
            <v>2.2353721332555234</v>
          </cell>
          <cell r="W8">
            <v>2.6074461922123366</v>
          </cell>
          <cell r="X8">
            <v>2.0570785901312747</v>
          </cell>
          <cell r="Y8">
            <v>2.4379326227645399</v>
          </cell>
          <cell r="Z8">
            <v>2.1231180159089833</v>
          </cell>
          <cell r="AA8">
            <v>2.4385242466484822</v>
          </cell>
          <cell r="AB8">
            <v>0</v>
          </cell>
        </row>
        <row r="9">
          <cell r="A9" t="str">
            <v>AFFOPS</v>
          </cell>
          <cell r="B9">
            <v>0.41976852207561799</v>
          </cell>
          <cell r="D9">
            <v>0.42274442108780086</v>
          </cell>
          <cell r="F9">
            <v>0.38493139258456022</v>
          </cell>
          <cell r="H9">
            <v>0.39785654371139595</v>
          </cell>
          <cell r="J9">
            <v>0.40785437407624309</v>
          </cell>
          <cell r="L9">
            <v>0.37020312749553524</v>
          </cell>
          <cell r="N9">
            <v>0.37732849541108848</v>
          </cell>
          <cell r="P9">
            <v>0.4554975745994414</v>
          </cell>
          <cell r="R9">
            <v>0.51610585207399962</v>
          </cell>
          <cell r="T9">
            <v>0.65117747703424123</v>
          </cell>
          <cell r="V9">
            <v>0.4922221099871571</v>
          </cell>
          <cell r="X9">
            <v>0.49005760876636284</v>
          </cell>
          <cell r="Z9">
            <v>0.53608232532948186</v>
          </cell>
          <cell r="AB9">
            <v>0.64769240232092451</v>
          </cell>
        </row>
        <row r="11">
          <cell r="A11" t="str">
            <v>Morgan Stanley</v>
          </cell>
          <cell r="H11">
            <v>0.63</v>
          </cell>
          <cell r="J11">
            <v>0.6</v>
          </cell>
          <cell r="L11">
            <v>0.59</v>
          </cell>
          <cell r="N11">
            <v>0.51</v>
          </cell>
          <cell r="P11">
            <v>0.55000000000000004</v>
          </cell>
          <cell r="R11">
            <v>0.63</v>
          </cell>
          <cell r="T11">
            <v>0.72</v>
          </cell>
          <cell r="V11">
            <v>0.56999999999999995</v>
          </cell>
          <cell r="X11">
            <v>0.6</v>
          </cell>
          <cell r="Z11">
            <v>0.67</v>
          </cell>
          <cell r="AB11">
            <v>0.79</v>
          </cell>
        </row>
        <row r="12">
          <cell r="A12" t="str">
            <v>Consensus</v>
          </cell>
          <cell r="H12">
            <v>0.62</v>
          </cell>
          <cell r="J12">
            <v>0.62</v>
          </cell>
          <cell r="L12">
            <v>0.59</v>
          </cell>
          <cell r="N12">
            <v>0.52</v>
          </cell>
          <cell r="P12">
            <v>0.56000000000000005</v>
          </cell>
          <cell r="R12">
            <v>0.63</v>
          </cell>
          <cell r="T12">
            <v>0.7</v>
          </cell>
          <cell r="V12">
            <v>0.55000000000000004</v>
          </cell>
          <cell r="X12">
            <v>0.62</v>
          </cell>
          <cell r="Z12">
            <v>0.67</v>
          </cell>
          <cell r="AB12">
            <v>0.8</v>
          </cell>
          <cell r="AK12">
            <v>9.1700000000000004E-2</v>
          </cell>
          <cell r="AL12" t="str">
            <v>Deteriorating</v>
          </cell>
          <cell r="AT12" t="str">
            <v>San Diego</v>
          </cell>
          <cell r="AU12">
            <v>0.19</v>
          </cell>
          <cell r="AV12">
            <v>0.03</v>
          </cell>
          <cell r="AW12">
            <v>0.95</v>
          </cell>
          <cell r="AX12">
            <v>0.65</v>
          </cell>
          <cell r="AZ12">
            <v>0.19</v>
          </cell>
          <cell r="BA12">
            <v>0.02</v>
          </cell>
          <cell r="BB12">
            <v>0.95</v>
          </cell>
          <cell r="BC12">
            <v>0.66</v>
          </cell>
          <cell r="BD12">
            <v>0.19</v>
          </cell>
          <cell r="BE12">
            <v>0.04</v>
          </cell>
          <cell r="BF12">
            <v>0.96</v>
          </cell>
          <cell r="BG12">
            <v>0.6</v>
          </cell>
          <cell r="BH12">
            <v>0.18</v>
          </cell>
          <cell r="BI12">
            <v>0.01</v>
          </cell>
          <cell r="BJ12">
            <v>0.97</v>
          </cell>
          <cell r="BK12">
            <v>0.61</v>
          </cell>
          <cell r="BL12">
            <v>0.05</v>
          </cell>
          <cell r="BM12">
            <v>0.96</v>
          </cell>
          <cell r="BN12">
            <v>0.64</v>
          </cell>
          <cell r="BO12">
            <v>0.06</v>
          </cell>
          <cell r="BP12">
            <v>0.95</v>
          </cell>
          <cell r="BQ12">
            <v>0.56000000000000005</v>
          </cell>
          <cell r="BR12" t="str">
            <v>NA</v>
          </cell>
        </row>
        <row r="14">
          <cell r="A14" t="str">
            <v>FFO Y/Y Gowth per Share</v>
          </cell>
          <cell r="B14">
            <v>0</v>
          </cell>
          <cell r="C14">
            <v>-4.8344573423884998E-2</v>
          </cell>
          <cell r="D14">
            <v>-1.4999999999999999E-2</v>
          </cell>
          <cell r="E14">
            <v>6.7332258914723359E-2</v>
          </cell>
          <cell r="F14">
            <v>0</v>
          </cell>
          <cell r="G14">
            <v>7.8441285335145508E-2</v>
          </cell>
          <cell r="H14">
            <v>2.5984607486886357E-3</v>
          </cell>
          <cell r="I14">
            <v>1.2954473558238117E-2</v>
          </cell>
          <cell r="J14">
            <v>-1.9281473989348541E-2</v>
          </cell>
          <cell r="K14">
            <v>7.4750787245062372E-2</v>
          </cell>
          <cell r="L14">
            <v>-7.663851717426462E-2</v>
          </cell>
          <cell r="M14">
            <v>-6.12371425070658E-2</v>
          </cell>
          <cell r="N14">
            <v>-0.12194303412438345</v>
          </cell>
          <cell r="P14">
            <v>-4.9170513636733082E-2</v>
          </cell>
          <cell r="R14">
            <v>7.1829964401298962E-2</v>
          </cell>
          <cell r="T14">
            <v>0.23090273264991001</v>
          </cell>
          <cell r="V14">
            <v>0.25090651705305045</v>
          </cell>
          <cell r="X14">
            <v>8.916323919810365E-2</v>
          </cell>
          <cell r="Z14">
            <v>3.8613649831305219E-2</v>
          </cell>
          <cell r="AB14">
            <v>5.7522191046651461E-2</v>
          </cell>
        </row>
        <row r="16">
          <cell r="A16" t="str">
            <v>Same-Store Y/Y NOI Growth*</v>
          </cell>
          <cell r="B16">
            <v>3.9899999999999998E-2</v>
          </cell>
          <cell r="C16">
            <v>-1.8120000000000008E-2</v>
          </cell>
          <cell r="D16">
            <v>-2.1000000000000001E-2</v>
          </cell>
          <cell r="E16">
            <v>7.7344827586206897E-3</v>
          </cell>
          <cell r="F16">
            <v>-2.1000000000000001E-2</v>
          </cell>
          <cell r="G16">
            <v>3.1033333333333355E-3</v>
          </cell>
          <cell r="H16">
            <v>-1.2E-2</v>
          </cell>
          <cell r="I16">
            <v>3.022222222222223E-3</v>
          </cell>
          <cell r="J16">
            <v>-5.4899999999999997E-2</v>
          </cell>
          <cell r="K16">
            <v>4.3576923076923089E-3</v>
          </cell>
          <cell r="L16">
            <v>2.5000000000000001E-3</v>
          </cell>
          <cell r="M16">
            <v>-1.9952380952380946E-3</v>
          </cell>
          <cell r="N16">
            <v>1.32E-2</v>
          </cell>
          <cell r="O16">
            <v>8.7007453793265608E-3</v>
          </cell>
          <cell r="P16">
            <v>3.0499999999999999E-2</v>
          </cell>
          <cell r="Q16">
            <v>1.5150628910290604E-2</v>
          </cell>
          <cell r="R16">
            <v>6.4500000000000002E-2</v>
          </cell>
          <cell r="S16">
            <v>2.4765238320146467E-2</v>
          </cell>
          <cell r="T16">
            <v>8.1799999999999998E-2</v>
          </cell>
          <cell r="U16">
            <v>4.3616252099242685E-2</v>
          </cell>
          <cell r="V16">
            <v>3.6999999999999998E-2</v>
          </cell>
          <cell r="W16">
            <v>4.0955707671673024E-2</v>
          </cell>
          <cell r="X16">
            <v>3.2000000000000001E-2</v>
          </cell>
          <cell r="Y16">
            <v>3.0108019177612896E-2</v>
          </cell>
          <cell r="Z16">
            <v>2.7799999999999998E-2</v>
          </cell>
          <cell r="AA16">
            <v>2.8678155996545635E-2</v>
          </cell>
          <cell r="AB16">
            <v>7.7000000000000002E-3</v>
          </cell>
          <cell r="AC16" t="str">
            <v>Strong deceleration due to increase in expenses</v>
          </cell>
        </row>
        <row r="18">
          <cell r="A18" t="str">
            <v>Occupancy (Total Portfolio)</v>
          </cell>
          <cell r="B18">
            <v>0.8851</v>
          </cell>
          <cell r="D18">
            <v>0.8972</v>
          </cell>
          <cell r="F18">
            <v>0.89400000000000002</v>
          </cell>
          <cell r="H18">
            <v>0.89349999999999996</v>
          </cell>
          <cell r="J18">
            <v>0.87780000000000002</v>
          </cell>
          <cell r="L18">
            <v>0.88849999999999996</v>
          </cell>
          <cell r="N18">
            <v>0.89500000000000002</v>
          </cell>
          <cell r="P18">
            <v>0.88580000000000003</v>
          </cell>
          <cell r="R18">
            <v>0.89090000000000003</v>
          </cell>
          <cell r="T18">
            <v>0.89549999999999996</v>
          </cell>
          <cell r="V18">
            <v>0.89259999999999995</v>
          </cell>
          <cell r="X18">
            <v>0.89259999999999995</v>
          </cell>
          <cell r="Z18">
            <v>0.86570000000000003</v>
          </cell>
          <cell r="AB18">
            <v>0.87309999999999999</v>
          </cell>
          <cell r="AC18" t="str">
            <v>Overall consistent and remains healthy</v>
          </cell>
          <cell r="AK18">
            <v>0.35725184099829094</v>
          </cell>
          <cell r="AT18" t="str">
            <v>Salt Lake</v>
          </cell>
          <cell r="AU18">
            <v>0.05</v>
          </cell>
          <cell r="AV18">
            <v>-0.05</v>
          </cell>
          <cell r="AW18">
            <v>0.92</v>
          </cell>
          <cell r="AX18">
            <v>0.72</v>
          </cell>
          <cell r="AZ18">
            <v>0.05</v>
          </cell>
          <cell r="BA18">
            <v>-0.09</v>
          </cell>
          <cell r="BB18">
            <v>0.92</v>
          </cell>
          <cell r="BC18">
            <v>0.53</v>
          </cell>
          <cell r="BD18">
            <v>0.05</v>
          </cell>
          <cell r="BE18">
            <v>-7.0000000000000007E-2</v>
          </cell>
          <cell r="BF18">
            <v>0.93</v>
          </cell>
          <cell r="BG18">
            <v>0.8</v>
          </cell>
          <cell r="BH18">
            <v>0.05</v>
          </cell>
          <cell r="BI18">
            <v>-7.0000000000000007E-2</v>
          </cell>
          <cell r="BJ18">
            <v>0.94</v>
          </cell>
          <cell r="BK18">
            <v>0.79</v>
          </cell>
          <cell r="BL18">
            <v>0.02</v>
          </cell>
          <cell r="BM18">
            <v>0.93</v>
          </cell>
          <cell r="BN18">
            <v>0.8</v>
          </cell>
          <cell r="BO18">
            <v>7.0000000000000007E-2</v>
          </cell>
          <cell r="BP18">
            <v>0.94</v>
          </cell>
          <cell r="BQ18">
            <v>0.74</v>
          </cell>
          <cell r="BR18" t="str">
            <v>NA</v>
          </cell>
        </row>
        <row r="19">
          <cell r="A19" t="str">
            <v xml:space="preserve">    Grth. in Net Rent (Renewals) - Svc Ctr</v>
          </cell>
          <cell r="F19">
            <v>3.2099999999999997E-2</v>
          </cell>
          <cell r="H19">
            <v>1.12E-2</v>
          </cell>
          <cell r="J19">
            <v>1.34E-2</v>
          </cell>
          <cell r="L19">
            <v>3.4599999999999999E-2</v>
          </cell>
          <cell r="N19">
            <v>5.5100000000000003E-2</v>
          </cell>
          <cell r="P19">
            <v>6.2700000000000006E-2</v>
          </cell>
          <cell r="R19">
            <v>-5.7500000000000002E-2</v>
          </cell>
          <cell r="T19">
            <v>7.0499999999999993E-2</v>
          </cell>
          <cell r="V19">
            <v>5.0500000000000003E-2</v>
          </cell>
          <cell r="X19">
            <v>2.53E-2</v>
          </cell>
          <cell r="Z19">
            <v>7.0499999999999993E-2</v>
          </cell>
          <cell r="AB19">
            <v>4.7100000000000003E-2</v>
          </cell>
        </row>
        <row r="20">
          <cell r="A20" t="str">
            <v xml:space="preserve">    Grth. in Net Rent (Renewals) - Bulk</v>
          </cell>
          <cell r="F20">
            <v>-3.2000000000000001E-2</v>
          </cell>
          <cell r="H20">
            <v>4.7800000000000002E-2</v>
          </cell>
          <cell r="J20">
            <v>8.8000000000000005E-3</v>
          </cell>
          <cell r="L20">
            <v>-6.7000000000000002E-3</v>
          </cell>
          <cell r="N20">
            <v>4.0599999999999997E-2</v>
          </cell>
          <cell r="P20">
            <v>2.35E-2</v>
          </cell>
          <cell r="R20">
            <v>5.5599999999999997E-2</v>
          </cell>
          <cell r="T20">
            <v>0.02</v>
          </cell>
          <cell r="V20">
            <v>7.4999999999999997E-2</v>
          </cell>
          <cell r="X20">
            <v>5.67E-2</v>
          </cell>
          <cell r="Z20">
            <v>6.6100000000000006E-2</v>
          </cell>
          <cell r="AB20">
            <v>1.43E-2</v>
          </cell>
        </row>
        <row r="21">
          <cell r="A21" t="str">
            <v xml:space="preserve">    Growth in Net Rent (Renewals) - Off</v>
          </cell>
          <cell r="F21">
            <v>4.24E-2</v>
          </cell>
          <cell r="H21">
            <v>1.77E-2</v>
          </cell>
          <cell r="J21">
            <v>-2.7199999999999998E-2</v>
          </cell>
          <cell r="L21">
            <v>-9.0399999999999994E-2</v>
          </cell>
          <cell r="N21">
            <v>2.7799999999999998E-2</v>
          </cell>
          <cell r="P21">
            <v>4.7800000000000002E-2</v>
          </cell>
          <cell r="R21">
            <v>3.15E-2</v>
          </cell>
          <cell r="T21">
            <v>3.27E-2</v>
          </cell>
          <cell r="V21">
            <v>1.6500000000000001E-2</v>
          </cell>
          <cell r="X21">
            <v>2.0799999999999999E-2</v>
          </cell>
          <cell r="Z21">
            <v>8.6300000000000002E-2</v>
          </cell>
          <cell r="AB21">
            <v>0.14380000000000001</v>
          </cell>
        </row>
        <row r="24">
          <cell r="A24" t="str">
            <v>Acquisitions (MM)</v>
          </cell>
          <cell r="B24">
            <v>204.56200000000001</v>
          </cell>
          <cell r="D24">
            <v>0</v>
          </cell>
          <cell r="F24">
            <v>12.5</v>
          </cell>
          <cell r="H24">
            <v>288.66800000000001</v>
          </cell>
          <cell r="J24">
            <v>27.547999999999998</v>
          </cell>
          <cell r="L24">
            <v>0</v>
          </cell>
          <cell r="N24">
            <v>914.31200000000001</v>
          </cell>
          <cell r="P24">
            <v>5.25</v>
          </cell>
          <cell r="R24">
            <v>34.097999999999999</v>
          </cell>
          <cell r="T24">
            <v>0</v>
          </cell>
          <cell r="V24">
            <v>69.680000000000007</v>
          </cell>
          <cell r="X24">
            <v>0</v>
          </cell>
          <cell r="Z24">
            <v>0</v>
          </cell>
          <cell r="AB24">
            <v>69.8</v>
          </cell>
          <cell r="AT24" t="str">
            <v>Average</v>
          </cell>
          <cell r="AU24">
            <v>0.96</v>
          </cell>
          <cell r="AV24">
            <v>-0.05</v>
          </cell>
          <cell r="AW24">
            <v>0.95</v>
          </cell>
          <cell r="AX24">
            <v>0.66</v>
          </cell>
          <cell r="AZ24">
            <v>0.96</v>
          </cell>
          <cell r="BA24">
            <v>-0.08</v>
          </cell>
          <cell r="BB24">
            <v>0.94</v>
          </cell>
          <cell r="BC24">
            <v>0.62</v>
          </cell>
          <cell r="BD24">
            <v>0.96</v>
          </cell>
          <cell r="BE24">
            <v>-0.06</v>
          </cell>
          <cell r="BF24">
            <v>0.94</v>
          </cell>
          <cell r="BG24">
            <v>0.66</v>
          </cell>
          <cell r="BH24">
            <v>1</v>
          </cell>
          <cell r="BI24">
            <v>-0.06</v>
          </cell>
          <cell r="BJ24">
            <v>0.95</v>
          </cell>
          <cell r="BK24">
            <v>0.67</v>
          </cell>
          <cell r="BL24">
            <v>-0.04</v>
          </cell>
          <cell r="BM24">
            <v>0.94</v>
          </cell>
          <cell r="BN24">
            <v>0.7</v>
          </cell>
          <cell r="BO24">
            <v>-0.02</v>
          </cell>
          <cell r="BP24">
            <v>0.94</v>
          </cell>
          <cell r="BQ24">
            <v>0.6</v>
          </cell>
        </row>
        <row r="25">
          <cell r="A25" t="str">
            <v>Dispositions (MM)</v>
          </cell>
          <cell r="B25">
            <v>117.38500000000001</v>
          </cell>
          <cell r="D25">
            <v>68.099999999999994</v>
          </cell>
          <cell r="F25">
            <v>47.3</v>
          </cell>
          <cell r="H25">
            <v>120.81</v>
          </cell>
          <cell r="J25">
            <v>1057.7430000000002</v>
          </cell>
          <cell r="L25">
            <v>25.725999999999999</v>
          </cell>
          <cell r="N25">
            <v>57.905000000000001</v>
          </cell>
          <cell r="P25">
            <v>40.101999999999997</v>
          </cell>
          <cell r="R25">
            <v>140.291</v>
          </cell>
          <cell r="T25">
            <v>182.923</v>
          </cell>
          <cell r="V25">
            <v>176.86500000000001</v>
          </cell>
          <cell r="X25">
            <v>124.59400000000001</v>
          </cell>
          <cell r="Z25">
            <v>110.5</v>
          </cell>
          <cell r="AB25">
            <v>209.33</v>
          </cell>
        </row>
        <row r="26">
          <cell r="A26" t="str">
            <v>Development Pipeline (MM)</v>
          </cell>
          <cell r="B26">
            <v>388.08</v>
          </cell>
          <cell r="D26">
            <v>404.5</v>
          </cell>
          <cell r="F26">
            <v>501</v>
          </cell>
          <cell r="H26">
            <v>571.53300000000002</v>
          </cell>
          <cell r="J26">
            <v>647.64300000000003</v>
          </cell>
          <cell r="L26">
            <v>786.47799999999995</v>
          </cell>
          <cell r="N26">
            <v>851.08699999999999</v>
          </cell>
          <cell r="P26">
            <v>976.03200000000004</v>
          </cell>
          <cell r="R26">
            <v>1071.9059999999999</v>
          </cell>
          <cell r="T26">
            <v>1061.2260000000001</v>
          </cell>
          <cell r="V26">
            <v>1096.751</v>
          </cell>
          <cell r="X26">
            <v>1415.825</v>
          </cell>
          <cell r="Z26">
            <v>1778.3009999999999</v>
          </cell>
          <cell r="AB26">
            <v>1670.761</v>
          </cell>
          <cell r="AC26" t="str">
            <v>Includes Prorata share of the JV development</v>
          </cell>
        </row>
        <row r="28">
          <cell r="A28" t="str">
            <v xml:space="preserve">   Debt/Total Market Capitalization</v>
          </cell>
          <cell r="B28">
            <v>0.3201</v>
          </cell>
          <cell r="D28">
            <v>0.29530000000000001</v>
          </cell>
          <cell r="F28">
            <v>0.33</v>
          </cell>
          <cell r="H28">
            <v>0.33789999999999998</v>
          </cell>
          <cell r="J28">
            <v>0.27400000000000002</v>
          </cell>
          <cell r="L28">
            <v>0.3175</v>
          </cell>
          <cell r="N28">
            <v>0.36159999999999998</v>
          </cell>
          <cell r="P28">
            <v>0.38779999999999998</v>
          </cell>
          <cell r="R28">
            <v>0.38829999999999998</v>
          </cell>
          <cell r="T28">
            <v>0.374</v>
          </cell>
          <cell r="V28">
            <v>0.36180000000000001</v>
          </cell>
          <cell r="X28">
            <v>0.40239999999999998</v>
          </cell>
          <cell r="Z28">
            <v>0.42020000000000002</v>
          </cell>
          <cell r="AB28">
            <v>0.48380000000000001</v>
          </cell>
        </row>
        <row r="29">
          <cell r="A29" t="str">
            <v xml:space="preserve">   Fixed Charge Coverage</v>
          </cell>
          <cell r="B29">
            <v>3</v>
          </cell>
          <cell r="D29">
            <v>3.09</v>
          </cell>
          <cell r="F29">
            <v>2.7</v>
          </cell>
          <cell r="H29" t="str">
            <v>2.8x</v>
          </cell>
          <cell r="J29">
            <v>2.61</v>
          </cell>
          <cell r="L29">
            <v>2.83</v>
          </cell>
          <cell r="N29">
            <v>2.13</v>
          </cell>
          <cell r="P29">
            <v>2.0499999999999998</v>
          </cell>
          <cell r="R29">
            <v>2.14</v>
          </cell>
          <cell r="T29">
            <v>2.46</v>
          </cell>
          <cell r="V29">
            <v>2.04</v>
          </cell>
          <cell r="X29" t="str">
            <v>2.17x</v>
          </cell>
          <cell r="Z29">
            <v>2.21</v>
          </cell>
          <cell r="AB29">
            <v>2.54</v>
          </cell>
        </row>
        <row r="31">
          <cell r="A31" t="str">
            <v>Mgt FFOPS Guidance - Next Quarter</v>
          </cell>
          <cell r="B31" t="str">
            <v>na</v>
          </cell>
          <cell r="D31" t="str">
            <v>na</v>
          </cell>
          <cell r="F31" t="str">
            <v>$0.61-$0.63</v>
          </cell>
          <cell r="H31" t="str">
            <v>$0.60-$0.62</v>
          </cell>
          <cell r="J31" t="str">
            <v>$0.58-$0.60</v>
          </cell>
          <cell r="L31" t="str">
            <v>$0.49-$0.51</v>
          </cell>
          <cell r="N31" t="str">
            <v>NA</v>
          </cell>
          <cell r="P31" t="str">
            <v>$0.62-$0.64</v>
          </cell>
          <cell r="R31" t="str">
            <v>$0.69-$0.72</v>
          </cell>
          <cell r="T31" t="str">
            <v>$0.52-$0.55</v>
          </cell>
          <cell r="V31" t="str">
            <v>$0.58-$0.61</v>
          </cell>
          <cell r="X31" t="str">
            <v>$0.65-0.67</v>
          </cell>
          <cell r="Z31" t="str">
            <v>$0.78-0.82</v>
          </cell>
        </row>
        <row r="32">
          <cell r="A32" t="str">
            <v>Mgt FFOPS Guidance - 2005</v>
          </cell>
          <cell r="B32" t="str">
            <v>$2.43-$2.55</v>
          </cell>
          <cell r="D32" t="str">
            <v>$2.43-$2.55</v>
          </cell>
          <cell r="F32" t="str">
            <v>$2.43-$2.55</v>
          </cell>
          <cell r="H32" t="str">
            <v>$2.36-$2.43</v>
          </cell>
          <cell r="J32" t="str">
            <v>$2.37-$2.39</v>
          </cell>
        </row>
        <row r="33">
          <cell r="A33" t="str">
            <v xml:space="preserve">  2005/2004 Growth Rate</v>
          </cell>
          <cell r="G33">
            <v>6.7000000000000004E-2</v>
          </cell>
        </row>
        <row r="34">
          <cell r="A34" t="str">
            <v>Mgt FFOPS Guidance - 2007</v>
          </cell>
          <cell r="R34" t="str">
            <v>$2.58-$2.72</v>
          </cell>
          <cell r="T34" t="str">
            <v>$2.62-$2.76</v>
          </cell>
          <cell r="V34" t="str">
            <v>$2.62-$2.76</v>
          </cell>
          <cell r="X34" t="str">
            <v>$2.69-2.77</v>
          </cell>
          <cell r="Z34" t="str">
            <v>$2.71-2.75</v>
          </cell>
        </row>
        <row r="35">
          <cell r="A35" t="str">
            <v>Mgt FFOPS Guidance - 2008</v>
          </cell>
          <cell r="Z35" t="str">
            <v>$2.80-3.00</v>
          </cell>
          <cell r="AB35" t="str">
            <v>$2.60-2.90</v>
          </cell>
        </row>
        <row r="36">
          <cell r="A36" t="str">
            <v xml:space="preserve">  2007/2006 Growth Rate</v>
          </cell>
          <cell r="R36" t="str">
            <v>6.6%-11%</v>
          </cell>
          <cell r="T36" t="str">
            <v>5.2%-10.8%</v>
          </cell>
          <cell r="V36" t="str">
            <v>5.2%-10.8%</v>
          </cell>
          <cell r="X36" t="str">
            <v>8.0%-11.2%</v>
          </cell>
          <cell r="Z36" t="str">
            <v>8.8%-10.4%</v>
          </cell>
          <cell r="AC36" t="str">
            <v>Reduced due to uncertainty in dispositions</v>
          </cell>
        </row>
        <row r="37">
          <cell r="A37" t="str">
            <v xml:space="preserve">  2008/2007 Growth Rate</v>
          </cell>
          <cell r="Z37" t="str">
            <v>1.8%-10.7%</v>
          </cell>
          <cell r="AB37" t="str">
            <v>(0.5%)-5.8%</v>
          </cell>
          <cell r="AC37" t="str">
            <v xml:space="preserve"> from Held For Sale portfolio</v>
          </cell>
        </row>
        <row r="38">
          <cell r="A38" t="str">
            <v>*4Q05, 1Q06 and 2Q06 SS NOI growth are reported on rolling 12 months basis</v>
          </cell>
        </row>
      </sheetData>
      <sheetData sheetId="34" refreshError="1">
        <row r="4">
          <cell r="C4" t="str">
            <v>Price Target Calculation</v>
          </cell>
        </row>
        <row r="6">
          <cell r="C6" t="str">
            <v>Sector Target Cap Rate</v>
          </cell>
          <cell r="D6" t="str">
            <v>Target Cap Rate Premium</v>
          </cell>
          <cell r="E6" t="str">
            <v>Target Cap Rate</v>
          </cell>
          <cell r="F6" t="str">
            <v>FTM Core Prop. NOI ($MM)</v>
          </cell>
          <cell r="G6" t="str">
            <v>Fd. 12-24 Mo. NOI Growth</v>
          </cell>
          <cell r="H6" t="str">
            <v>Core Prop Value</v>
          </cell>
          <cell r="I6" t="str">
            <v>Debt/ Pref/ Other</v>
          </cell>
          <cell r="J6" t="str">
            <v>Target Implied Value</v>
          </cell>
          <cell r="K6" t="str">
            <v>Shrs/ Units (MM)</v>
          </cell>
          <cell r="L6" t="str">
            <v>Target Value /Share</v>
          </cell>
          <cell r="M6" t="str">
            <v>Price Target Under Current Scenario</v>
          </cell>
        </row>
        <row r="7">
          <cell r="C7">
            <v>9.6199999999999994E-2</v>
          </cell>
          <cell r="D7">
            <v>7.4999999999999997E-2</v>
          </cell>
          <cell r="E7">
            <v>8.8984999999999995E-2</v>
          </cell>
          <cell r="F7">
            <v>611.18114021716406</v>
          </cell>
          <cell r="G7">
            <v>0</v>
          </cell>
          <cell r="H7">
            <v>6868.3614116667313</v>
          </cell>
          <cell r="I7">
            <v>-3233.0909884515077</v>
          </cell>
          <cell r="J7">
            <v>3635.2704232152237</v>
          </cell>
          <cell r="K7">
            <v>154.066</v>
          </cell>
          <cell r="L7">
            <v>23.595539724632452</v>
          </cell>
          <cell r="M7">
            <v>23.5</v>
          </cell>
        </row>
        <row r="9">
          <cell r="C9" t="str">
            <v>Check - Link From Price Target File</v>
          </cell>
        </row>
        <row r="10">
          <cell r="C10" t="str">
            <v>Sector Target</v>
          </cell>
          <cell r="D10" t="str">
            <v xml:space="preserve">Target Cap </v>
          </cell>
          <cell r="E10" t="str">
            <v xml:space="preserve">Target Cap </v>
          </cell>
          <cell r="F10" t="str">
            <v xml:space="preserve">FTM Core Prop. </v>
          </cell>
          <cell r="G10" t="str">
            <v xml:space="preserve">Fd. 12-24 Mo. </v>
          </cell>
          <cell r="H10" t="str">
            <v xml:space="preserve">Core Prop </v>
          </cell>
          <cell r="I10" t="str">
            <v xml:space="preserve">Debt/ Pref/ </v>
          </cell>
          <cell r="J10" t="str">
            <v xml:space="preserve">Target Implied </v>
          </cell>
          <cell r="K10" t="str">
            <v>Shrs/ Units</v>
          </cell>
          <cell r="L10" t="str">
            <v>Target Value</v>
          </cell>
        </row>
        <row r="11">
          <cell r="C11" t="str">
            <v xml:space="preserve"> Cap Rate</v>
          </cell>
          <cell r="D11" t="str">
            <v>Rate Premium</v>
          </cell>
          <cell r="E11" t="str">
            <v>Rate</v>
          </cell>
          <cell r="F11" t="str">
            <v>NOI ($MM)</v>
          </cell>
          <cell r="G11" t="str">
            <v>NOI Growth</v>
          </cell>
          <cell r="H11" t="str">
            <v>Value</v>
          </cell>
          <cell r="I11" t="str">
            <v>Other</v>
          </cell>
          <cell r="J11" t="str">
            <v>Value</v>
          </cell>
          <cell r="K11" t="str">
            <v xml:space="preserve"> (MM)</v>
          </cell>
          <cell r="L11" t="str">
            <v xml:space="preserve"> /Share</v>
          </cell>
        </row>
        <row r="12">
          <cell r="C12">
            <v>9.6199999999999994E-2</v>
          </cell>
          <cell r="D12">
            <v>7.4999999999999997E-2</v>
          </cell>
          <cell r="E12">
            <v>8.8984999999999995E-2</v>
          </cell>
          <cell r="F12">
            <v>579.69897639224519</v>
          </cell>
          <cell r="G12">
            <v>0.03</v>
          </cell>
          <cell r="H12">
            <v>6710.0066942070307</v>
          </cell>
          <cell r="I12">
            <v>-3248.9919438586417</v>
          </cell>
          <cell r="J12">
            <v>3461.014750348389</v>
          </cell>
          <cell r="K12">
            <v>146.714</v>
          </cell>
          <cell r="L12">
            <v>23.5</v>
          </cell>
        </row>
      </sheetData>
      <sheetData sheetId="35" refreshError="1">
        <row r="1">
          <cell r="A1" t="str">
            <v>Duke Realty (DRE)</v>
          </cell>
          <cell r="I1" t="str">
            <v>Matt Ostrower</v>
          </cell>
        </row>
        <row r="2">
          <cell r="A2" t="str">
            <v>2Q07 Earnings Variance Analysis Worksheet</v>
          </cell>
          <cell r="I2" t="str">
            <v>Morgan Stanley REIT Research Team</v>
          </cell>
        </row>
        <row r="3">
          <cell r="A3" t="str">
            <v>($ in Thousands, Except per Share Amounts)</v>
          </cell>
          <cell r="I3" t="str">
            <v>(212) 761-6284   Matthew.Ostrower@morganstanley.com</v>
          </cell>
        </row>
        <row r="5">
          <cell r="C5">
            <v>58</v>
          </cell>
          <cell r="D5">
            <v>58</v>
          </cell>
          <cell r="H5">
            <v>53</v>
          </cell>
          <cell r="I5">
            <v>57</v>
          </cell>
        </row>
        <row r="6">
          <cell r="C6" t="str">
            <v>MS</v>
          </cell>
          <cell r="D6" t="str">
            <v>Reported</v>
          </cell>
          <cell r="F6" t="str">
            <v>Per Share</v>
          </cell>
        </row>
        <row r="7">
          <cell r="A7" t="str">
            <v>Year Ends December 31</v>
          </cell>
          <cell r="C7" t="str">
            <v>2Q07E</v>
          </cell>
          <cell r="D7" t="str">
            <v>2Q07A</v>
          </cell>
          <cell r="E7" t="str">
            <v>Variance</v>
          </cell>
          <cell r="F7" t="str">
            <v>Impact</v>
          </cell>
          <cell r="G7" t="str">
            <v>Comments</v>
          </cell>
          <cell r="H7" t="str">
            <v>2Q06A</v>
          </cell>
          <cell r="I7" t="str">
            <v>1Q07A</v>
          </cell>
        </row>
        <row r="9">
          <cell r="A9" t="str">
            <v>Rental Expenses as % of Rental Income</v>
          </cell>
          <cell r="C9">
            <v>0.22962316157862006</v>
          </cell>
          <cell r="D9">
            <v>0.21631480456498248</v>
          </cell>
          <cell r="H9">
            <v>0.22387125303707089</v>
          </cell>
          <cell r="I9">
            <v>0.24162316157862007</v>
          </cell>
        </row>
        <row r="10">
          <cell r="A10" t="str">
            <v>Rental Expenses as % of Total Income</v>
          </cell>
          <cell r="C10">
            <v>0.22357010606179289</v>
          </cell>
          <cell r="D10">
            <v>0.20761532779503578</v>
          </cell>
          <cell r="H10">
            <v>0.2135817860342531</v>
          </cell>
          <cell r="I10">
            <v>0.23298533964246204</v>
          </cell>
        </row>
        <row r="11">
          <cell r="A11" t="str">
            <v>Real Estate Taxes as % of Rental Income</v>
          </cell>
          <cell r="C11">
            <v>0.1</v>
          </cell>
          <cell r="D11">
            <v>0.1272923750032946</v>
          </cell>
          <cell r="H11">
            <v>0.12049904850866776</v>
          </cell>
          <cell r="I11">
            <v>0.12410880851494599</v>
          </cell>
        </row>
        <row r="12">
          <cell r="A12" t="str">
            <v>Construction and Mgmt Fee Income as % of Rental Income</v>
          </cell>
          <cell r="C12">
            <v>6.441598226758391E-2</v>
          </cell>
          <cell r="D12">
            <v>0.11617511399277826</v>
          </cell>
          <cell r="H12">
            <v>4.8285079721558356E-2</v>
          </cell>
          <cell r="I12">
            <v>7.1006088302072334E-2</v>
          </cell>
        </row>
        <row r="13">
          <cell r="A13" t="str">
            <v>Op Expenses as % of Construction and Mgmt Fee Income</v>
          </cell>
          <cell r="C13">
            <v>0.40926001357773256</v>
          </cell>
          <cell r="D13">
            <v>0.45469395163119924</v>
          </cell>
          <cell r="H13">
            <v>0.64231323317555056</v>
          </cell>
          <cell r="I13">
            <v>0.52926001357773256</v>
          </cell>
        </row>
        <row r="14">
          <cell r="A14" t="str">
            <v>G&amp;A as % of NOI</v>
          </cell>
          <cell r="C14">
            <v>6.6498750974113049E-2</v>
          </cell>
          <cell r="D14">
            <v>8.0063410583528352E-2</v>
          </cell>
          <cell r="H14">
            <v>4.9170490645958347E-2</v>
          </cell>
          <cell r="I14">
            <v>9.6698451905678259E-2</v>
          </cell>
        </row>
        <row r="16">
          <cell r="A16" t="str">
            <v>RENTAL OPERATIONS</v>
          </cell>
        </row>
        <row r="17">
          <cell r="A17" t="str">
            <v>Rental Income</v>
          </cell>
          <cell r="C17">
            <v>206988.15</v>
          </cell>
          <cell r="D17">
            <v>189705</v>
          </cell>
          <cell r="E17">
            <v>-17283.150000000001</v>
          </cell>
          <cell r="F17">
            <v>-0.11667634291732203</v>
          </cell>
          <cell r="H17">
            <v>201263</v>
          </cell>
          <cell r="I17">
            <v>207447</v>
          </cell>
        </row>
        <row r="18">
          <cell r="A18" t="str">
            <v>Equity in Unconsolidated Cos.</v>
          </cell>
          <cell r="C18">
            <v>5604.1068519645978</v>
          </cell>
          <cell r="D18">
            <v>7949</v>
          </cell>
          <cell r="E18">
            <v>2344.8931480354022</v>
          </cell>
          <cell r="F18">
            <v>1.5830074786405107E-2</v>
          </cell>
          <cell r="H18">
            <v>9696</v>
          </cell>
          <cell r="I18">
            <v>7691</v>
          </cell>
        </row>
        <row r="19">
          <cell r="A19" t="str">
            <v>Total Income</v>
          </cell>
          <cell r="C19">
            <v>212592.2568519646</v>
          </cell>
          <cell r="D19">
            <v>197654</v>
          </cell>
          <cell r="E19">
            <v>-14938.256851964601</v>
          </cell>
          <cell r="F19">
            <v>-0.10084626813091697</v>
          </cell>
          <cell r="H19">
            <v>210959</v>
          </cell>
          <cell r="I19">
            <v>215138</v>
          </cell>
        </row>
        <row r="21">
          <cell r="A21" t="str">
            <v>Rental Expenses</v>
          </cell>
          <cell r="C21">
            <v>-47529.273412309645</v>
          </cell>
          <cell r="D21">
            <v>-41036</v>
          </cell>
          <cell r="E21">
            <v>6493.2734123096452</v>
          </cell>
          <cell r="F21">
            <v>4.3835261240605453E-2</v>
          </cell>
          <cell r="H21">
            <v>-45057</v>
          </cell>
          <cell r="I21">
            <v>-50124</v>
          </cell>
        </row>
        <row r="22">
          <cell r="A22" t="str">
            <v>Real Estate Taxes</v>
          </cell>
          <cell r="C22">
            <v>-20698.815000000002</v>
          </cell>
          <cell r="D22">
            <v>-24148</v>
          </cell>
          <cell r="E22">
            <v>-3449.1849999999977</v>
          </cell>
          <cell r="F22">
            <v>-2.3285008337327585E-2</v>
          </cell>
          <cell r="H22">
            <v>-24252</v>
          </cell>
          <cell r="I22">
            <v>-25746</v>
          </cell>
        </row>
        <row r="23">
          <cell r="A23" t="str">
            <v>Acq. &amp; Develop. NOI</v>
          </cell>
          <cell r="C23">
            <v>-1456.0267343849027</v>
          </cell>
          <cell r="D23">
            <v>0</v>
          </cell>
          <cell r="E23">
            <v>1456.0267343849027</v>
          </cell>
          <cell r="F23">
            <v>9.8294509136286796E-3</v>
          </cell>
        </row>
        <row r="24">
          <cell r="A24" t="str">
            <v>Net Operating Income</v>
          </cell>
          <cell r="C24">
            <v>142908.14170527004</v>
          </cell>
          <cell r="D24">
            <v>132470</v>
          </cell>
          <cell r="E24">
            <v>-10438.141705270042</v>
          </cell>
          <cell r="F24">
            <v>-7.0466564314010369E-2</v>
          </cell>
          <cell r="H24">
            <v>141650</v>
          </cell>
          <cell r="I24">
            <v>139268</v>
          </cell>
        </row>
        <row r="26">
          <cell r="A26" t="str">
            <v>SERVICE OPERATIONS</v>
          </cell>
        </row>
        <row r="27">
          <cell r="A27" t="str">
            <v>Gross Contractor Revenue</v>
          </cell>
          <cell r="C27">
            <v>0</v>
          </cell>
          <cell r="D27">
            <v>0</v>
          </cell>
          <cell r="E27">
            <v>0</v>
          </cell>
          <cell r="F27">
            <v>0</v>
          </cell>
          <cell r="H27">
            <v>54061</v>
          </cell>
          <cell r="I27">
            <v>0</v>
          </cell>
        </row>
        <row r="28">
          <cell r="A28" t="str">
            <v>Gross Contractor Costs</v>
          </cell>
          <cell r="C28">
            <v>0</v>
          </cell>
          <cell r="D28">
            <v>0</v>
          </cell>
          <cell r="E28">
            <v>0</v>
          </cell>
          <cell r="F28">
            <v>0</v>
          </cell>
          <cell r="H28">
            <v>-48798</v>
          </cell>
          <cell r="I28">
            <v>0</v>
          </cell>
        </row>
        <row r="29">
          <cell r="A29" t="str">
            <v xml:space="preserve">  Net Contractor Revenue</v>
          </cell>
          <cell r="C29">
            <v>5496.3449999999993</v>
          </cell>
          <cell r="D29">
            <v>7571</v>
          </cell>
          <cell r="E29">
            <v>2074.6550000000002</v>
          </cell>
          <cell r="F29">
            <v>1.400573149079519E-2</v>
          </cell>
          <cell r="H29">
            <v>5263</v>
          </cell>
          <cell r="I29">
            <v>5469</v>
          </cell>
        </row>
        <row r="30">
          <cell r="A30" t="str">
            <v>Gain on Sale of Service Operations Properties</v>
          </cell>
          <cell r="C30">
            <v>1050</v>
          </cell>
          <cell r="D30">
            <v>6813</v>
          </cell>
          <cell r="E30">
            <v>5763</v>
          </cell>
          <cell r="F30">
            <v>3.8905278507247058E-2</v>
          </cell>
          <cell r="H30">
            <v>561</v>
          </cell>
          <cell r="I30">
            <v>2864</v>
          </cell>
        </row>
        <row r="31">
          <cell r="A31" t="str">
            <v>Service Fee Revenue</v>
          </cell>
          <cell r="C31">
            <v>6397</v>
          </cell>
          <cell r="D31">
            <v>7655</v>
          </cell>
          <cell r="E31">
            <v>1258</v>
          </cell>
          <cell r="F31">
            <v>8.4925976682486207E-3</v>
          </cell>
          <cell r="H31">
            <v>3504</v>
          </cell>
          <cell r="I31">
            <v>6397</v>
          </cell>
        </row>
        <row r="32">
          <cell r="A32" t="str">
            <v>Other Income</v>
          </cell>
          <cell r="C32">
            <v>390</v>
          </cell>
          <cell r="D32">
            <v>0</v>
          </cell>
          <cell r="E32">
            <v>-390</v>
          </cell>
          <cell r="F32">
            <v>-2.632840294608078E-3</v>
          </cell>
          <cell r="H32">
            <v>390</v>
          </cell>
          <cell r="I32">
            <v>0</v>
          </cell>
        </row>
        <row r="33">
          <cell r="A33" t="str">
            <v>Operating Expenses</v>
          </cell>
          <cell r="C33">
            <v>-5456.8049557365921</v>
          </cell>
          <cell r="D33">
            <v>-10021</v>
          </cell>
          <cell r="E33">
            <v>-4564.1950442634079</v>
          </cell>
          <cell r="F33">
            <v>-3.081229903842872E-2</v>
          </cell>
          <cell r="H33">
            <v>-6242</v>
          </cell>
          <cell r="I33">
            <v>-7796</v>
          </cell>
        </row>
        <row r="34">
          <cell r="A34" t="str">
            <v>General and Administrative</v>
          </cell>
          <cell r="C34">
            <v>-9503.2129274320123</v>
          </cell>
          <cell r="D34">
            <v>-10606</v>
          </cell>
          <cell r="E34">
            <v>-1102.7870725679877</v>
          </cell>
          <cell r="F34">
            <v>-7.4447749769996942E-3</v>
          </cell>
          <cell r="H34">
            <v>-6965</v>
          </cell>
          <cell r="I34">
            <v>-13467</v>
          </cell>
        </row>
        <row r="36">
          <cell r="A36" t="str">
            <v>EBITDA</v>
          </cell>
          <cell r="C36">
            <v>141281.46882210142</v>
          </cell>
          <cell r="D36">
            <v>133882</v>
          </cell>
          <cell r="E36">
            <v>-7399.4688221014221</v>
          </cell>
          <cell r="F36">
            <v>-4.9952870957755892E-2</v>
          </cell>
          <cell r="H36">
            <v>138161</v>
          </cell>
          <cell r="I36">
            <v>132735</v>
          </cell>
        </row>
        <row r="38">
          <cell r="A38" t="str">
            <v>Interest Expense</v>
          </cell>
          <cell r="C38">
            <v>45791.399428465113</v>
          </cell>
          <cell r="D38">
            <v>39207</v>
          </cell>
          <cell r="E38">
            <v>6584.3994284651126</v>
          </cell>
          <cell r="F38">
            <v>4.4450441361685508E-2</v>
          </cell>
          <cell r="H38">
            <v>45467</v>
          </cell>
          <cell r="I38">
            <v>45704</v>
          </cell>
        </row>
        <row r="39">
          <cell r="A39" t="str">
            <v>Depreciation and Amortization</v>
          </cell>
          <cell r="C39">
            <v>64430.369860554245</v>
          </cell>
          <cell r="D39">
            <v>65943</v>
          </cell>
          <cell r="E39">
            <v>-1512.630139445755</v>
          </cell>
          <cell r="F39">
            <v>-1.0211573287106205E-2</v>
          </cell>
          <cell r="H39">
            <v>64333</v>
          </cell>
          <cell r="I39">
            <v>67739</v>
          </cell>
        </row>
        <row r="40">
          <cell r="A40" t="str">
            <v>Interest Income</v>
          </cell>
          <cell r="C40">
            <v>2481.2008978612671</v>
          </cell>
          <cell r="D40">
            <v>2566</v>
          </cell>
          <cell r="E40">
            <v>84.799102138732906</v>
          </cell>
          <cell r="F40">
            <v>5.7246793091651803E-4</v>
          </cell>
          <cell r="H40">
            <v>2232</v>
          </cell>
          <cell r="I40">
            <v>2418</v>
          </cell>
        </row>
        <row r="41">
          <cell r="A41" t="str">
            <v>Other Expense</v>
          </cell>
          <cell r="C41">
            <v>0</v>
          </cell>
          <cell r="D41">
            <v>0</v>
          </cell>
          <cell r="E41">
            <v>0</v>
          </cell>
          <cell r="F41">
            <v>0</v>
          </cell>
          <cell r="H41">
            <v>-280</v>
          </cell>
          <cell r="I41">
            <v>0</v>
          </cell>
        </row>
        <row r="42">
          <cell r="A42" t="str">
            <v>Other Min. Int. in Earn. of Subs.</v>
          </cell>
          <cell r="C42">
            <v>-15.392065123208853</v>
          </cell>
          <cell r="D42">
            <v>-36</v>
          </cell>
          <cell r="E42">
            <v>20.607934876791148</v>
          </cell>
          <cell r="F42">
            <v>1.3912154187762794E-4</v>
          </cell>
          <cell r="H42">
            <v>-73</v>
          </cell>
          <cell r="I42">
            <v>-15</v>
          </cell>
        </row>
        <row r="43">
          <cell r="A43" t="str">
            <v>Preferred Issuance Costs</v>
          </cell>
          <cell r="C43">
            <v>0</v>
          </cell>
          <cell r="D43">
            <v>0</v>
          </cell>
          <cell r="E43">
            <v>0</v>
          </cell>
          <cell r="F43">
            <v>0</v>
          </cell>
          <cell r="H43">
            <v>0</v>
          </cell>
          <cell r="I43">
            <v>0</v>
          </cell>
        </row>
        <row r="44">
          <cell r="A44" t="str">
            <v>NI Before Gains &amp; Minority Int.</v>
          </cell>
          <cell r="C44">
            <v>33525.508365820118</v>
          </cell>
          <cell r="D44">
            <v>31262</v>
          </cell>
          <cell r="E44">
            <v>-2263.5083658201183</v>
          </cell>
          <cell r="F44">
            <v>-1.5280656494137667E-2</v>
          </cell>
          <cell r="H44">
            <v>30240</v>
          </cell>
          <cell r="I44">
            <v>21695</v>
          </cell>
        </row>
        <row r="46">
          <cell r="A46" t="str">
            <v>Gains On Sale</v>
          </cell>
          <cell r="C46">
            <v>5000</v>
          </cell>
          <cell r="D46">
            <v>0</v>
          </cell>
          <cell r="E46">
            <v>-5000</v>
          </cell>
          <cell r="F46">
            <v>-3.3754362751385616E-2</v>
          </cell>
          <cell r="H46">
            <v>30</v>
          </cell>
          <cell r="I46">
            <v>0</v>
          </cell>
        </row>
        <row r="47">
          <cell r="A47" t="str">
            <v>Land Sales Gains - incl. in FFO</v>
          </cell>
          <cell r="C47">
            <v>1001</v>
          </cell>
          <cell r="D47">
            <v>2411</v>
          </cell>
          <cell r="E47">
            <v>1410</v>
          </cell>
          <cell r="F47">
            <v>9.5187302958907438E-3</v>
          </cell>
          <cell r="H47">
            <v>555</v>
          </cell>
          <cell r="I47">
            <v>13997</v>
          </cell>
        </row>
        <row r="48">
          <cell r="A48" t="str">
            <v>Min Interest in Earnings of Pfd Unitholders</v>
          </cell>
          <cell r="C48">
            <v>0</v>
          </cell>
          <cell r="D48">
            <v>0</v>
          </cell>
          <cell r="E48">
            <v>0</v>
          </cell>
          <cell r="F48">
            <v>0</v>
          </cell>
          <cell r="H48">
            <v>0</v>
          </cell>
          <cell r="I48">
            <v>0</v>
          </cell>
        </row>
        <row r="49">
          <cell r="A49" t="str">
            <v>Min Interest in Earnings of Unitholders</v>
          </cell>
          <cell r="C49">
            <v>1427.357505758901</v>
          </cell>
          <cell r="D49">
            <v>1230</v>
          </cell>
          <cell r="E49">
            <v>197.35750575890097</v>
          </cell>
          <cell r="F49">
            <v>1.3323353682189239E-3</v>
          </cell>
          <cell r="H49">
            <v>1767</v>
          </cell>
          <cell r="I49">
            <v>1391</v>
          </cell>
        </row>
        <row r="50">
          <cell r="A50" t="str">
            <v>Net Income</v>
          </cell>
          <cell r="C50">
            <v>38099.150860061214</v>
          </cell>
          <cell r="D50">
            <v>32443</v>
          </cell>
          <cell r="E50">
            <v>-5656.1508600612142</v>
          </cell>
          <cell r="F50">
            <v>-3.8183953581413591E-2</v>
          </cell>
          <cell r="H50">
            <v>29027</v>
          </cell>
          <cell r="I50">
            <v>34301</v>
          </cell>
        </row>
        <row r="51">
          <cell r="A51" t="str">
            <v>Preferred Dividend</v>
          </cell>
          <cell r="C51">
            <v>15226</v>
          </cell>
          <cell r="D51">
            <v>15226</v>
          </cell>
          <cell r="E51">
            <v>0</v>
          </cell>
          <cell r="F51">
            <v>0</v>
          </cell>
          <cell r="H51">
            <v>13255</v>
          </cell>
          <cell r="I51">
            <v>15226</v>
          </cell>
        </row>
        <row r="52">
          <cell r="A52" t="str">
            <v>Net Income from Discontinued Operations</v>
          </cell>
          <cell r="C52">
            <v>-2232</v>
          </cell>
          <cell r="D52">
            <v>-502</v>
          </cell>
          <cell r="E52">
            <v>1730</v>
          </cell>
          <cell r="F52">
            <v>1.1679009511979423E-2</v>
          </cell>
          <cell r="H52">
            <v>4580</v>
          </cell>
          <cell r="I52">
            <v>-2232</v>
          </cell>
        </row>
        <row r="53">
          <cell r="A53" t="str">
            <v>Gain on Sale of Discontinued Operations</v>
          </cell>
          <cell r="C53">
            <v>1000</v>
          </cell>
          <cell r="D53">
            <v>20361</v>
          </cell>
          <cell r="E53">
            <v>19361</v>
          </cell>
          <cell r="F53">
            <v>0.1307036434459154</v>
          </cell>
          <cell r="H53">
            <v>1365</v>
          </cell>
          <cell r="I53">
            <v>51720</v>
          </cell>
        </row>
        <row r="54">
          <cell r="A54" t="str">
            <v>Net Income Avail. to Common</v>
          </cell>
          <cell r="C54">
            <v>21641.150860061214</v>
          </cell>
          <cell r="D54">
            <v>37076</v>
          </cell>
          <cell r="E54">
            <v>15434.849139938786</v>
          </cell>
          <cell r="F54">
            <v>0.10419869937648121</v>
          </cell>
          <cell r="H54">
            <v>21717</v>
          </cell>
          <cell r="I54">
            <v>68563</v>
          </cell>
        </row>
        <row r="55">
          <cell r="B55" t="str">
            <v>Adjustment OP units</v>
          </cell>
          <cell r="C55" t="e">
            <v>#N/A</v>
          </cell>
          <cell r="D55" t="e">
            <v>#N/A</v>
          </cell>
          <cell r="H55" t="e">
            <v>#N/A</v>
          </cell>
          <cell r="I55" t="e">
            <v>#N/A</v>
          </cell>
        </row>
        <row r="56">
          <cell r="B56" t="str">
            <v>Adjustment: Gains and Extraordinary Items</v>
          </cell>
          <cell r="C56" t="e">
            <v>#N/A</v>
          </cell>
          <cell r="D56" t="e">
            <v>#N/A</v>
          </cell>
          <cell r="E56" t="e">
            <v>#N/A</v>
          </cell>
          <cell r="F56" t="e">
            <v>#N/A</v>
          </cell>
          <cell r="H56" t="e">
            <v>#N/A</v>
          </cell>
          <cell r="I56" t="e">
            <v>#N/A</v>
          </cell>
        </row>
        <row r="57">
          <cell r="A57" t="str">
            <v>Normalized Earnings</v>
          </cell>
          <cell r="C57">
            <v>16641.150860061214</v>
          </cell>
          <cell r="D57">
            <v>37076</v>
          </cell>
          <cell r="E57">
            <v>20434.849139938786</v>
          </cell>
          <cell r="F57">
            <v>0.13795306212786684</v>
          </cell>
          <cell r="H57">
            <v>21687</v>
          </cell>
          <cell r="I57">
            <v>68563</v>
          </cell>
        </row>
        <row r="59">
          <cell r="A59" t="str">
            <v xml:space="preserve">  + Depreciation and Amortization</v>
          </cell>
          <cell r="C59">
            <v>64430.369860554245</v>
          </cell>
          <cell r="D59">
            <v>68407</v>
          </cell>
          <cell r="E59">
            <v>3976.630139445755</v>
          </cell>
          <cell r="F59">
            <v>2.6845723250989037E-2</v>
          </cell>
          <cell r="H59">
            <v>65167</v>
          </cell>
          <cell r="I59">
            <v>67739</v>
          </cell>
        </row>
        <row r="60">
          <cell r="A60" t="str">
            <v xml:space="preserve">  + Depr. &amp; Amort. on J.V.'s</v>
          </cell>
          <cell r="C60">
            <v>5216.3999999999996</v>
          </cell>
          <cell r="D60">
            <v>5610</v>
          </cell>
          <cell r="E60">
            <v>393.6</v>
          </cell>
          <cell r="F60">
            <v>2.6571434357890783E-3</v>
          </cell>
          <cell r="H60">
            <v>4425</v>
          </cell>
          <cell r="I60">
            <v>4968</v>
          </cell>
        </row>
        <row r="61">
          <cell r="A61" t="str">
            <v xml:space="preserve">  - Earnings from Property Sales</v>
          </cell>
          <cell r="C61">
            <v>-6000</v>
          </cell>
          <cell r="D61">
            <v>-20232</v>
          </cell>
          <cell r="E61">
            <v>-14232</v>
          </cell>
          <cell r="F61">
            <v>-9.6078418135544019E-2</v>
          </cell>
          <cell r="H61">
            <v>-6931</v>
          </cell>
          <cell r="I61">
            <v>-53680</v>
          </cell>
        </row>
        <row r="62">
          <cell r="A62" t="str">
            <v xml:space="preserve">  - MI Share of Add-Backs</v>
          </cell>
          <cell r="C62">
            <v>-1296.0118833741853</v>
          </cell>
          <cell r="D62">
            <v>-3579</v>
          </cell>
          <cell r="E62">
            <v>-2282.9881166258147</v>
          </cell>
          <cell r="F62">
            <v>-1.541216180913808E-2</v>
          </cell>
          <cell r="H62">
            <v>-5622</v>
          </cell>
          <cell r="I62">
            <v>-1263</v>
          </cell>
        </row>
        <row r="63">
          <cell r="A63" t="str">
            <v xml:space="preserve"> Funds From Operations</v>
          </cell>
          <cell r="C63">
            <v>83991.908837241266</v>
          </cell>
          <cell r="D63">
            <v>87282</v>
          </cell>
          <cell r="E63">
            <v>3290.0911627587338</v>
          </cell>
          <cell r="F63">
            <v>2.2210986118577278E-2</v>
          </cell>
          <cell r="H63">
            <v>78756</v>
          </cell>
          <cell r="I63">
            <v>86327</v>
          </cell>
        </row>
        <row r="65">
          <cell r="A65" t="str">
            <v xml:space="preserve"> - TIs &amp; Leasing Commisions</v>
          </cell>
          <cell r="C65">
            <v>16283.778762680085</v>
          </cell>
          <cell r="D65">
            <v>18108</v>
          </cell>
          <cell r="E65">
            <v>-1824.2212373199145</v>
          </cell>
          <cell r="F65">
            <v>-1.2315085076655581E-2</v>
          </cell>
          <cell r="H65">
            <v>14888</v>
          </cell>
          <cell r="I65">
            <v>15869</v>
          </cell>
        </row>
        <row r="66">
          <cell r="A66" t="str">
            <v xml:space="preserve"> - Capital Expenditures</v>
          </cell>
          <cell r="C66">
            <v>986.11830556024722</v>
          </cell>
          <cell r="D66">
            <v>1607</v>
          </cell>
          <cell r="E66">
            <v>-620.88169443975278</v>
          </cell>
          <cell r="F66">
            <v>-4.1914931879628754E-3</v>
          </cell>
          <cell r="H66">
            <v>1844</v>
          </cell>
          <cell r="I66">
            <v>961</v>
          </cell>
        </row>
        <row r="67">
          <cell r="A67" t="str">
            <v xml:space="preserve"> - Adjustment For Straight-lining</v>
          </cell>
          <cell r="C67">
            <v>6260.4659544464803</v>
          </cell>
          <cell r="D67">
            <v>4257</v>
          </cell>
          <cell r="E67">
            <v>2003.4659544464803</v>
          </cell>
          <cell r="F67">
            <v>1.3525143317287502E-2</v>
          </cell>
          <cell r="H67">
            <v>5045</v>
          </cell>
          <cell r="I67">
            <v>6101</v>
          </cell>
        </row>
        <row r="68">
          <cell r="A68" t="str">
            <v xml:space="preserve"> + Other Adjustments1</v>
          </cell>
          <cell r="C68">
            <v>1529.2865500638857</v>
          </cell>
          <cell r="D68">
            <v>4488</v>
          </cell>
          <cell r="E68">
            <v>2958.7134499361146</v>
          </cell>
          <cell r="F68">
            <v>1.9973897413309443E-2</v>
          </cell>
          <cell r="H68">
            <v>4996</v>
          </cell>
          <cell r="I68">
            <v>4825</v>
          </cell>
        </row>
        <row r="69">
          <cell r="A69" t="str">
            <v>Adjusted Funds From Operations</v>
          </cell>
          <cell r="C69">
            <v>61990.832364618342</v>
          </cell>
          <cell r="D69">
            <v>67798</v>
          </cell>
          <cell r="E69">
            <v>5807.1676353816583</v>
          </cell>
          <cell r="F69">
            <v>3.9203448584555746E-2</v>
          </cell>
          <cell r="H69">
            <v>61975</v>
          </cell>
          <cell r="I69">
            <v>68221</v>
          </cell>
        </row>
        <row r="71">
          <cell r="A71" t="str">
            <v>Diluted FFO</v>
          </cell>
        </row>
        <row r="72">
          <cell r="A72" t="str">
            <v xml:space="preserve">  Basic FFO</v>
          </cell>
          <cell r="C72">
            <v>83991.908837241266</v>
          </cell>
          <cell r="D72">
            <v>87282</v>
          </cell>
          <cell r="E72">
            <v>3290.0911627587338</v>
          </cell>
          <cell r="F72">
            <v>2.2210986118577278E-2</v>
          </cell>
          <cell r="H72">
            <v>78756</v>
          </cell>
          <cell r="I72">
            <v>86327</v>
          </cell>
        </row>
        <row r="73">
          <cell r="A73" t="str">
            <v xml:space="preserve">  Preferred Conv D and G</v>
          </cell>
          <cell r="C73">
            <v>0</v>
          </cell>
          <cell r="D73">
            <v>0</v>
          </cell>
          <cell r="E73">
            <v>0</v>
          </cell>
          <cell r="F73">
            <v>0</v>
          </cell>
          <cell r="H73">
            <v>0</v>
          </cell>
          <cell r="I73">
            <v>0</v>
          </cell>
        </row>
        <row r="74">
          <cell r="A74" t="str">
            <v xml:space="preserve">  JV Partner Convertible Ownership FFO</v>
          </cell>
          <cell r="C74">
            <v>0</v>
          </cell>
          <cell r="D74">
            <v>0</v>
          </cell>
          <cell r="E74">
            <v>0</v>
          </cell>
          <cell r="F74">
            <v>0</v>
          </cell>
          <cell r="H74">
            <v>0</v>
          </cell>
          <cell r="I74">
            <v>0</v>
          </cell>
        </row>
        <row r="75">
          <cell r="A75" t="str">
            <v xml:space="preserve">  Unitholder Minority Interest</v>
          </cell>
          <cell r="C75">
            <v>5038.3359836636982</v>
          </cell>
          <cell r="D75">
            <v>2618</v>
          </cell>
          <cell r="E75">
            <v>-2420.3359836636982</v>
          </cell>
          <cell r="F75">
            <v>-1.6339379754563239E-2</v>
          </cell>
          <cell r="H75">
            <v>2164</v>
          </cell>
          <cell r="I75">
            <v>4910</v>
          </cell>
        </row>
        <row r="76">
          <cell r="A76" t="str">
            <v xml:space="preserve">  Minority Interest Share of Add-Backs</v>
          </cell>
          <cell r="C76">
            <v>1296.0118833741853</v>
          </cell>
          <cell r="D76">
            <v>3579</v>
          </cell>
          <cell r="E76">
            <v>2282.9881166258147</v>
          </cell>
          <cell r="F76">
            <v>1.541216180913808E-2</v>
          </cell>
          <cell r="H76">
            <v>5622</v>
          </cell>
          <cell r="I76">
            <v>1263</v>
          </cell>
        </row>
        <row r="77">
          <cell r="A77" t="str">
            <v>Total Diluted FFO</v>
          </cell>
          <cell r="C77">
            <v>90326.256704279149</v>
          </cell>
          <cell r="D77">
            <v>93479</v>
          </cell>
          <cell r="E77">
            <v>3152.7432957208512</v>
          </cell>
          <cell r="F77">
            <v>2.1283768173152126E-2</v>
          </cell>
          <cell r="H77">
            <v>86542</v>
          </cell>
          <cell r="I77">
            <v>92500</v>
          </cell>
        </row>
        <row r="79">
          <cell r="A79" t="str">
            <v>Diluted EPS before Extraordinary</v>
          </cell>
          <cell r="C79">
            <v>0.15461694481634042</v>
          </cell>
          <cell r="D79">
            <v>0.26799280071125503</v>
          </cell>
          <cell r="E79">
            <v>0.11337585589491461</v>
          </cell>
          <cell r="H79">
            <v>0.15961340585036013</v>
          </cell>
          <cell r="I79">
            <v>0.49468967806173247</v>
          </cell>
        </row>
        <row r="80">
          <cell r="A80" t="str">
            <v>Diluted EPS after Extraordinary</v>
          </cell>
          <cell r="C80">
            <v>0.15461694481634042</v>
          </cell>
          <cell r="D80">
            <v>0.26799280071125503</v>
          </cell>
          <cell r="E80">
            <v>0.11337585589491461</v>
          </cell>
          <cell r="H80">
            <v>0.15961340585036013</v>
          </cell>
          <cell r="I80">
            <v>0.49468967806173247</v>
          </cell>
        </row>
        <row r="81">
          <cell r="A81" t="str">
            <v>Normalized Earnings Per Share</v>
          </cell>
          <cell r="C81">
            <v>0.11889404222762315</v>
          </cell>
          <cell r="D81">
            <v>0.26799280071125503</v>
          </cell>
          <cell r="E81">
            <v>0.14909875848363188</v>
          </cell>
          <cell r="H81">
            <v>0.15939291489048948</v>
          </cell>
          <cell r="I81">
            <v>0.49468967806173247</v>
          </cell>
        </row>
        <row r="83">
          <cell r="A83" t="str">
            <v xml:space="preserve">FFO Per Share - Diluted </v>
          </cell>
          <cell r="C83">
            <v>0.6034010349179405</v>
          </cell>
          <cell r="D83">
            <v>0.63106481512735524</v>
          </cell>
          <cell r="E83">
            <v>2.7663780209414734E-2</v>
          </cell>
          <cell r="H83">
            <v>0.57940333681476131</v>
          </cell>
          <cell r="I83">
            <v>0.62362213218092455</v>
          </cell>
        </row>
        <row r="85">
          <cell r="A85" t="str">
            <v>Adjusted FFO Per Share - Diluted</v>
          </cell>
          <cell r="C85">
            <v>0.44289849319095281</v>
          </cell>
          <cell r="D85">
            <v>0.49005760876636284</v>
          </cell>
          <cell r="E85">
            <v>4.7159115575410027E-2</v>
          </cell>
          <cell r="H85">
            <v>0.4554975745994414</v>
          </cell>
          <cell r="I85">
            <v>0.4922221099871571</v>
          </cell>
        </row>
        <row r="86">
          <cell r="A86" t="str">
            <v>NOI Per Share</v>
          </cell>
          <cell r="C86">
            <v>1.0210187250543936</v>
          </cell>
          <cell r="D86">
            <v>0.95751985948376184</v>
          </cell>
          <cell r="E86">
            <v>-6.3498865570631779E-2</v>
          </cell>
          <cell r="H86">
            <v>1.0410848155225636</v>
          </cell>
          <cell r="I86">
            <v>1.0048341245905423</v>
          </cell>
        </row>
        <row r="87">
          <cell r="A87" t="str">
            <v>EBITDA Per Share</v>
          </cell>
          <cell r="C87">
            <v>1.0093968296645657</v>
          </cell>
          <cell r="D87">
            <v>0.96772608007401684</v>
          </cell>
          <cell r="E87">
            <v>-4.1670749590548839E-2</v>
          </cell>
          <cell r="H87">
            <v>1.0154417168896075</v>
          </cell>
          <cell r="I87">
            <v>0.95769780227708912</v>
          </cell>
        </row>
        <row r="89">
          <cell r="A89" t="str">
            <v>Dividends Per Share</v>
          </cell>
          <cell r="C89">
            <v>0.47499999999999998</v>
          </cell>
          <cell r="D89">
            <v>0.47499999999999998</v>
          </cell>
          <cell r="E89">
            <v>0</v>
          </cell>
          <cell r="H89">
            <v>0.47</v>
          </cell>
          <cell r="I89">
            <v>0.47499999999999998</v>
          </cell>
        </row>
        <row r="91">
          <cell r="A91" t="str">
            <v xml:space="preserve">Payout Ratio (Net Income) </v>
          </cell>
          <cell r="C91">
            <v>3.0721083032925152</v>
          </cell>
          <cell r="D91">
            <v>1.7724356726723487</v>
          </cell>
          <cell r="E91">
            <v>-1.2996726306201665</v>
          </cell>
          <cell r="H91">
            <v>2.9446148178846063</v>
          </cell>
          <cell r="I91">
            <v>0.96019792016101979</v>
          </cell>
        </row>
        <row r="92">
          <cell r="A92" t="str">
            <v xml:space="preserve">Payout Ratio (FFO) </v>
          </cell>
          <cell r="C92">
            <v>0.78720448344043292</v>
          </cell>
          <cell r="D92">
            <v>0.75269606007766443</v>
          </cell>
          <cell r="E92">
            <v>-3.4508423362768492E-2</v>
          </cell>
          <cell r="H92">
            <v>0.81117931177925162</v>
          </cell>
          <cell r="I92">
            <v>0.7616791891891892</v>
          </cell>
        </row>
        <row r="93">
          <cell r="A93" t="str">
            <v xml:space="preserve">Payout Ratio (AFFO) </v>
          </cell>
          <cell r="C93">
            <v>1.0724805058101807</v>
          </cell>
          <cell r="D93">
            <v>0.96927379863712793</v>
          </cell>
          <cell r="E93">
            <v>-0.1032067071730528</v>
          </cell>
          <cell r="H93">
            <v>1.031838644614764</v>
          </cell>
          <cell r="I93">
            <v>0.96501150672080438</v>
          </cell>
        </row>
        <row r="95">
          <cell r="A95" t="str">
            <v>Shares Outstanding</v>
          </cell>
          <cell r="C95">
            <v>138191.23000000001</v>
          </cell>
          <cell r="D95">
            <v>136921</v>
          </cell>
          <cell r="E95">
            <v>-1270.2300000000105</v>
          </cell>
          <cell r="H95">
            <v>134969</v>
          </cell>
          <cell r="I95">
            <v>136823</v>
          </cell>
        </row>
        <row r="96">
          <cell r="A96" t="str">
            <v>Other dilutive securities</v>
          </cell>
          <cell r="C96">
            <v>1775</v>
          </cell>
          <cell r="D96">
            <v>1426</v>
          </cell>
          <cell r="E96">
            <v>-349</v>
          </cell>
          <cell r="H96">
            <v>1091</v>
          </cell>
          <cell r="I96">
            <v>1775</v>
          </cell>
        </row>
        <row r="97">
          <cell r="A97" t="str">
            <v>Diluted Shares O/S (Thous.)</v>
          </cell>
          <cell r="C97">
            <v>139966.23000000001</v>
          </cell>
          <cell r="D97">
            <v>138347</v>
          </cell>
          <cell r="E97">
            <v>-1619.2300000000105</v>
          </cell>
          <cell r="H97">
            <v>136060</v>
          </cell>
          <cell r="I97">
            <v>138598</v>
          </cell>
        </row>
        <row r="98">
          <cell r="A98" t="str">
            <v>Units Outstanding</v>
          </cell>
          <cell r="C98">
            <v>9729</v>
          </cell>
          <cell r="D98">
            <v>9782</v>
          </cell>
          <cell r="E98">
            <v>53</v>
          </cell>
          <cell r="H98">
            <v>13304</v>
          </cell>
          <cell r="I98">
            <v>9729</v>
          </cell>
        </row>
        <row r="99">
          <cell r="A99" t="str">
            <v>Convertible D &amp; G Equivalents</v>
          </cell>
          <cell r="C99">
            <v>0</v>
          </cell>
          <cell r="D99">
            <v>0</v>
          </cell>
          <cell r="E99">
            <v>0</v>
          </cell>
          <cell r="H99">
            <v>0</v>
          </cell>
          <cell r="I99">
            <v>0</v>
          </cell>
        </row>
        <row r="100">
          <cell r="A100" t="str">
            <v>JV Covertible Equivalents</v>
          </cell>
          <cell r="C100">
            <v>0</v>
          </cell>
          <cell r="D100">
            <v>0</v>
          </cell>
          <cell r="E100">
            <v>0</v>
          </cell>
          <cell r="H100">
            <v>0</v>
          </cell>
          <cell r="I100">
            <v>0</v>
          </cell>
        </row>
        <row r="101">
          <cell r="A101" t="str">
            <v>Diluted Shares and Units (Thous.)</v>
          </cell>
          <cell r="C101">
            <v>149695.23000000001</v>
          </cell>
          <cell r="D101">
            <v>148129</v>
          </cell>
          <cell r="E101">
            <v>-1566.2300000000105</v>
          </cell>
          <cell r="H101">
            <v>149364</v>
          </cell>
          <cell r="I101">
            <v>148327</v>
          </cell>
        </row>
        <row r="106">
          <cell r="A106" t="str">
            <v>Matt Ostrower</v>
          </cell>
          <cell r="I106" t="str">
            <v>(212) 761-6284</v>
          </cell>
        </row>
        <row r="107">
          <cell r="A107" t="str">
            <v>Morgan Stanley  REIT Research</v>
          </cell>
          <cell r="I107" t="str">
            <v>Matthew.Ostrower@morganstanley.com</v>
          </cell>
        </row>
      </sheetData>
      <sheetData sheetId="36" refreshError="1"/>
      <sheetData sheetId="3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come Exhibit_Q"/>
      <sheetName val="Income Exhibit_A"/>
      <sheetName val="mwareTaxoPres"/>
      <sheetName val="mwarePreview_ARI.N"/>
      <sheetName val="Price Chart"/>
      <sheetName val="__FDSCACHE__"/>
      <sheetName val="Comp Sheet"/>
      <sheetName val="Performance Review"/>
      <sheetName val="5 Year IS"/>
      <sheetName val="Quarterly IS"/>
      <sheetName val="Balance Sheet"/>
      <sheetName val="mwareValPrintout"/>
      <sheetName val="mwarePreview"/>
      <sheetName val="Cash Flow"/>
      <sheetName val="Revenue Generator"/>
      <sheetName val="Variance"/>
      <sheetName val="Acquisitions &amp; Developments"/>
      <sheetName val="PricePsf"/>
      <sheetName val="NAV"/>
      <sheetName val="Cash Flow &amp; Balance Sheet"/>
      <sheetName val="Debt Maturity"/>
      <sheetName val="Institutions"/>
      <sheetName val="mStartup"/>
      <sheetName val="MainCode"/>
      <sheetName val="Sensitivity"/>
      <sheetName val="mwareDates"/>
      <sheetName val="mwareSettings"/>
      <sheetName val="NY UPLOAD shadow"/>
      <sheetName val="Module1"/>
      <sheetName val="Module2"/>
      <sheetName val="Module3"/>
    </sheetNames>
    <sheetDataSet>
      <sheetData sheetId="0" refreshError="1"/>
      <sheetData sheetId="1" refreshError="1"/>
      <sheetData sheetId="2" refreshError="1"/>
      <sheetData sheetId="3" refreshError="1"/>
      <sheetData sheetId="4" refreshError="1"/>
      <sheetData sheetId="5" refreshError="1">
        <row r="2">
          <cell r="B2" t="str">
            <v>11/02/2004</v>
          </cell>
          <cell r="C2">
            <v>34.119999999999997</v>
          </cell>
          <cell r="D2">
            <v>705.57</v>
          </cell>
          <cell r="E2">
            <v>100</v>
          </cell>
        </row>
        <row r="3">
          <cell r="B3" t="str">
            <v>11/03/2004</v>
          </cell>
          <cell r="C3">
            <v>34.550000000000004</v>
          </cell>
          <cell r="D3">
            <v>712.74</v>
          </cell>
          <cell r="E3">
            <v>100.24160307524477</v>
          </cell>
        </row>
        <row r="4">
          <cell r="B4" t="str">
            <v>11/04/2004</v>
          </cell>
          <cell r="C4">
            <v>35.22</v>
          </cell>
          <cell r="D4">
            <v>722.99</v>
          </cell>
          <cell r="E4">
            <v>100.73679874447407</v>
          </cell>
        </row>
        <row r="5">
          <cell r="B5" t="str">
            <v>11/05/2004</v>
          </cell>
          <cell r="C5">
            <v>33.9</v>
          </cell>
          <cell r="D5">
            <v>703.03</v>
          </cell>
          <cell r="E5">
            <v>99.714180582829385</v>
          </cell>
        </row>
        <row r="6">
          <cell r="B6" t="str">
            <v>11/08/2004</v>
          </cell>
          <cell r="C6">
            <v>34.36</v>
          </cell>
          <cell r="D6">
            <v>707.13</v>
          </cell>
          <cell r="E6">
            <v>100.48123792310808</v>
          </cell>
        </row>
        <row r="7">
          <cell r="B7" t="str">
            <v>11/09/2004</v>
          </cell>
          <cell r="C7">
            <v>34.61</v>
          </cell>
          <cell r="D7">
            <v>708.51</v>
          </cell>
          <cell r="E7">
            <v>101.01519331977222</v>
          </cell>
        </row>
        <row r="8">
          <cell r="B8" t="str">
            <v>11/10/2004</v>
          </cell>
          <cell r="C8">
            <v>34.75</v>
          </cell>
          <cell r="D8">
            <v>712.64</v>
          </cell>
          <cell r="E8">
            <v>100.83602050542973</v>
          </cell>
        </row>
        <row r="9">
          <cell r="B9" t="str">
            <v>11/11/2004</v>
          </cell>
          <cell r="C9">
            <v>35.119999999999997</v>
          </cell>
          <cell r="D9">
            <v>720.06000000000006</v>
          </cell>
          <cell r="E9">
            <v>100.85952196441623</v>
          </cell>
        </row>
        <row r="10">
          <cell r="B10" t="str">
            <v>11/12/2004</v>
          </cell>
          <cell r="C10">
            <v>35.800000000000004</v>
          </cell>
          <cell r="D10">
            <v>737.18000000000006</v>
          </cell>
          <cell r="E10">
            <v>100.42470551014935</v>
          </cell>
        </row>
        <row r="11">
          <cell r="B11" t="str">
            <v>11/15/2004</v>
          </cell>
          <cell r="C11">
            <v>36.35</v>
          </cell>
          <cell r="D11">
            <v>744.34</v>
          </cell>
          <cell r="E11">
            <v>100.98669085378391</v>
          </cell>
        </row>
        <row r="12">
          <cell r="B12" t="str">
            <v>11/16/2004</v>
          </cell>
          <cell r="C12">
            <v>35.78</v>
          </cell>
          <cell r="D12">
            <v>737.38</v>
          </cell>
          <cell r="E12">
            <v>100.34137928918324</v>
          </cell>
        </row>
        <row r="13">
          <cell r="B13" t="str">
            <v>11/17/2004</v>
          </cell>
          <cell r="C13">
            <v>34.950000000000003</v>
          </cell>
          <cell r="D13">
            <v>721.48</v>
          </cell>
          <cell r="E13">
            <v>100.17375828869682</v>
          </cell>
        </row>
        <row r="14">
          <cell r="B14" t="str">
            <v>11/18/2004</v>
          </cell>
          <cell r="C14">
            <v>34.99</v>
          </cell>
          <cell r="D14">
            <v>721.56000000000006</v>
          </cell>
          <cell r="E14">
            <v>100.27728730189709</v>
          </cell>
        </row>
        <row r="15">
          <cell r="B15" t="str">
            <v>11/19/2004</v>
          </cell>
          <cell r="C15">
            <v>34.5</v>
          </cell>
          <cell r="D15">
            <v>711.88</v>
          </cell>
          <cell r="E15">
            <v>100.21745913154616</v>
          </cell>
        </row>
        <row r="16">
          <cell r="B16" t="str">
            <v>11/22/2004</v>
          </cell>
          <cell r="C16">
            <v>34.72</v>
          </cell>
          <cell r="D16">
            <v>716.75</v>
          </cell>
          <cell r="E16">
            <v>100.17125138670183</v>
          </cell>
        </row>
        <row r="17">
          <cell r="B17" t="str">
            <v>11/23/2004</v>
          </cell>
          <cell r="C17">
            <v>35.1</v>
          </cell>
          <cell r="D17">
            <v>725.06000000000006</v>
          </cell>
          <cell r="E17">
            <v>100.10695561468512</v>
          </cell>
        </row>
        <row r="18">
          <cell r="B18" t="str">
            <v>11/24/2004</v>
          </cell>
          <cell r="C18">
            <v>35.86</v>
          </cell>
          <cell r="D18">
            <v>734.85</v>
          </cell>
          <cell r="E18">
            <v>100.91196686550144</v>
          </cell>
        </row>
        <row r="19">
          <cell r="B19" t="str">
            <v>11/25/2004</v>
          </cell>
          <cell r="C19">
            <v>35.86</v>
          </cell>
          <cell r="D19">
            <v>734.85</v>
          </cell>
          <cell r="E19">
            <v>100.91196686550144</v>
          </cell>
        </row>
        <row r="20">
          <cell r="B20" t="str">
            <v>11/26/2004</v>
          </cell>
          <cell r="C20">
            <v>35.33</v>
          </cell>
          <cell r="D20">
            <v>731.7</v>
          </cell>
          <cell r="E20">
            <v>99.84852799876181</v>
          </cell>
        </row>
        <row r="21">
          <cell r="B21" t="str">
            <v>11/29/2004</v>
          </cell>
          <cell r="C21">
            <v>35.450000000000003</v>
          </cell>
          <cell r="D21">
            <v>730.09</v>
          </cell>
          <cell r="E21">
            <v>100.40860280647283</v>
          </cell>
        </row>
        <row r="22">
          <cell r="B22" t="str">
            <v>11/30/2004</v>
          </cell>
          <cell r="C22">
            <v>36</v>
          </cell>
          <cell r="D22">
            <v>733.63</v>
          </cell>
          <cell r="E22">
            <v>101.47440247142482</v>
          </cell>
        </row>
        <row r="23">
          <cell r="B23" t="str">
            <v>12/01/2004</v>
          </cell>
          <cell r="C23">
            <v>36.78</v>
          </cell>
          <cell r="D23">
            <v>748.07</v>
          </cell>
          <cell r="E23">
            <v>101.67181366176354</v>
          </cell>
        </row>
        <row r="24">
          <cell r="B24" t="str">
            <v>12/02/2004</v>
          </cell>
          <cell r="C24">
            <v>36.230000000000004</v>
          </cell>
          <cell r="D24">
            <v>741.03</v>
          </cell>
          <cell r="E24">
            <v>101.10290350434101</v>
          </cell>
        </row>
        <row r="25">
          <cell r="B25" t="str">
            <v>12/03/2004</v>
          </cell>
          <cell r="C25">
            <v>37.15</v>
          </cell>
          <cell r="D25">
            <v>753.36</v>
          </cell>
          <cell r="E25">
            <v>101.97350453788833</v>
          </cell>
        </row>
        <row r="26">
          <cell r="B26" t="str">
            <v>12/06/2004</v>
          </cell>
          <cell r="C26">
            <v>37.300000000000004</v>
          </cell>
          <cell r="D26">
            <v>757.13</v>
          </cell>
          <cell r="E26">
            <v>101.87543154612575</v>
          </cell>
        </row>
        <row r="27">
          <cell r="B27" t="str">
            <v>12/07/2004</v>
          </cell>
          <cell r="C27">
            <v>36.81</v>
          </cell>
          <cell r="D27">
            <v>744.54</v>
          </cell>
          <cell r="E27">
            <v>102.23718116894514</v>
          </cell>
        </row>
        <row r="28">
          <cell r="B28" t="str">
            <v>12/08/2004</v>
          </cell>
          <cell r="C28">
            <v>36.82</v>
          </cell>
          <cell r="D28">
            <v>748.35</v>
          </cell>
          <cell r="E28">
            <v>101.74430405743753</v>
          </cell>
        </row>
        <row r="29">
          <cell r="B29" t="str">
            <v>12/09/2004</v>
          </cell>
          <cell r="C29">
            <v>36.950000000000003</v>
          </cell>
          <cell r="D29">
            <v>753.98</v>
          </cell>
          <cell r="E29">
            <v>101.34112032351527</v>
          </cell>
        </row>
        <row r="30">
          <cell r="B30" t="str">
            <v>12/10/2004</v>
          </cell>
          <cell r="C30">
            <v>37</v>
          </cell>
          <cell r="D30">
            <v>759.52</v>
          </cell>
          <cell r="E30">
            <v>100.73806255372988</v>
          </cell>
        </row>
        <row r="31">
          <cell r="B31" t="str">
            <v>12/13/2004</v>
          </cell>
          <cell r="C31">
            <v>36.730000000000004</v>
          </cell>
          <cell r="D31">
            <v>758.13</v>
          </cell>
          <cell r="E31">
            <v>100.18629822942053</v>
          </cell>
        </row>
        <row r="32">
          <cell r="B32" t="str">
            <v>12/14/2004</v>
          </cell>
          <cell r="C32">
            <v>36.92</v>
          </cell>
          <cell r="D32">
            <v>756.31000000000006</v>
          </cell>
          <cell r="E32">
            <v>100.94688775760352</v>
          </cell>
        </row>
        <row r="33">
          <cell r="B33" t="str">
            <v>12/15/2004</v>
          </cell>
          <cell r="C33">
            <v>37.300000000000004</v>
          </cell>
          <cell r="D33">
            <v>760.14</v>
          </cell>
          <cell r="E33">
            <v>101.47202553018944</v>
          </cell>
        </row>
        <row r="34">
          <cell r="B34" t="str">
            <v>12/16/2004</v>
          </cell>
          <cell r="C34">
            <v>36.800000000000004</v>
          </cell>
          <cell r="D34">
            <v>751.27</v>
          </cell>
          <cell r="E34">
            <v>101.29379822656223</v>
          </cell>
        </row>
        <row r="35">
          <cell r="B35" t="str">
            <v>12/17/2004</v>
          </cell>
          <cell r="C35">
            <v>37.090000000000003</v>
          </cell>
          <cell r="D35">
            <v>759.03</v>
          </cell>
          <cell r="E35">
            <v>101.04829181392265</v>
          </cell>
        </row>
        <row r="36">
          <cell r="B36" t="str">
            <v>12/20/2004</v>
          </cell>
          <cell r="C36">
            <v>36.980000000000004</v>
          </cell>
          <cell r="D36">
            <v>758.07</v>
          </cell>
          <cell r="E36">
            <v>100.87619233460627</v>
          </cell>
        </row>
        <row r="37">
          <cell r="B37" t="str">
            <v>12/21/2004</v>
          </cell>
          <cell r="C37">
            <v>37.36</v>
          </cell>
          <cell r="D37">
            <v>765.03</v>
          </cell>
          <cell r="E37">
            <v>100.98560831556938</v>
          </cell>
        </row>
        <row r="38">
          <cell r="B38" t="str">
            <v>12/22/2004</v>
          </cell>
          <cell r="C38">
            <v>37.700000000000003</v>
          </cell>
          <cell r="D38">
            <v>769.82</v>
          </cell>
          <cell r="E38">
            <v>101.27056771816424</v>
          </cell>
        </row>
        <row r="39">
          <cell r="B39" t="str">
            <v>12/23/2004</v>
          </cell>
          <cell r="C39">
            <v>37.32</v>
          </cell>
          <cell r="D39">
            <v>762.5</v>
          </cell>
          <cell r="E39">
            <v>101.21220148751755</v>
          </cell>
        </row>
        <row r="40">
          <cell r="B40" t="str">
            <v>12/24/2004</v>
          </cell>
          <cell r="C40">
            <v>37.32</v>
          </cell>
          <cell r="D40">
            <v>762.5</v>
          </cell>
          <cell r="E40">
            <v>101.21220148751755</v>
          </cell>
        </row>
        <row r="41">
          <cell r="B41" t="str">
            <v>12/27/2004</v>
          </cell>
          <cell r="C41">
            <v>37.19</v>
          </cell>
          <cell r="D41">
            <v>761.35</v>
          </cell>
          <cell r="E41">
            <v>101.01198617467846</v>
          </cell>
        </row>
        <row r="42">
          <cell r="B42" t="str">
            <v>12/28/2004</v>
          </cell>
          <cell r="C42">
            <v>37.49</v>
          </cell>
          <cell r="D42">
            <v>764.06000000000006</v>
          </cell>
          <cell r="E42">
            <v>101.46565438552038</v>
          </cell>
        </row>
        <row r="43">
          <cell r="B43" t="str">
            <v>12/29/2004</v>
          </cell>
          <cell r="C43">
            <v>37.050000000000004</v>
          </cell>
          <cell r="D43">
            <v>767.95</v>
          </cell>
          <cell r="E43">
            <v>99.76687107245759</v>
          </cell>
        </row>
        <row r="44">
          <cell r="B44" t="str">
            <v>12/30/2004</v>
          </cell>
          <cell r="C44">
            <v>37.119999999999997</v>
          </cell>
          <cell r="D44">
            <v>771</v>
          </cell>
          <cell r="E44">
            <v>99.559950917111053</v>
          </cell>
        </row>
        <row r="45">
          <cell r="B45" t="str">
            <v>12/31/2004</v>
          </cell>
          <cell r="C45">
            <v>37.72</v>
          </cell>
          <cell r="D45">
            <v>769.52</v>
          </cell>
          <cell r="E45">
            <v>101.36379377860374</v>
          </cell>
        </row>
        <row r="46">
          <cell r="B46" t="str">
            <v>01/03/2005</v>
          </cell>
          <cell r="C46">
            <v>37</v>
          </cell>
          <cell r="D46">
            <v>759.86</v>
          </cell>
          <cell r="E46">
            <v>100.69298722239479</v>
          </cell>
        </row>
        <row r="47">
          <cell r="B47" t="str">
            <v>01/04/2005</v>
          </cell>
          <cell r="C47">
            <v>36.22</v>
          </cell>
          <cell r="D47">
            <v>750.2</v>
          </cell>
          <cell r="E47">
            <v>99.839516808804092</v>
          </cell>
        </row>
        <row r="48">
          <cell r="B48" t="str">
            <v>01/05/2005</v>
          </cell>
          <cell r="C48">
            <v>35</v>
          </cell>
          <cell r="D48">
            <v>722.01</v>
          </cell>
          <cell r="E48">
            <v>100.24342945307383</v>
          </cell>
        </row>
        <row r="49">
          <cell r="B49" t="str">
            <v>01/06/2005</v>
          </cell>
          <cell r="C49">
            <v>35.11</v>
          </cell>
          <cell r="D49">
            <v>727.22</v>
          </cell>
          <cell r="E49">
            <v>99.838052187564372</v>
          </cell>
        </row>
        <row r="50">
          <cell r="B50" t="str">
            <v>01/07/2005</v>
          </cell>
          <cell r="C50">
            <v>34.980000000000004</v>
          </cell>
          <cell r="D50">
            <v>726.95</v>
          </cell>
          <cell r="E50">
            <v>99.505330974207169</v>
          </cell>
        </row>
        <row r="51">
          <cell r="B51" t="str">
            <v>01/10/2005</v>
          </cell>
          <cell r="C51">
            <v>34.82</v>
          </cell>
          <cell r="D51">
            <v>724.65</v>
          </cell>
          <cell r="E51">
            <v>99.364569336905106</v>
          </cell>
        </row>
        <row r="52">
          <cell r="B52" t="str">
            <v>01/11/2005</v>
          </cell>
          <cell r="C52">
            <v>34.42</v>
          </cell>
          <cell r="D52">
            <v>715.90000000000009</v>
          </cell>
          <cell r="E52">
            <v>99.423623712402929</v>
          </cell>
        </row>
        <row r="53">
          <cell r="B53" t="str">
            <v>01/12/2005</v>
          </cell>
          <cell r="C53">
            <v>34.090000000000003</v>
          </cell>
          <cell r="D53">
            <v>712.30000000000007</v>
          </cell>
          <cell r="E53">
            <v>98.96807914983728</v>
          </cell>
        </row>
        <row r="54">
          <cell r="B54" t="str">
            <v>01/13/2005</v>
          </cell>
          <cell r="C54">
            <v>34.160000000000004</v>
          </cell>
          <cell r="D54">
            <v>715.93000000000006</v>
          </cell>
          <cell r="E54">
            <v>98.668468000262479</v>
          </cell>
        </row>
        <row r="55">
          <cell r="B55" t="str">
            <v>01/14/2005</v>
          </cell>
          <cell r="C55">
            <v>34.36</v>
          </cell>
          <cell r="D55">
            <v>722.28</v>
          </cell>
          <cell r="E55">
            <v>98.373619334008168</v>
          </cell>
        </row>
        <row r="56">
          <cell r="B56" t="str">
            <v>01/17/2005</v>
          </cell>
          <cell r="C56">
            <v>34.36</v>
          </cell>
          <cell r="D56">
            <v>722.28</v>
          </cell>
          <cell r="E56">
            <v>98.373619334008168</v>
          </cell>
        </row>
        <row r="57">
          <cell r="B57" t="str">
            <v>01/18/2005</v>
          </cell>
          <cell r="C57">
            <v>34.700000000000003</v>
          </cell>
          <cell r="D57">
            <v>731.6</v>
          </cell>
          <cell r="E57">
            <v>98.081446533221154</v>
          </cell>
        </row>
        <row r="58">
          <cell r="B58" t="str">
            <v>01/19/2005</v>
          </cell>
          <cell r="C58">
            <v>35.130000000000003</v>
          </cell>
          <cell r="D58">
            <v>733.66</v>
          </cell>
          <cell r="E58">
            <v>99.018055311117593</v>
          </cell>
        </row>
        <row r="59">
          <cell r="B59" t="str">
            <v>01/20/2005</v>
          </cell>
          <cell r="C59">
            <v>34.92</v>
          </cell>
          <cell r="D59">
            <v>728.51</v>
          </cell>
          <cell r="E59">
            <v>99.121941920574926</v>
          </cell>
        </row>
        <row r="60">
          <cell r="B60" t="str">
            <v>01/21/2005</v>
          </cell>
          <cell r="C60">
            <v>35.03</v>
          </cell>
          <cell r="D60">
            <v>729.07</v>
          </cell>
          <cell r="E60">
            <v>99.357806137935668</v>
          </cell>
        </row>
        <row r="61">
          <cell r="B61" t="str">
            <v>01/24/2005</v>
          </cell>
          <cell r="C61">
            <v>34.700000000000003</v>
          </cell>
          <cell r="D61">
            <v>723.21</v>
          </cell>
          <cell r="E61">
            <v>99.219294926376278</v>
          </cell>
        </row>
        <row r="62">
          <cell r="B62" t="str">
            <v>01/25/2005</v>
          </cell>
          <cell r="C62">
            <v>33.770000000000003</v>
          </cell>
          <cell r="D62">
            <v>708.6</v>
          </cell>
          <cell r="E62">
            <v>98.550991271529597</v>
          </cell>
        </row>
        <row r="63">
          <cell r="B63" t="str">
            <v>01/26/2005</v>
          </cell>
          <cell r="C63">
            <v>33.700000000000003</v>
          </cell>
          <cell r="D63">
            <v>709.2</v>
          </cell>
          <cell r="E63">
            <v>98.263506624375424</v>
          </cell>
        </row>
        <row r="64">
          <cell r="B64" t="str">
            <v>01/27/2005</v>
          </cell>
          <cell r="C64">
            <v>33.160000000000004</v>
          </cell>
          <cell r="D64">
            <v>701.52</v>
          </cell>
          <cell r="E64">
            <v>97.747475353133737</v>
          </cell>
        </row>
        <row r="65">
          <cell r="B65" t="str">
            <v>01/28/2005</v>
          </cell>
          <cell r="C65">
            <v>33.74</v>
          </cell>
          <cell r="D65">
            <v>705</v>
          </cell>
          <cell r="E65">
            <v>98.966234316929004</v>
          </cell>
        </row>
        <row r="66">
          <cell r="B66" t="str">
            <v>01/31/2005</v>
          </cell>
          <cell r="C66">
            <v>33.72</v>
          </cell>
          <cell r="D66">
            <v>703.30000000000007</v>
          </cell>
          <cell r="E66">
            <v>99.146647299475305</v>
          </cell>
        </row>
        <row r="67">
          <cell r="B67" t="str">
            <v>02/01/2005</v>
          </cell>
          <cell r="C67">
            <v>33.72</v>
          </cell>
          <cell r="D67">
            <v>708.08</v>
          </cell>
          <cell r="E67">
            <v>98.47734302016859</v>
          </cell>
        </row>
        <row r="68">
          <cell r="B68" t="str">
            <v>02/02/2005</v>
          </cell>
          <cell r="C68">
            <v>34.340000000000003</v>
          </cell>
          <cell r="D68">
            <v>716.05000000000007</v>
          </cell>
          <cell r="E68">
            <v>99.171761224570147</v>
          </cell>
        </row>
        <row r="69">
          <cell r="B69" t="str">
            <v>02/03/2005</v>
          </cell>
          <cell r="C69">
            <v>34.4</v>
          </cell>
          <cell r="D69">
            <v>716.19</v>
          </cell>
          <cell r="E69">
            <v>99.325617598675365</v>
          </cell>
        </row>
        <row r="70">
          <cell r="B70" t="str">
            <v>02/04/2005</v>
          </cell>
          <cell r="C70">
            <v>34.68</v>
          </cell>
          <cell r="D70">
            <v>728.6</v>
          </cell>
          <cell r="E70">
            <v>98.428531616786501</v>
          </cell>
        </row>
        <row r="71">
          <cell r="B71" t="str">
            <v>02/07/2005</v>
          </cell>
          <cell r="C71">
            <v>34.4</v>
          </cell>
          <cell r="D71">
            <v>724.80000000000007</v>
          </cell>
          <cell r="E71">
            <v>98.145714773724208</v>
          </cell>
        </row>
        <row r="72">
          <cell r="B72" t="str">
            <v>02/08/2005</v>
          </cell>
          <cell r="C72">
            <v>34.450000000000003</v>
          </cell>
          <cell r="D72">
            <v>727.29</v>
          </cell>
          <cell r="E72">
            <v>97.951861619546818</v>
          </cell>
        </row>
        <row r="73">
          <cell r="B73" t="str">
            <v>02/09/2005</v>
          </cell>
          <cell r="C73">
            <v>34.78</v>
          </cell>
          <cell r="D73">
            <v>732.27</v>
          </cell>
          <cell r="E73">
            <v>98.217623109727839</v>
          </cell>
        </row>
        <row r="74">
          <cell r="B74" t="str">
            <v>02/10/2005</v>
          </cell>
          <cell r="C74">
            <v>34.81</v>
          </cell>
          <cell r="D74">
            <v>735.45</v>
          </cell>
          <cell r="E74">
            <v>97.87729430434608</v>
          </cell>
        </row>
        <row r="75">
          <cell r="B75" t="str">
            <v>02/11/2005</v>
          </cell>
          <cell r="C75">
            <v>35.04</v>
          </cell>
          <cell r="D75">
            <v>739.66</v>
          </cell>
          <cell r="E75">
            <v>97.963219310009677</v>
          </cell>
        </row>
        <row r="76">
          <cell r="B76" t="str">
            <v>02/14/2005</v>
          </cell>
          <cell r="C76">
            <v>35.1</v>
          </cell>
          <cell r="D76">
            <v>740.06000000000006</v>
          </cell>
          <cell r="E76">
            <v>98.077925084430447</v>
          </cell>
        </row>
        <row r="77">
          <cell r="B77" t="str">
            <v>02/15/2005</v>
          </cell>
          <cell r="C77">
            <v>35.15</v>
          </cell>
          <cell r="D77">
            <v>743.02</v>
          </cell>
          <cell r="E77">
            <v>97.826363499325026</v>
          </cell>
        </row>
        <row r="78">
          <cell r="B78" t="str">
            <v>02/16/2005</v>
          </cell>
          <cell r="C78">
            <v>35.130000000000003</v>
          </cell>
          <cell r="D78">
            <v>746.87</v>
          </cell>
          <cell r="E78">
            <v>97.266708342220909</v>
          </cell>
        </row>
        <row r="79">
          <cell r="B79" t="str">
            <v>02/17/2005</v>
          </cell>
          <cell r="C79">
            <v>35.1</v>
          </cell>
          <cell r="D79">
            <v>746.32</v>
          </cell>
          <cell r="E79">
            <v>97.255264816678633</v>
          </cell>
        </row>
        <row r="80">
          <cell r="B80" t="str">
            <v>02/18/2005</v>
          </cell>
          <cell r="C80">
            <v>34.57</v>
          </cell>
          <cell r="D80">
            <v>739.41</v>
          </cell>
          <cell r="E80">
            <v>96.681892757149498</v>
          </cell>
        </row>
        <row r="81">
          <cell r="B81" t="str">
            <v>02/21/2005</v>
          </cell>
          <cell r="C81">
            <v>34.57</v>
          </cell>
          <cell r="D81">
            <v>739.41</v>
          </cell>
          <cell r="E81">
            <v>96.681892757149498</v>
          </cell>
        </row>
        <row r="82">
          <cell r="B82" t="str">
            <v>02/22/2005</v>
          </cell>
          <cell r="C82">
            <v>33.75</v>
          </cell>
          <cell r="D82">
            <v>719.86</v>
          </cell>
          <cell r="E82">
            <v>96.952010484388524</v>
          </cell>
        </row>
        <row r="83">
          <cell r="B83" t="str">
            <v>02/23/2005</v>
          </cell>
          <cell r="C83">
            <v>33.5</v>
          </cell>
          <cell r="D83">
            <v>717.48</v>
          </cell>
          <cell r="E83">
            <v>96.553071055454552</v>
          </cell>
        </row>
        <row r="84">
          <cell r="B84" t="str">
            <v>02/24/2005</v>
          </cell>
          <cell r="C84">
            <v>33.29</v>
          </cell>
          <cell r="D84">
            <v>716.17</v>
          </cell>
          <cell r="E84">
            <v>96.123318304133178</v>
          </cell>
        </row>
        <row r="85">
          <cell r="B85" t="str">
            <v>02/25/2005</v>
          </cell>
          <cell r="C85">
            <v>34.04</v>
          </cell>
          <cell r="D85">
            <v>729.54</v>
          </cell>
          <cell r="E85">
            <v>96.48760507874033</v>
          </cell>
        </row>
        <row r="86">
          <cell r="B86" t="str">
            <v>02/28/2005</v>
          </cell>
          <cell r="C86">
            <v>34.35</v>
          </cell>
          <cell r="D86">
            <v>724.24</v>
          </cell>
          <cell r="E86">
            <v>98.078839471322283</v>
          </cell>
        </row>
        <row r="87">
          <cell r="B87" t="str">
            <v>03/01/2005</v>
          </cell>
          <cell r="C87">
            <v>34.65</v>
          </cell>
          <cell r="D87">
            <v>732.13</v>
          </cell>
          <cell r="E87">
            <v>97.869218464507242</v>
          </cell>
        </row>
        <row r="88">
          <cell r="B88" t="str">
            <v>03/02/2005</v>
          </cell>
          <cell r="C88">
            <v>34.58</v>
          </cell>
          <cell r="D88">
            <v>728.14</v>
          </cell>
          <cell r="E88">
            <v>98.206714913918844</v>
          </cell>
        </row>
        <row r="89">
          <cell r="B89" t="str">
            <v>03/03/2005</v>
          </cell>
          <cell r="C89">
            <v>34.800000000000004</v>
          </cell>
          <cell r="D89">
            <v>732.12</v>
          </cell>
          <cell r="E89">
            <v>98.294237313929884</v>
          </cell>
        </row>
        <row r="90">
          <cell r="B90" t="str">
            <v>03/04/2005</v>
          </cell>
          <cell r="C90">
            <v>35.47</v>
          </cell>
          <cell r="D90">
            <v>746.36</v>
          </cell>
          <cell r="E90">
            <v>98.275195576788249</v>
          </cell>
        </row>
        <row r="91">
          <cell r="B91" t="str">
            <v>03/07/2005</v>
          </cell>
          <cell r="C91">
            <v>35.82</v>
          </cell>
          <cell r="D91">
            <v>750.63</v>
          </cell>
          <cell r="E91">
            <v>98.680365234117787</v>
          </cell>
        </row>
        <row r="92">
          <cell r="B92" t="str">
            <v>03/08/2005</v>
          </cell>
          <cell r="C92">
            <v>35.800000000000004</v>
          </cell>
          <cell r="D92">
            <v>745.18000000000006</v>
          </cell>
          <cell r="E92">
            <v>99.346579897436712</v>
          </cell>
        </row>
        <row r="93">
          <cell r="B93" t="str">
            <v>03/09/2005</v>
          </cell>
          <cell r="C93">
            <v>35.050000000000004</v>
          </cell>
          <cell r="D93">
            <v>722.89</v>
          </cell>
          <cell r="E93">
            <v>100.26443009129844</v>
          </cell>
        </row>
        <row r="94">
          <cell r="B94" t="str">
            <v>03/10/2005</v>
          </cell>
          <cell r="C94">
            <v>35.410000000000004</v>
          </cell>
          <cell r="D94">
            <v>730.35</v>
          </cell>
          <cell r="E94">
            <v>100.25960228322015</v>
          </cell>
        </row>
        <row r="95">
          <cell r="B95" t="str">
            <v>03/11/2005</v>
          </cell>
          <cell r="C95">
            <v>35.160000000000004</v>
          </cell>
          <cell r="D95">
            <v>720.65</v>
          </cell>
          <cell r="E95">
            <v>100.89172785835767</v>
          </cell>
        </row>
        <row r="96">
          <cell r="B96" t="str">
            <v>03/14/2005</v>
          </cell>
          <cell r="C96">
            <v>35.300000000000004</v>
          </cell>
          <cell r="D96">
            <v>731.98</v>
          </cell>
          <cell r="E96">
            <v>99.725580910848805</v>
          </cell>
        </row>
        <row r="97">
          <cell r="B97" t="str">
            <v>03/15/2005</v>
          </cell>
          <cell r="C97">
            <v>35.450000000000003</v>
          </cell>
          <cell r="D97">
            <v>729.69</v>
          </cell>
          <cell r="E97">
            <v>100.46364459287882</v>
          </cell>
        </row>
        <row r="98">
          <cell r="B98" t="str">
            <v>03/16/2005</v>
          </cell>
          <cell r="C98">
            <v>35.17</v>
          </cell>
          <cell r="D98">
            <v>721.71</v>
          </cell>
          <cell r="E98">
            <v>100.77219763475969</v>
          </cell>
        </row>
        <row r="99">
          <cell r="B99" t="str">
            <v>03/17/2005</v>
          </cell>
          <cell r="C99">
            <v>35.18</v>
          </cell>
          <cell r="D99">
            <v>728.81000000000006</v>
          </cell>
          <cell r="E99">
            <v>99.81885790376009</v>
          </cell>
        </row>
        <row r="100">
          <cell r="B100" t="str">
            <v>03/18/2005</v>
          </cell>
          <cell r="C100">
            <v>35.35</v>
          </cell>
          <cell r="D100">
            <v>724.51</v>
          </cell>
          <cell r="E100">
            <v>100.89650396048087</v>
          </cell>
        </row>
        <row r="101">
          <cell r="B101" t="str">
            <v>03/21/2005</v>
          </cell>
          <cell r="C101">
            <v>35.300000000000004</v>
          </cell>
          <cell r="D101">
            <v>720.2</v>
          </cell>
          <cell r="E101">
            <v>101.35674911847141</v>
          </cell>
        </row>
        <row r="102">
          <cell r="B102" t="str">
            <v>03/22/2005</v>
          </cell>
          <cell r="C102">
            <v>34.81</v>
          </cell>
          <cell r="D102">
            <v>708.1</v>
          </cell>
          <cell r="E102">
            <v>101.65775469020097</v>
          </cell>
        </row>
        <row r="103">
          <cell r="B103" t="str">
            <v>03/23/2005</v>
          </cell>
          <cell r="C103">
            <v>34.4</v>
          </cell>
          <cell r="D103">
            <v>704.22</v>
          </cell>
          <cell r="E103">
            <v>101.01390768225174</v>
          </cell>
        </row>
        <row r="104">
          <cell r="B104" t="str">
            <v>03/24/2005</v>
          </cell>
          <cell r="C104">
            <v>34.85</v>
          </cell>
          <cell r="D104">
            <v>707.32</v>
          </cell>
          <cell r="E104">
            <v>101.88680143578468</v>
          </cell>
        </row>
        <row r="105">
          <cell r="B105" t="str">
            <v>03/25/2005</v>
          </cell>
          <cell r="C105">
            <v>34.85</v>
          </cell>
          <cell r="D105">
            <v>707.32</v>
          </cell>
          <cell r="E105">
            <v>101.88680143578468</v>
          </cell>
        </row>
        <row r="106">
          <cell r="B106" t="str">
            <v>03/28/2005</v>
          </cell>
          <cell r="C106">
            <v>34.49</v>
          </cell>
          <cell r="D106">
            <v>703.49</v>
          </cell>
          <cell r="E106">
            <v>101.38328296451704</v>
          </cell>
        </row>
        <row r="107">
          <cell r="B107" t="str">
            <v>03/29/2005</v>
          </cell>
          <cell r="C107">
            <v>33.75</v>
          </cell>
          <cell r="D107">
            <v>704.53</v>
          </cell>
          <cell r="E107">
            <v>99.061607408189744</v>
          </cell>
        </row>
        <row r="108">
          <cell r="B108" t="str">
            <v>03/30/2005</v>
          </cell>
          <cell r="C108">
            <v>34</v>
          </cell>
          <cell r="D108">
            <v>714.06000000000006</v>
          </cell>
          <cell r="E108">
            <v>98.4635060271074</v>
          </cell>
        </row>
        <row r="109">
          <cell r="B109" t="str">
            <v>03/31/2005</v>
          </cell>
          <cell r="C109">
            <v>33.85</v>
          </cell>
          <cell r="D109">
            <v>712.28</v>
          </cell>
          <cell r="E109">
            <v>98.274084637869493</v>
          </cell>
        </row>
        <row r="110">
          <cell r="B110" t="str">
            <v>04/01/2005</v>
          </cell>
          <cell r="C110">
            <v>33.75</v>
          </cell>
          <cell r="D110">
            <v>711.95</v>
          </cell>
          <cell r="E110">
            <v>98.029179390816651</v>
          </cell>
        </row>
        <row r="111">
          <cell r="B111" t="str">
            <v>04/04/2005</v>
          </cell>
          <cell r="C111">
            <v>33.700000000000003</v>
          </cell>
          <cell r="D111">
            <v>709.28</v>
          </cell>
          <cell r="E111">
            <v>98.252423440682165</v>
          </cell>
        </row>
        <row r="112">
          <cell r="B112" t="str">
            <v>04/05/2005</v>
          </cell>
          <cell r="C112">
            <v>33.68</v>
          </cell>
          <cell r="D112">
            <v>708.93000000000006</v>
          </cell>
          <cell r="E112">
            <v>98.242592005265806</v>
          </cell>
        </row>
        <row r="113">
          <cell r="B113" t="str">
            <v>04/06/2005</v>
          </cell>
          <cell r="C113">
            <v>33.86</v>
          </cell>
          <cell r="D113">
            <v>712.77</v>
          </cell>
          <cell r="E113">
            <v>98.235537522228285</v>
          </cell>
        </row>
        <row r="114">
          <cell r="B114" t="str">
            <v>04/07/2005</v>
          </cell>
          <cell r="C114">
            <v>34.090000000000003</v>
          </cell>
          <cell r="D114">
            <v>719.15</v>
          </cell>
          <cell r="E114">
            <v>98.025394950189948</v>
          </cell>
        </row>
        <row r="115">
          <cell r="B115" t="str">
            <v>04/08/2005</v>
          </cell>
          <cell r="C115">
            <v>34.1</v>
          </cell>
          <cell r="D115">
            <v>714.1</v>
          </cell>
          <cell r="E115">
            <v>98.747572962170636</v>
          </cell>
        </row>
        <row r="116">
          <cell r="B116" t="str">
            <v>04/11/2005</v>
          </cell>
          <cell r="C116">
            <v>34</v>
          </cell>
          <cell r="D116">
            <v>715.76</v>
          </cell>
          <cell r="E116">
            <v>98.229645570744822</v>
          </cell>
        </row>
        <row r="117">
          <cell r="B117" t="str">
            <v>04/12/2005</v>
          </cell>
          <cell r="C117">
            <v>34.450000000000003</v>
          </cell>
          <cell r="D117">
            <v>726.38</v>
          </cell>
          <cell r="E117">
            <v>98.074574516479245</v>
          </cell>
        </row>
        <row r="118">
          <cell r="B118" t="str">
            <v>04/13/2005</v>
          </cell>
          <cell r="C118">
            <v>34.35</v>
          </cell>
          <cell r="D118">
            <v>726.26</v>
          </cell>
          <cell r="E118">
            <v>97.806045629265611</v>
          </cell>
        </row>
        <row r="119">
          <cell r="B119" t="str">
            <v>04/14/2005</v>
          </cell>
          <cell r="C119">
            <v>34.160000000000004</v>
          </cell>
          <cell r="D119">
            <v>721.37</v>
          </cell>
          <cell r="E119">
            <v>97.924388726212513</v>
          </cell>
        </row>
        <row r="120">
          <cell r="B120" t="str">
            <v>04/15/2005</v>
          </cell>
          <cell r="C120">
            <v>34.160000000000004</v>
          </cell>
          <cell r="D120">
            <v>720.68000000000006</v>
          </cell>
          <cell r="E120">
            <v>98.018144385063991</v>
          </cell>
        </row>
        <row r="121">
          <cell r="B121" t="str">
            <v>04/18/2005</v>
          </cell>
          <cell r="C121">
            <v>34</v>
          </cell>
          <cell r="D121">
            <v>723.29</v>
          </cell>
          <cell r="E121">
            <v>97.207000115743767</v>
          </cell>
        </row>
        <row r="122">
          <cell r="B122" t="str">
            <v>04/19/2005</v>
          </cell>
          <cell r="C122">
            <v>34.44</v>
          </cell>
          <cell r="D122">
            <v>727.66</v>
          </cell>
          <cell r="E122">
            <v>97.873636538250324</v>
          </cell>
        </row>
        <row r="123">
          <cell r="B123" t="str">
            <v>04/20/2005</v>
          </cell>
          <cell r="C123">
            <v>34.24</v>
          </cell>
          <cell r="D123">
            <v>723.90000000000009</v>
          </cell>
          <cell r="E123">
            <v>97.810676731984671</v>
          </cell>
        </row>
        <row r="124">
          <cell r="B124" t="str">
            <v>04/21/2005</v>
          </cell>
          <cell r="C124">
            <v>34.21</v>
          </cell>
          <cell r="D124">
            <v>727.94</v>
          </cell>
          <cell r="E124">
            <v>97.182613491102003</v>
          </cell>
        </row>
        <row r="125">
          <cell r="B125" t="str">
            <v>04/22/2005</v>
          </cell>
          <cell r="C125">
            <v>34.270000000000003</v>
          </cell>
          <cell r="D125">
            <v>731.09</v>
          </cell>
          <cell r="E125">
            <v>96.933600661826389</v>
          </cell>
        </row>
        <row r="126">
          <cell r="B126" t="str">
            <v>04/25/2005</v>
          </cell>
          <cell r="C126">
            <v>34.700000000000003</v>
          </cell>
          <cell r="D126">
            <v>740.64</v>
          </cell>
          <cell r="E126">
            <v>96.884297747494855</v>
          </cell>
        </row>
        <row r="127">
          <cell r="B127" t="str">
            <v>04/26/2005</v>
          </cell>
          <cell r="C127">
            <v>34.49</v>
          </cell>
          <cell r="D127">
            <v>740.6</v>
          </cell>
          <cell r="E127">
            <v>96.303167340950722</v>
          </cell>
        </row>
        <row r="128">
          <cell r="B128" t="str">
            <v>04/27/2005</v>
          </cell>
          <cell r="C128">
            <v>35.090000000000003</v>
          </cell>
          <cell r="D128">
            <v>747.42</v>
          </cell>
          <cell r="E128">
            <v>97.084464108702761</v>
          </cell>
        </row>
        <row r="129">
          <cell r="B129" t="str">
            <v>04/28/2005</v>
          </cell>
          <cell r="C129">
            <v>35.06</v>
          </cell>
          <cell r="D129">
            <v>743.21</v>
          </cell>
          <cell r="E129">
            <v>97.550938419229695</v>
          </cell>
        </row>
        <row r="130">
          <cell r="B130" t="str">
            <v>04/29/2005</v>
          </cell>
          <cell r="C130">
            <v>35.69</v>
          </cell>
          <cell r="D130">
            <v>754.62</v>
          </cell>
          <cell r="E130">
            <v>97.802356941964362</v>
          </cell>
        </row>
        <row r="131">
          <cell r="B131" t="str">
            <v>05/02/2005</v>
          </cell>
          <cell r="C131">
            <v>35.65</v>
          </cell>
          <cell r="D131">
            <v>752.88</v>
          </cell>
          <cell r="E131">
            <v>97.918523934912912</v>
          </cell>
        </row>
        <row r="132">
          <cell r="B132" t="str">
            <v>05/03/2005</v>
          </cell>
          <cell r="C132">
            <v>35.21</v>
          </cell>
          <cell r="D132">
            <v>751.28</v>
          </cell>
          <cell r="E132">
            <v>96.915955503155061</v>
          </cell>
        </row>
        <row r="133">
          <cell r="B133" t="str">
            <v>05/04/2005</v>
          </cell>
          <cell r="C133">
            <v>35.29</v>
          </cell>
          <cell r="D133">
            <v>757.85</v>
          </cell>
          <cell r="E133">
            <v>96.294057717577516</v>
          </cell>
        </row>
        <row r="134">
          <cell r="B134" t="str">
            <v>05/05/2005</v>
          </cell>
          <cell r="C134">
            <v>34.9</v>
          </cell>
          <cell r="D134">
            <v>763.47</v>
          </cell>
          <cell r="E134">
            <v>94.528884908174632</v>
          </cell>
        </row>
        <row r="135">
          <cell r="B135" t="str">
            <v>05/06/2005</v>
          </cell>
          <cell r="C135">
            <v>34.07</v>
          </cell>
          <cell r="D135">
            <v>756.02</v>
          </cell>
          <cell r="E135">
            <v>93.1901333704335</v>
          </cell>
        </row>
        <row r="136">
          <cell r="B136" t="str">
            <v>05/09/2005</v>
          </cell>
          <cell r="C136">
            <v>34.700000000000003</v>
          </cell>
          <cell r="D136">
            <v>770.42000000000007</v>
          </cell>
          <cell r="E136">
            <v>93.139308797415168</v>
          </cell>
        </row>
        <row r="137">
          <cell r="B137" t="str">
            <v>05/10/2005</v>
          </cell>
          <cell r="C137">
            <v>34.869999999999997</v>
          </cell>
          <cell r="D137">
            <v>769.15</v>
          </cell>
          <cell r="E137">
            <v>93.750153467169156</v>
          </cell>
        </row>
        <row r="138">
          <cell r="B138" t="str">
            <v>05/11/2005</v>
          </cell>
          <cell r="C138">
            <v>34.03</v>
          </cell>
          <cell r="D138">
            <v>770.7</v>
          </cell>
          <cell r="E138">
            <v>91.307757019965251</v>
          </cell>
        </row>
        <row r="139">
          <cell r="B139" t="str">
            <v>05/12/2005</v>
          </cell>
          <cell r="C139">
            <v>33.380000000000003</v>
          </cell>
          <cell r="D139">
            <v>763.77</v>
          </cell>
          <cell r="E139">
            <v>90.376354837953627</v>
          </cell>
        </row>
        <row r="140">
          <cell r="B140" t="str">
            <v>05/13/2005</v>
          </cell>
          <cell r="C140">
            <v>33.01</v>
          </cell>
          <cell r="D140">
            <v>757.57</v>
          </cell>
          <cell r="E140">
            <v>90.106026904280441</v>
          </cell>
        </row>
        <row r="141">
          <cell r="B141" t="str">
            <v>05/16/2005</v>
          </cell>
          <cell r="C141">
            <v>33.300000000000004</v>
          </cell>
          <cell r="D141">
            <v>766.73</v>
          </cell>
          <cell r="E141">
            <v>89.811688526245263</v>
          </cell>
        </row>
        <row r="142">
          <cell r="B142" t="str">
            <v>05/17/2005</v>
          </cell>
          <cell r="C142">
            <v>33.64</v>
          </cell>
          <cell r="D142">
            <v>771.25</v>
          </cell>
          <cell r="E142">
            <v>90.196958774541585</v>
          </cell>
        </row>
        <row r="143">
          <cell r="B143" t="str">
            <v>05/18/2005</v>
          </cell>
          <cell r="C143">
            <v>34.44</v>
          </cell>
          <cell r="D143">
            <v>780</v>
          </cell>
          <cell r="E143">
            <v>91.306064568491308</v>
          </cell>
        </row>
        <row r="144">
          <cell r="B144" t="str">
            <v>05/19/2005</v>
          </cell>
          <cell r="C144">
            <v>34.51</v>
          </cell>
          <cell r="D144">
            <v>789.47</v>
          </cell>
          <cell r="E144">
            <v>90.394168087985676</v>
          </cell>
        </row>
        <row r="145">
          <cell r="B145" t="str">
            <v>05/20/2005</v>
          </cell>
          <cell r="C145">
            <v>34.6</v>
          </cell>
          <cell r="D145">
            <v>792.18000000000006</v>
          </cell>
          <cell r="E145">
            <v>90.319871172126071</v>
          </cell>
        </row>
        <row r="146">
          <cell r="B146" t="str">
            <v>05/23/2005</v>
          </cell>
          <cell r="C146">
            <v>34.980000000000004</v>
          </cell>
          <cell r="D146">
            <v>792.88</v>
          </cell>
          <cell r="E146">
            <v>91.231208192538475</v>
          </cell>
        </row>
        <row r="147">
          <cell r="B147" t="str">
            <v>05/24/2005</v>
          </cell>
          <cell r="C147">
            <v>34.69</v>
          </cell>
          <cell r="D147">
            <v>782.79</v>
          </cell>
          <cell r="E147">
            <v>91.641062366468148</v>
          </cell>
        </row>
        <row r="148">
          <cell r="B148" t="str">
            <v>05/25/2005</v>
          </cell>
          <cell r="C148">
            <v>34.14</v>
          </cell>
          <cell r="D148">
            <v>772.31000000000006</v>
          </cell>
          <cell r="E148">
            <v>91.411943581869906</v>
          </cell>
        </row>
        <row r="149">
          <cell r="B149" t="str">
            <v>05/26/2005</v>
          </cell>
          <cell r="C149">
            <v>33.79</v>
          </cell>
          <cell r="D149">
            <v>769.57</v>
          </cell>
          <cell r="E149">
            <v>90.796926287043178</v>
          </cell>
        </row>
        <row r="150">
          <cell r="B150" t="str">
            <v>05/27/2005</v>
          </cell>
          <cell r="C150">
            <v>33.93</v>
          </cell>
          <cell r="D150">
            <v>774</v>
          </cell>
          <cell r="E150">
            <v>90.651288884647897</v>
          </cell>
        </row>
        <row r="151">
          <cell r="B151" t="str">
            <v>05/30/2005</v>
          </cell>
          <cell r="C151">
            <v>33.93</v>
          </cell>
          <cell r="D151">
            <v>774</v>
          </cell>
          <cell r="E151">
            <v>90.651288884647897</v>
          </cell>
        </row>
        <row r="152">
          <cell r="B152" t="str">
            <v>05/31/2005</v>
          </cell>
          <cell r="C152">
            <v>34.300000000000004</v>
          </cell>
          <cell r="D152">
            <v>779.25</v>
          </cell>
          <cell r="E152">
            <v>91.022423265223722</v>
          </cell>
        </row>
        <row r="153">
          <cell r="B153" t="str">
            <v>06/01/2005</v>
          </cell>
          <cell r="C153">
            <v>34.550000000000004</v>
          </cell>
          <cell r="D153">
            <v>789.96</v>
          </cell>
          <cell r="E153">
            <v>90.442807453352017</v>
          </cell>
        </row>
        <row r="154">
          <cell r="B154" t="str">
            <v>06/02/2005</v>
          </cell>
          <cell r="C154">
            <v>34.46</v>
          </cell>
          <cell r="D154">
            <v>787.5</v>
          </cell>
          <cell r="E154">
            <v>90.489001283983711</v>
          </cell>
        </row>
        <row r="155">
          <cell r="B155" t="str">
            <v>06/03/2005</v>
          </cell>
          <cell r="C155">
            <v>34.31</v>
          </cell>
          <cell r="D155">
            <v>785.69</v>
          </cell>
          <cell r="E155">
            <v>90.302666959338339</v>
          </cell>
        </row>
        <row r="156">
          <cell r="B156" t="str">
            <v>06/06/2005</v>
          </cell>
          <cell r="C156">
            <v>35.520000000000003</v>
          </cell>
          <cell r="D156">
            <v>793.05000000000007</v>
          </cell>
          <cell r="E156">
            <v>92.61972175774109</v>
          </cell>
        </row>
        <row r="157">
          <cell r="B157" t="str">
            <v>06/07/2005</v>
          </cell>
          <cell r="C157">
            <v>35.58</v>
          </cell>
          <cell r="D157">
            <v>800.04</v>
          </cell>
          <cell r="E157">
            <v>91.965582699763033</v>
          </cell>
        </row>
        <row r="158">
          <cell r="B158" t="str">
            <v>06/08/2005</v>
          </cell>
          <cell r="C158">
            <v>35.5</v>
          </cell>
          <cell r="D158">
            <v>803.75</v>
          </cell>
          <cell r="E158">
            <v>91.335256226765296</v>
          </cell>
        </row>
        <row r="159">
          <cell r="B159" t="str">
            <v>06/09/2005</v>
          </cell>
          <cell r="C159">
            <v>35.17</v>
          </cell>
          <cell r="D159">
            <v>803.67000000000007</v>
          </cell>
          <cell r="E159">
            <v>90.495231568905666</v>
          </cell>
        </row>
        <row r="160">
          <cell r="B160" t="str">
            <v>06/10/2005</v>
          </cell>
          <cell r="C160">
            <v>35.08</v>
          </cell>
          <cell r="D160">
            <v>803.39</v>
          </cell>
          <cell r="E160">
            <v>90.295113320142946</v>
          </cell>
        </row>
        <row r="161">
          <cell r="B161" t="str">
            <v>06/13/2005</v>
          </cell>
          <cell r="C161">
            <v>35.300000000000004</v>
          </cell>
          <cell r="D161">
            <v>807.38</v>
          </cell>
          <cell r="E161">
            <v>90.412359378635969</v>
          </cell>
        </row>
        <row r="162">
          <cell r="B162" t="str">
            <v>06/14/2005</v>
          </cell>
          <cell r="C162">
            <v>35.78</v>
          </cell>
          <cell r="D162">
            <v>815.24</v>
          </cell>
          <cell r="E162">
            <v>90.75821385145224</v>
          </cell>
        </row>
        <row r="163">
          <cell r="B163" t="str">
            <v>06/15/2005</v>
          </cell>
          <cell r="C163">
            <v>36.11</v>
          </cell>
          <cell r="D163">
            <v>815.43000000000006</v>
          </cell>
          <cell r="E163">
            <v>91.573937306130631</v>
          </cell>
        </row>
        <row r="164">
          <cell r="B164" t="str">
            <v>06/16/2005</v>
          </cell>
          <cell r="C164">
            <v>36.380000000000003</v>
          </cell>
          <cell r="D164">
            <v>816.12</v>
          </cell>
          <cell r="E164">
            <v>92.180648301323899</v>
          </cell>
        </row>
        <row r="165">
          <cell r="B165" t="str">
            <v>06/17/2005</v>
          </cell>
          <cell r="C165">
            <v>37.28</v>
          </cell>
          <cell r="D165">
            <v>826.04</v>
          </cell>
          <cell r="E165">
            <v>93.326700085715274</v>
          </cell>
        </row>
        <row r="166">
          <cell r="B166" t="str">
            <v>06/20/2005</v>
          </cell>
          <cell r="C166">
            <v>36.97</v>
          </cell>
          <cell r="D166">
            <v>824.15</v>
          </cell>
          <cell r="E166">
            <v>92.762890310305153</v>
          </cell>
        </row>
        <row r="167">
          <cell r="B167" t="str">
            <v>06/21/2005</v>
          </cell>
          <cell r="C167">
            <v>36.68</v>
          </cell>
          <cell r="D167">
            <v>816.33</v>
          </cell>
          <cell r="E167">
            <v>92.916887664774919</v>
          </cell>
        </row>
        <row r="168">
          <cell r="B168" t="str">
            <v>06/22/2005</v>
          </cell>
          <cell r="C168">
            <v>36.42</v>
          </cell>
          <cell r="D168">
            <v>815.83</v>
          </cell>
          <cell r="E168">
            <v>92.314804539063715</v>
          </cell>
        </row>
        <row r="169">
          <cell r="B169" t="str">
            <v>06/23/2005</v>
          </cell>
          <cell r="C169">
            <v>36.450000000000003</v>
          </cell>
          <cell r="D169">
            <v>814.42000000000007</v>
          </cell>
          <cell r="E169">
            <v>92.550802053823901</v>
          </cell>
        </row>
        <row r="170">
          <cell r="B170" t="str">
            <v>06/24/2005</v>
          </cell>
          <cell r="C170">
            <v>36.31</v>
          </cell>
          <cell r="D170">
            <v>810.6</v>
          </cell>
          <cell r="E170">
            <v>92.62980159718434</v>
          </cell>
        </row>
        <row r="171">
          <cell r="B171" t="str">
            <v>06/27/2005</v>
          </cell>
          <cell r="C171">
            <v>36.200000000000003</v>
          </cell>
          <cell r="D171">
            <v>809.28</v>
          </cell>
          <cell r="E171">
            <v>92.499811390681714</v>
          </cell>
        </row>
        <row r="172">
          <cell r="B172" t="str">
            <v>06/28/2005</v>
          </cell>
          <cell r="C172">
            <v>35.450000000000003</v>
          </cell>
          <cell r="D172">
            <v>812.61</v>
          </cell>
          <cell r="E172">
            <v>90.212176595141273</v>
          </cell>
        </row>
        <row r="173">
          <cell r="B173" t="str">
            <v>06/29/2005</v>
          </cell>
          <cell r="C173">
            <v>35.520000000000003</v>
          </cell>
          <cell r="D173">
            <v>814.42000000000007</v>
          </cell>
          <cell r="E173">
            <v>90.189423565207832</v>
          </cell>
        </row>
        <row r="174">
          <cell r="B174" t="str">
            <v>06/30/2005</v>
          </cell>
          <cell r="C174">
            <v>35.980000000000004</v>
          </cell>
          <cell r="D174">
            <v>815.23</v>
          </cell>
          <cell r="E174">
            <v>91.266645900417586</v>
          </cell>
        </row>
        <row r="175">
          <cell r="B175" t="str">
            <v>07/01/2005</v>
          </cell>
          <cell r="C175">
            <v>36.1</v>
          </cell>
          <cell r="D175">
            <v>822.42000000000007</v>
          </cell>
          <cell r="E175">
            <v>90.770478130007945</v>
          </cell>
        </row>
        <row r="176">
          <cell r="B176" t="str">
            <v>07/04/2005</v>
          </cell>
          <cell r="C176">
            <v>36.1</v>
          </cell>
          <cell r="D176">
            <v>822.42000000000007</v>
          </cell>
          <cell r="E176">
            <v>90.770478130007945</v>
          </cell>
        </row>
        <row r="177">
          <cell r="B177" t="str">
            <v>07/05/2005</v>
          </cell>
          <cell r="C177">
            <v>36.92</v>
          </cell>
          <cell r="D177">
            <v>831.96</v>
          </cell>
          <cell r="E177">
            <v>91.767802153893356</v>
          </cell>
        </row>
        <row r="178">
          <cell r="B178" t="str">
            <v>07/06/2005</v>
          </cell>
          <cell r="C178">
            <v>36.5</v>
          </cell>
          <cell r="D178">
            <v>827.47</v>
          </cell>
          <cell r="E178">
            <v>91.216140256396187</v>
          </cell>
        </row>
        <row r="179">
          <cell r="B179" t="str">
            <v>07/07/2005</v>
          </cell>
          <cell r="C179">
            <v>36.550000000000004</v>
          </cell>
          <cell r="D179">
            <v>831.39</v>
          </cell>
          <cell r="E179">
            <v>90.910421038555967</v>
          </cell>
        </row>
        <row r="180">
          <cell r="B180" t="str">
            <v>07/08/2005</v>
          </cell>
          <cell r="C180">
            <v>36.99</v>
          </cell>
          <cell r="D180">
            <v>844.19</v>
          </cell>
          <cell r="E180">
            <v>90.609808451831881</v>
          </cell>
        </row>
        <row r="181">
          <cell r="B181" t="str">
            <v>07/11/2005</v>
          </cell>
          <cell r="C181">
            <v>37.89</v>
          </cell>
          <cell r="D181">
            <v>854.94</v>
          </cell>
          <cell r="E181">
            <v>91.647379750719026</v>
          </cell>
        </row>
        <row r="182">
          <cell r="B182" t="str">
            <v>07/12/2005</v>
          </cell>
          <cell r="C182">
            <v>37.520000000000003</v>
          </cell>
          <cell r="D182">
            <v>855.23</v>
          </cell>
          <cell r="E182">
            <v>90.721659800722193</v>
          </cell>
        </row>
        <row r="183">
          <cell r="B183" t="str">
            <v>07/13/2005</v>
          </cell>
          <cell r="C183">
            <v>37.46</v>
          </cell>
          <cell r="D183">
            <v>849.33</v>
          </cell>
          <cell r="E183">
            <v>91.205786523765539</v>
          </cell>
        </row>
        <row r="184">
          <cell r="B184" t="str">
            <v>07/14/2005</v>
          </cell>
          <cell r="C184">
            <v>36.730000000000004</v>
          </cell>
          <cell r="D184">
            <v>834.35</v>
          </cell>
          <cell r="E184">
            <v>91.034024422209598</v>
          </cell>
        </row>
        <row r="185">
          <cell r="B185" t="str">
            <v>07/15/2005</v>
          </cell>
          <cell r="C185">
            <v>37.21</v>
          </cell>
          <cell r="D185">
            <v>838.87</v>
          </cell>
          <cell r="E185">
            <v>91.7267679399733</v>
          </cell>
        </row>
        <row r="186">
          <cell r="B186" t="str">
            <v>07/18/2005</v>
          </cell>
          <cell r="C186">
            <v>37.76</v>
          </cell>
          <cell r="D186">
            <v>840.43000000000006</v>
          </cell>
          <cell r="E186">
            <v>92.909799607271324</v>
          </cell>
        </row>
        <row r="187">
          <cell r="B187" t="str">
            <v>07/19/2005</v>
          </cell>
          <cell r="C187">
            <v>38.17</v>
          </cell>
          <cell r="D187">
            <v>846.89</v>
          </cell>
          <cell r="E187">
            <v>93.202216240686568</v>
          </cell>
        </row>
        <row r="188">
          <cell r="B188" t="str">
            <v>07/20/2005</v>
          </cell>
          <cell r="C188">
            <v>38.65</v>
          </cell>
          <cell r="D188">
            <v>854.49</v>
          </cell>
          <cell r="E188">
            <v>93.534880990075791</v>
          </cell>
        </row>
        <row r="189">
          <cell r="B189" t="str">
            <v>07/21/2005</v>
          </cell>
          <cell r="C189">
            <v>38.270000000000003</v>
          </cell>
          <cell r="D189">
            <v>841.92000000000007</v>
          </cell>
          <cell r="E189">
            <v>93.998023150233763</v>
          </cell>
        </row>
        <row r="190">
          <cell r="B190" t="str">
            <v>07/22/2005</v>
          </cell>
          <cell r="C190">
            <v>39.15</v>
          </cell>
          <cell r="D190">
            <v>849.13</v>
          </cell>
          <cell r="E190">
            <v>95.342967684640314</v>
          </cell>
        </row>
        <row r="191">
          <cell r="B191" t="str">
            <v>07/25/2005</v>
          </cell>
          <cell r="C191">
            <v>39.68</v>
          </cell>
          <cell r="D191">
            <v>851.64</v>
          </cell>
          <cell r="E191">
            <v>96.34888575510584</v>
          </cell>
        </row>
        <row r="192">
          <cell r="B192" t="str">
            <v>07/26/2005</v>
          </cell>
          <cell r="C192">
            <v>40.15</v>
          </cell>
          <cell r="D192">
            <v>859.25</v>
          </cell>
          <cell r="E192">
            <v>96.626687850749121</v>
          </cell>
        </row>
        <row r="193">
          <cell r="B193" t="str">
            <v>07/27/2005</v>
          </cell>
          <cell r="C193">
            <v>39.900000000000006</v>
          </cell>
          <cell r="D193">
            <v>861.62</v>
          </cell>
          <cell r="E193">
            <v>95.760897715154925</v>
          </cell>
        </row>
        <row r="194">
          <cell r="B194" t="str">
            <v>07/28/2005</v>
          </cell>
          <cell r="C194">
            <v>40.200000000000003</v>
          </cell>
          <cell r="D194">
            <v>872.48</v>
          </cell>
          <cell r="E194">
            <v>95.279979948011473</v>
          </cell>
        </row>
        <row r="195">
          <cell r="B195" t="str">
            <v>07/29/2005</v>
          </cell>
          <cell r="C195">
            <v>39.93</v>
          </cell>
          <cell r="D195">
            <v>871.44</v>
          </cell>
          <cell r="E195">
            <v>94.752985760239028</v>
          </cell>
        </row>
        <row r="196">
          <cell r="B196" t="str">
            <v>08/01/2005</v>
          </cell>
          <cell r="C196">
            <v>39.950000000000003</v>
          </cell>
          <cell r="D196">
            <v>871.69</v>
          </cell>
          <cell r="E196">
            <v>94.773256614870732</v>
          </cell>
        </row>
        <row r="197">
          <cell r="B197" t="str">
            <v>08/02/2005</v>
          </cell>
          <cell r="C197">
            <v>40.400000000000006</v>
          </cell>
          <cell r="D197">
            <v>878.72</v>
          </cell>
          <cell r="E197">
            <v>95.074037670908325</v>
          </cell>
        </row>
        <row r="198">
          <cell r="B198" t="str">
            <v>08/03/2005</v>
          </cell>
          <cell r="C198">
            <v>39.900000000000006</v>
          </cell>
          <cell r="D198">
            <v>875.74</v>
          </cell>
          <cell r="E198">
            <v>94.216896212725004</v>
          </cell>
        </row>
        <row r="199">
          <cell r="B199" t="str">
            <v>08/04/2005</v>
          </cell>
          <cell r="C199">
            <v>39.25</v>
          </cell>
          <cell r="D199">
            <v>858.7</v>
          </cell>
          <cell r="E199">
            <v>94.521212167961309</v>
          </cell>
        </row>
        <row r="200">
          <cell r="B200" t="str">
            <v>08/05/2005</v>
          </cell>
          <cell r="C200">
            <v>38.200000000000003</v>
          </cell>
          <cell r="D200">
            <v>829.16</v>
          </cell>
          <cell r="E200">
            <v>95.269986653536094</v>
          </cell>
        </row>
        <row r="201">
          <cell r="B201" t="str">
            <v>08/08/2005</v>
          </cell>
          <cell r="C201">
            <v>36.92</v>
          </cell>
          <cell r="D201">
            <v>798.97</v>
          </cell>
          <cell r="E201">
            <v>95.556955430057599</v>
          </cell>
        </row>
        <row r="202">
          <cell r="B202" t="str">
            <v>08/09/2005</v>
          </cell>
          <cell r="C202">
            <v>37.1</v>
          </cell>
          <cell r="D202">
            <v>806.11</v>
          </cell>
          <cell r="E202">
            <v>95.172326369079485</v>
          </cell>
        </row>
        <row r="203">
          <cell r="B203" t="str">
            <v>08/10/2005</v>
          </cell>
          <cell r="C203">
            <v>37.450000000000003</v>
          </cell>
          <cell r="D203">
            <v>809.81000000000006</v>
          </cell>
          <cell r="E203">
            <v>95.631236455925233</v>
          </cell>
        </row>
        <row r="204">
          <cell r="B204" t="str">
            <v>08/11/2005</v>
          </cell>
          <cell r="C204">
            <v>37.75</v>
          </cell>
          <cell r="D204">
            <v>818.91</v>
          </cell>
          <cell r="E204">
            <v>95.32610886432218</v>
          </cell>
        </row>
        <row r="205">
          <cell r="B205" t="str">
            <v>08/12/2005</v>
          </cell>
          <cell r="C205">
            <v>38.300000000000004</v>
          </cell>
          <cell r="D205">
            <v>820.21</v>
          </cell>
          <cell r="E205">
            <v>96.561676731831753</v>
          </cell>
        </row>
        <row r="206">
          <cell r="B206" t="str">
            <v>08/15/2005</v>
          </cell>
          <cell r="C206">
            <v>38.5</v>
          </cell>
          <cell r="D206">
            <v>826.91</v>
          </cell>
          <cell r="E206">
            <v>96.279443167158746</v>
          </cell>
        </row>
        <row r="207">
          <cell r="B207" t="str">
            <v>08/16/2005</v>
          </cell>
          <cell r="C207">
            <v>38.85</v>
          </cell>
          <cell r="D207">
            <v>830.89</v>
          </cell>
          <cell r="E207">
            <v>96.68933545276677</v>
          </cell>
        </row>
        <row r="208">
          <cell r="B208" t="str">
            <v>08/17/2005</v>
          </cell>
          <cell r="C208">
            <v>38.68</v>
          </cell>
          <cell r="D208">
            <v>823.80000000000007</v>
          </cell>
          <cell r="E208">
            <v>97.094753191042471</v>
          </cell>
        </row>
        <row r="209">
          <cell r="B209" t="str">
            <v>08/18/2005</v>
          </cell>
          <cell r="C209">
            <v>38.19</v>
          </cell>
          <cell r="D209">
            <v>817.78</v>
          </cell>
          <cell r="E209">
            <v>96.570450561017608</v>
          </cell>
        </row>
        <row r="210">
          <cell r="B210" t="str">
            <v>08/19/2005</v>
          </cell>
          <cell r="C210">
            <v>37.950000000000003</v>
          </cell>
          <cell r="D210">
            <v>814.55000000000007</v>
          </cell>
          <cell r="E210">
            <v>96.34409832081711</v>
          </cell>
        </row>
        <row r="211">
          <cell r="B211" t="str">
            <v>08/22/2005</v>
          </cell>
          <cell r="C211">
            <v>38.400000000000006</v>
          </cell>
          <cell r="D211">
            <v>819.69</v>
          </cell>
          <cell r="E211">
            <v>96.875213325507787</v>
          </cell>
        </row>
        <row r="212">
          <cell r="B212" t="str">
            <v>08/23/2005</v>
          </cell>
          <cell r="C212">
            <v>38.24</v>
          </cell>
          <cell r="D212">
            <v>820.64</v>
          </cell>
          <cell r="E212">
            <v>96.359887927804976</v>
          </cell>
        </row>
        <row r="213">
          <cell r="B213" t="str">
            <v>08/24/2005</v>
          </cell>
          <cell r="C213">
            <v>38.18</v>
          </cell>
          <cell r="D213">
            <v>823.6</v>
          </cell>
          <cell r="E213">
            <v>95.862923732311828</v>
          </cell>
        </row>
        <row r="214">
          <cell r="B214" t="str">
            <v>08/25/2005</v>
          </cell>
          <cell r="C214">
            <v>38.28</v>
          </cell>
          <cell r="D214">
            <v>827.05000000000007</v>
          </cell>
          <cell r="E214">
            <v>95.713070218852252</v>
          </cell>
        </row>
        <row r="215">
          <cell r="B215" t="str">
            <v>08/26/2005</v>
          </cell>
          <cell r="C215">
            <v>37.910000000000004</v>
          </cell>
          <cell r="D215">
            <v>817.1</v>
          </cell>
          <cell r="E215">
            <v>95.942196783494921</v>
          </cell>
        </row>
        <row r="216">
          <cell r="B216" t="str">
            <v>08/29/2005</v>
          </cell>
          <cell r="C216">
            <v>37.56</v>
          </cell>
          <cell r="D216">
            <v>815.77</v>
          </cell>
          <cell r="E216">
            <v>95.211397093297805</v>
          </cell>
        </row>
        <row r="217">
          <cell r="B217" t="str">
            <v>08/30/2005</v>
          </cell>
          <cell r="C217">
            <v>37.5</v>
          </cell>
          <cell r="D217">
            <v>817.24</v>
          </cell>
          <cell r="E217">
            <v>94.8883155054301</v>
          </cell>
        </row>
        <row r="218">
          <cell r="B218" t="str">
            <v>08/31/2005</v>
          </cell>
          <cell r="C218">
            <v>38.15</v>
          </cell>
          <cell r="D218">
            <v>834.75</v>
          </cell>
          <cell r="E218">
            <v>94.508136285547877</v>
          </cell>
        </row>
        <row r="219">
          <cell r="B219" t="str">
            <v>09/01/2005</v>
          </cell>
          <cell r="C219">
            <v>38.51</v>
          </cell>
          <cell r="D219">
            <v>839.34</v>
          </cell>
          <cell r="E219">
            <v>94.878253655505759</v>
          </cell>
        </row>
        <row r="220">
          <cell r="B220" t="str">
            <v>09/02/2005</v>
          </cell>
          <cell r="C220">
            <v>38.46</v>
          </cell>
          <cell r="D220">
            <v>837.13</v>
          </cell>
          <cell r="E220">
            <v>95.005217891996864</v>
          </cell>
        </row>
        <row r="221">
          <cell r="B221" t="str">
            <v>09/05/2005</v>
          </cell>
          <cell r="C221">
            <v>38.46</v>
          </cell>
          <cell r="D221">
            <v>837.13</v>
          </cell>
          <cell r="E221">
            <v>95.005217891996864</v>
          </cell>
        </row>
        <row r="222">
          <cell r="B222" t="str">
            <v>09/06/2005</v>
          </cell>
          <cell r="C222">
            <v>39.07</v>
          </cell>
          <cell r="D222">
            <v>856.63</v>
          </cell>
          <cell r="E222">
            <v>94.315097018786204</v>
          </cell>
        </row>
        <row r="223">
          <cell r="B223" t="str">
            <v>09/07/2005</v>
          </cell>
          <cell r="C223">
            <v>38.67</v>
          </cell>
          <cell r="D223">
            <v>850.69</v>
          </cell>
          <cell r="E223">
            <v>94.001314938372147</v>
          </cell>
        </row>
        <row r="224">
          <cell r="B224" t="str">
            <v>09/08/2005</v>
          </cell>
          <cell r="C224">
            <v>38.57</v>
          </cell>
          <cell r="D224">
            <v>848.55000000000007</v>
          </cell>
          <cell r="E224">
            <v>93.994682536508222</v>
          </cell>
        </row>
        <row r="225">
          <cell r="B225" t="str">
            <v>09/09/2005</v>
          </cell>
          <cell r="C225">
            <v>38.81</v>
          </cell>
          <cell r="D225">
            <v>852.01</v>
          </cell>
          <cell r="E225">
            <v>94.195473807726984</v>
          </cell>
        </row>
        <row r="226">
          <cell r="B226" t="str">
            <v>09/12/2005</v>
          </cell>
          <cell r="C226">
            <v>38.910000000000004</v>
          </cell>
          <cell r="D226">
            <v>849.51</v>
          </cell>
          <cell r="E226">
            <v>94.716102667998285</v>
          </cell>
        </row>
        <row r="227">
          <cell r="B227" t="str">
            <v>09/13/2005</v>
          </cell>
          <cell r="C227">
            <v>38.700000000000003</v>
          </cell>
          <cell r="D227">
            <v>843.44</v>
          </cell>
          <cell r="E227">
            <v>94.882879430065842</v>
          </cell>
        </row>
        <row r="228">
          <cell r="B228" t="str">
            <v>09/14/2005</v>
          </cell>
          <cell r="C228">
            <v>38.68</v>
          </cell>
          <cell r="D228">
            <v>841.79</v>
          </cell>
          <cell r="E228">
            <v>95.01972900459829</v>
          </cell>
        </row>
        <row r="229">
          <cell r="B229" t="str">
            <v>09/15/2005</v>
          </cell>
          <cell r="C229">
            <v>38.68</v>
          </cell>
          <cell r="D229">
            <v>844.02</v>
          </cell>
          <cell r="E229">
            <v>94.76867571714034</v>
          </cell>
        </row>
        <row r="230">
          <cell r="B230" t="str">
            <v>09/16/2005</v>
          </cell>
          <cell r="C230">
            <v>38.520000000000003</v>
          </cell>
          <cell r="D230">
            <v>844.24</v>
          </cell>
          <cell r="E230">
            <v>94.352071090056384</v>
          </cell>
        </row>
        <row r="231">
          <cell r="B231" t="str">
            <v>09/19/2005</v>
          </cell>
          <cell r="C231">
            <v>38.22</v>
          </cell>
          <cell r="D231">
            <v>836.91</v>
          </cell>
          <cell r="E231">
            <v>94.437179961238257</v>
          </cell>
        </row>
        <row r="232">
          <cell r="B232" t="str">
            <v>09/20/2005</v>
          </cell>
          <cell r="C232">
            <v>38.090000000000003</v>
          </cell>
          <cell r="D232">
            <v>831.41</v>
          </cell>
          <cell r="E232">
            <v>94.738567399020027</v>
          </cell>
        </row>
        <row r="233">
          <cell r="B233" t="str">
            <v>09/21/2005</v>
          </cell>
          <cell r="C233">
            <v>37.46</v>
          </cell>
          <cell r="D233">
            <v>814.11</v>
          </cell>
          <cell r="E233">
            <v>95.151528255677718</v>
          </cell>
        </row>
        <row r="234">
          <cell r="B234" t="str">
            <v>09/22/2005</v>
          </cell>
          <cell r="C234">
            <v>38.050000000000004</v>
          </cell>
          <cell r="D234">
            <v>816.73</v>
          </cell>
          <cell r="E234">
            <v>96.340132021342839</v>
          </cell>
        </row>
        <row r="235">
          <cell r="B235" t="str">
            <v>09/23/2005</v>
          </cell>
          <cell r="C235">
            <v>38.520000000000003</v>
          </cell>
          <cell r="D235">
            <v>818.51</v>
          </cell>
          <cell r="E235">
            <v>97.318044369731808</v>
          </cell>
        </row>
        <row r="236">
          <cell r="B236" t="str">
            <v>09/26/2005</v>
          </cell>
          <cell r="C236">
            <v>38.68</v>
          </cell>
          <cell r="D236">
            <v>822.2</v>
          </cell>
          <cell r="E236">
            <v>97.283699439042536</v>
          </cell>
        </row>
        <row r="237">
          <cell r="B237" t="str">
            <v>09/27/2005</v>
          </cell>
          <cell r="C237">
            <v>38.97</v>
          </cell>
          <cell r="D237">
            <v>820.41</v>
          </cell>
          <cell r="E237">
            <v>98.226924124075836</v>
          </cell>
        </row>
        <row r="238">
          <cell r="B238" t="str">
            <v>09/28/2005</v>
          </cell>
          <cell r="C238">
            <v>38.68</v>
          </cell>
          <cell r="D238">
            <v>811.91</v>
          </cell>
          <cell r="E238">
            <v>98.516655391337451</v>
          </cell>
        </row>
        <row r="239">
          <cell r="B239" t="str">
            <v>09/29/2005</v>
          </cell>
          <cell r="C239">
            <v>40.400000000000006</v>
          </cell>
          <cell r="D239">
            <v>824.05000000000007</v>
          </cell>
          <cell r="E239">
            <v>101.38154041888301</v>
          </cell>
        </row>
        <row r="240">
          <cell r="B240" t="str">
            <v>09/30/2005</v>
          </cell>
          <cell r="C240">
            <v>41.17</v>
          </cell>
          <cell r="D240">
            <v>834.46</v>
          </cell>
          <cell r="E240">
            <v>102.02495873878637</v>
          </cell>
        </row>
        <row r="241">
          <cell r="B241" t="str">
            <v>10/03/2005</v>
          </cell>
          <cell r="C241">
            <v>41.21</v>
          </cell>
          <cell r="D241">
            <v>837.25</v>
          </cell>
          <cell r="E241">
            <v>101.78377230766864</v>
          </cell>
        </row>
        <row r="242">
          <cell r="B242" t="str">
            <v>10/04/2005</v>
          </cell>
          <cell r="C242">
            <v>40.85</v>
          </cell>
          <cell r="D242">
            <v>822.65</v>
          </cell>
          <cell r="E242">
            <v>102.68524488633615</v>
          </cell>
        </row>
        <row r="243">
          <cell r="B243" t="str">
            <v>10/05/2005</v>
          </cell>
          <cell r="C243">
            <v>40.5</v>
          </cell>
          <cell r="D243">
            <v>807.66</v>
          </cell>
          <cell r="E243">
            <v>103.69493242298778</v>
          </cell>
        </row>
        <row r="244">
          <cell r="B244" t="str">
            <v>10/06/2005</v>
          </cell>
          <cell r="C244">
            <v>39.86</v>
          </cell>
          <cell r="D244">
            <v>805.81000000000006</v>
          </cell>
          <cell r="E244">
            <v>102.29060000980859</v>
          </cell>
        </row>
        <row r="245">
          <cell r="B245" t="str">
            <v>10/07/2005</v>
          </cell>
          <cell r="C245">
            <v>40</v>
          </cell>
          <cell r="D245">
            <v>799.15</v>
          </cell>
          <cell r="E245">
            <v>103.50534371257152</v>
          </cell>
        </row>
        <row r="246">
          <cell r="B246" t="str">
            <v>10/10/2005</v>
          </cell>
          <cell r="C246">
            <v>39.61</v>
          </cell>
          <cell r="D246">
            <v>788.55000000000007</v>
          </cell>
          <cell r="E246">
            <v>103.87396049391857</v>
          </cell>
        </row>
        <row r="247">
          <cell r="B247" t="str">
            <v>10/11/2005</v>
          </cell>
          <cell r="C247">
            <v>39.47</v>
          </cell>
          <cell r="D247">
            <v>783.16</v>
          </cell>
          <cell r="E247">
            <v>104.21919469007845</v>
          </cell>
        </row>
        <row r="248">
          <cell r="B248" t="str">
            <v>10/12/2005</v>
          </cell>
          <cell r="C248">
            <v>39.43</v>
          </cell>
          <cell r="D248">
            <v>769.96</v>
          </cell>
          <cell r="E248">
            <v>105.89847293113141</v>
          </cell>
        </row>
        <row r="249">
          <cell r="B249" t="str">
            <v>10/13/2005</v>
          </cell>
          <cell r="C249">
            <v>39.5</v>
          </cell>
          <cell r="D249">
            <v>769.22</v>
          </cell>
          <cell r="E249">
            <v>106.18853089500114</v>
          </cell>
        </row>
        <row r="250">
          <cell r="B250" t="str">
            <v>10/14/2005</v>
          </cell>
          <cell r="C250">
            <v>40.15</v>
          </cell>
          <cell r="D250">
            <v>787.08</v>
          </cell>
          <cell r="E250">
            <v>105.48671232372335</v>
          </cell>
        </row>
        <row r="251">
          <cell r="B251" t="str">
            <v>10/17/2005</v>
          </cell>
          <cell r="C251">
            <v>40.619999999999997</v>
          </cell>
          <cell r="D251">
            <v>790.75</v>
          </cell>
          <cell r="E251">
            <v>106.22623839017895</v>
          </cell>
        </row>
        <row r="252">
          <cell r="B252" t="str">
            <v>10/18/2005</v>
          </cell>
          <cell r="C252">
            <v>40.6</v>
          </cell>
          <cell r="D252">
            <v>782.11</v>
          </cell>
          <cell r="E252">
            <v>107.34684361447886</v>
          </cell>
        </row>
        <row r="253">
          <cell r="B253" t="str">
            <v>10/19/2005</v>
          </cell>
          <cell r="C253">
            <v>40.85</v>
          </cell>
          <cell r="D253">
            <v>792.65</v>
          </cell>
          <cell r="E253">
            <v>106.57164789723643</v>
          </cell>
        </row>
        <row r="254">
          <cell r="B254" t="str">
            <v>10/20/2005</v>
          </cell>
          <cell r="C254">
            <v>40.480000000000004</v>
          </cell>
          <cell r="D254">
            <v>780.90000000000009</v>
          </cell>
          <cell r="E254">
            <v>107.19540398647247</v>
          </cell>
        </row>
        <row r="255">
          <cell r="B255" t="str">
            <v>10/21/2005</v>
          </cell>
          <cell r="C255">
            <v>40.94</v>
          </cell>
          <cell r="D255">
            <v>789.87</v>
          </cell>
          <cell r="E255">
            <v>107.18235705933536</v>
          </cell>
        </row>
        <row r="256">
          <cell r="B256" t="str">
            <v>10/24/2005</v>
          </cell>
          <cell r="C256">
            <v>41.550000000000004</v>
          </cell>
          <cell r="D256">
            <v>805.1</v>
          </cell>
          <cell r="E256">
            <v>106.721589710263</v>
          </cell>
        </row>
        <row r="257">
          <cell r="B257" t="str">
            <v>10/25/2005</v>
          </cell>
          <cell r="C257">
            <v>41.89</v>
          </cell>
          <cell r="D257">
            <v>800.33</v>
          </cell>
          <cell r="E257">
            <v>108.23615307044578</v>
          </cell>
        </row>
        <row r="258">
          <cell r="B258" t="str">
            <v>10/26/2005</v>
          </cell>
          <cell r="C258">
            <v>41.85</v>
          </cell>
          <cell r="D258">
            <v>793.37</v>
          </cell>
          <cell r="E258">
            <v>109.08141736067911</v>
          </cell>
        </row>
        <row r="259">
          <cell r="B259" t="str">
            <v>10/27/2005</v>
          </cell>
          <cell r="C259">
            <v>42.7</v>
          </cell>
          <cell r="D259">
            <v>783.88</v>
          </cell>
          <cell r="E259">
            <v>112.64434016595001</v>
          </cell>
        </row>
        <row r="260">
          <cell r="B260" t="str">
            <v>10/28/2005</v>
          </cell>
          <cell r="C260">
            <v>45.15</v>
          </cell>
          <cell r="D260">
            <v>806.40000000000009</v>
          </cell>
          <cell r="E260">
            <v>115.78127289712779</v>
          </cell>
        </row>
        <row r="261">
          <cell r="B261" t="str">
            <v>10/31/2005</v>
          </cell>
          <cell r="C261">
            <v>45.14</v>
          </cell>
          <cell r="D261">
            <v>812.27</v>
          </cell>
          <cell r="E261">
            <v>114.91910250333865</v>
          </cell>
        </row>
        <row r="262">
          <cell r="B262" t="str">
            <v>11/01/2005</v>
          </cell>
          <cell r="C262">
            <v>45.09</v>
          </cell>
          <cell r="D262">
            <v>794.12</v>
          </cell>
          <cell r="E262">
            <v>117.41543346232559</v>
          </cell>
        </row>
        <row r="263">
          <cell r="B263" t="str">
            <v>11/02/2005</v>
          </cell>
          <cell r="C263">
            <v>45.050000000000004</v>
          </cell>
          <cell r="D263">
            <v>801.27</v>
          </cell>
          <cell r="E263">
            <v>116.26446481919217</v>
          </cell>
        </row>
      </sheetData>
      <sheetData sheetId="6" refreshError="1"/>
      <sheetData sheetId="7" refreshError="1">
        <row r="1">
          <cell r="C1" t="str">
            <v>Peer</v>
          </cell>
          <cell r="E1" t="str">
            <v>Peer</v>
          </cell>
          <cell r="G1" t="str">
            <v>Peer</v>
          </cell>
          <cell r="I1" t="str">
            <v>Peer</v>
          </cell>
          <cell r="K1" t="str">
            <v>Peer</v>
          </cell>
          <cell r="M1" t="str">
            <v>Peer</v>
          </cell>
        </row>
        <row r="2">
          <cell r="C2" t="str">
            <v>Group</v>
          </cell>
          <cell r="E2" t="str">
            <v>Group</v>
          </cell>
          <cell r="G2" t="str">
            <v>Group</v>
          </cell>
          <cell r="I2" t="str">
            <v>Group</v>
          </cell>
          <cell r="K2" t="str">
            <v>Group</v>
          </cell>
          <cell r="M2" t="str">
            <v>Group</v>
          </cell>
        </row>
        <row r="3">
          <cell r="A3" t="str">
            <v>Performance Measure</v>
          </cell>
          <cell r="B3" t="str">
            <v>1Q04A</v>
          </cell>
          <cell r="C3" t="str">
            <v>1Q04A</v>
          </cell>
          <cell r="D3" t="str">
            <v>2Q04A</v>
          </cell>
          <cell r="E3" t="str">
            <v>2Q04A</v>
          </cell>
          <cell r="F3" t="str">
            <v>3Q04A</v>
          </cell>
          <cell r="G3" t="str">
            <v>3Q04A</v>
          </cell>
          <cell r="H3" t="str">
            <v>4Q04A</v>
          </cell>
          <cell r="I3" t="str">
            <v>4Q04A</v>
          </cell>
          <cell r="J3" t="str">
            <v>1Q05A</v>
          </cell>
          <cell r="K3" t="str">
            <v>1Q05A</v>
          </cell>
          <cell r="L3" t="str">
            <v>2Q05A</v>
          </cell>
          <cell r="M3" t="str">
            <v>2Q05A</v>
          </cell>
          <cell r="N3" t="str">
            <v>3Q05A</v>
          </cell>
          <cell r="O3" t="str">
            <v>Comments</v>
          </cell>
        </row>
        <row r="4">
          <cell r="A4" t="str">
            <v>FFOPS</v>
          </cell>
          <cell r="B4">
            <v>0.64645045583619787</v>
          </cell>
          <cell r="D4">
            <v>0.6072223046121904</v>
          </cell>
          <cell r="F4">
            <v>0.63631519744242493</v>
          </cell>
          <cell r="H4">
            <v>0.65648281751523896</v>
          </cell>
          <cell r="J4">
            <v>0.57732592159157403</v>
          </cell>
          <cell r="L4">
            <v>0.61613100614819782</v>
          </cell>
          <cell r="N4">
            <v>0.62558939167525063</v>
          </cell>
          <cell r="O4" t="str">
            <v xml:space="preserve">Excluding lease termination fees, which were in excess of our forecast by $0.02, results were essentially in-line with our estimate and consensus. </v>
          </cell>
        </row>
        <row r="6">
          <cell r="A6" t="str">
            <v>Morgan Stanley</v>
          </cell>
          <cell r="N6">
            <v>0.60360297129230756</v>
          </cell>
        </row>
        <row r="7">
          <cell r="A7" t="str">
            <v>Consensus</v>
          </cell>
          <cell r="N7">
            <v>0.61</v>
          </cell>
        </row>
        <row r="9">
          <cell r="A9" t="str">
            <v>FFO Y/Y Gowth per Share</v>
          </cell>
          <cell r="B9">
            <v>-9.2040052249732884E-2</v>
          </cell>
          <cell r="C9">
            <v>-5.8128833203113864E-2</v>
          </cell>
          <cell r="D9">
            <v>-9.0437350075866174E-2</v>
          </cell>
          <cell r="E9">
            <v>-4.2831536013661409E-2</v>
          </cell>
          <cell r="F9">
            <v>-3.3745245785382627E-3</v>
          </cell>
          <cell r="G9">
            <v>-2.6507982534848928E-2</v>
          </cell>
          <cell r="H9">
            <v>1.6536337208879148E-2</v>
          </cell>
          <cell r="I9">
            <v>5.7034587496215131E-3</v>
          </cell>
          <cell r="J9">
            <v>-0.10692936112978635</v>
          </cell>
          <cell r="K9">
            <v>5.7140292067586577E-3</v>
          </cell>
          <cell r="L9">
            <v>1.467123567158346E-2</v>
          </cell>
          <cell r="M9">
            <v>-1.1506923733220908E-2</v>
          </cell>
          <cell r="N9">
            <v>-1.6856120693463095E-2</v>
          </cell>
        </row>
        <row r="11">
          <cell r="A11" t="str">
            <v>Same-Store Y/Y NOI Growth</v>
          </cell>
          <cell r="B11">
            <v>-1.2E-2</v>
          </cell>
          <cell r="C11">
            <v>-1.5796046699189686E-2</v>
          </cell>
          <cell r="D11">
            <v>2E-3</v>
          </cell>
          <cell r="E11">
            <v>-1.0668168469818941E-2</v>
          </cell>
          <cell r="F11">
            <v>-1E-3</v>
          </cell>
          <cell r="G11">
            <v>-1.2694557846549857E-2</v>
          </cell>
          <cell r="H11">
            <v>1E-3</v>
          </cell>
          <cell r="I11">
            <v>-6.6204165847326499E-4</v>
          </cell>
          <cell r="J11">
            <v>3.0000000000000001E-3</v>
          </cell>
          <cell r="K11">
            <v>-1.6727555148094186E-3</v>
          </cell>
          <cell r="L11">
            <v>5.0000000000000001E-3</v>
          </cell>
          <cell r="M11">
            <v>-1.4748638644427694E-3</v>
          </cell>
          <cell r="N11">
            <v>1.6E-2</v>
          </cell>
        </row>
        <row r="12">
          <cell r="A12" t="str">
            <v>Same-Store Y/Y REV Growth</v>
          </cell>
          <cell r="B12">
            <v>-1.3000000000000001E-2</v>
          </cell>
          <cell r="C12">
            <v>-8.578456229624002E-3</v>
          </cell>
          <cell r="D12">
            <v>2E-3</v>
          </cell>
          <cell r="E12">
            <v>1.4441149126709111E-3</v>
          </cell>
          <cell r="F12">
            <v>4.0000000000000001E-3</v>
          </cell>
          <cell r="G12">
            <v>-1.5141548284413007E-2</v>
          </cell>
          <cell r="H12">
            <v>1E-3</v>
          </cell>
          <cell r="I12">
            <v>1.0147224627200422E-2</v>
          </cell>
          <cell r="J12">
            <v>1.6E-2</v>
          </cell>
          <cell r="K12">
            <v>1.1886197640768209E-2</v>
          </cell>
          <cell r="L12">
            <v>1.9E-2</v>
          </cell>
          <cell r="M12">
            <v>1.6515031043035998E-2</v>
          </cell>
          <cell r="N12">
            <v>3.4000000000000002E-2</v>
          </cell>
        </row>
        <row r="13">
          <cell r="A13" t="str">
            <v>Same-Store Y/Y EXP Growth</v>
          </cell>
          <cell r="B13">
            <v>6.7000000000000004E-2</v>
          </cell>
          <cell r="C13">
            <v>4.366743079259465E-2</v>
          </cell>
          <cell r="D13">
            <v>2.7000000000000003E-2</v>
          </cell>
          <cell r="E13">
            <v>0.13654420647906668</v>
          </cell>
          <cell r="F13">
            <v>1.1000000000000001E-2</v>
          </cell>
          <cell r="G13">
            <v>1.4103099830179513E-3</v>
          </cell>
          <cell r="H13">
            <v>1.9E-2</v>
          </cell>
          <cell r="I13">
            <v>4.8631327242212953E-2</v>
          </cell>
          <cell r="J13">
            <v>4.1000000000000002E-2</v>
          </cell>
          <cell r="K13">
            <v>6.5828702896541275E-2</v>
          </cell>
          <cell r="L13">
            <v>0.05</v>
          </cell>
          <cell r="M13">
            <v>-6.3527388916271976E-3</v>
          </cell>
          <cell r="N13">
            <v>6.9000000000000006E-2</v>
          </cell>
        </row>
        <row r="14">
          <cell r="A14" t="str">
            <v>Same-Store Occupancy</v>
          </cell>
          <cell r="B14">
            <v>0.89400000000000002</v>
          </cell>
          <cell r="D14">
            <v>0.8909999999999999</v>
          </cell>
          <cell r="F14">
            <v>0.90500000000000003</v>
          </cell>
          <cell r="H14">
            <v>0.91</v>
          </cell>
          <cell r="J14">
            <v>0.90800000000000003</v>
          </cell>
          <cell r="L14">
            <v>0.90500000000000003</v>
          </cell>
          <cell r="N14">
            <v>0.91400000000000003</v>
          </cell>
          <cell r="O14" t="str">
            <v>Management expects occupancy to be at the low end of its 91-93% range by year-end.</v>
          </cell>
        </row>
        <row r="16">
          <cell r="A16" t="str">
            <v>Net Rent Growth</v>
          </cell>
          <cell r="B16">
            <v>-0.113</v>
          </cell>
          <cell r="D16">
            <v>-0.08</v>
          </cell>
          <cell r="F16">
            <v>-8.9999999999999993E-3</v>
          </cell>
          <cell r="H16">
            <v>-0.03</v>
          </cell>
          <cell r="J16">
            <v>-0.03</v>
          </cell>
          <cell r="L16">
            <v>5.0000000000000001E-3</v>
          </cell>
          <cell r="N16">
            <v>-5.8999999999999997E-2</v>
          </cell>
        </row>
        <row r="17">
          <cell r="A17" t="str">
            <v>TI/LC psf per year of lease (rolling 4Q avg)</v>
          </cell>
          <cell r="B17">
            <v>3.5422894420714148</v>
          </cell>
          <cell r="C17">
            <v>3.0825235522113736</v>
          </cell>
          <cell r="D17">
            <v>3.6749698561771442</v>
          </cell>
          <cell r="E17">
            <v>3.0288331539748841</v>
          </cell>
          <cell r="F17">
            <v>3.4171819059684037</v>
          </cell>
          <cell r="G17">
            <v>3.0303959841428876</v>
          </cell>
          <cell r="H17">
            <v>3.5232683263558204</v>
          </cell>
          <cell r="I17">
            <v>3.0336166869270147</v>
          </cell>
          <cell r="J17">
            <v>3.5826768528193536</v>
          </cell>
          <cell r="K17">
            <v>3.0305360815682771</v>
          </cell>
          <cell r="L17">
            <v>3.5545547946278471</v>
          </cell>
          <cell r="M17">
            <v>3.1133420004983932</v>
          </cell>
          <cell r="N17">
            <v>3.56</v>
          </cell>
          <cell r="O17" t="str">
            <v xml:space="preserve">TI/LCs went down appreciably to $2.94 in 3Q, though the rolling four quarter average, shown here, increased slightly. </v>
          </cell>
        </row>
        <row r="19">
          <cell r="A19" t="str">
            <v>Acquisitions (MM)</v>
          </cell>
          <cell r="B19">
            <v>-69.55</v>
          </cell>
          <cell r="D19">
            <v>0</v>
          </cell>
          <cell r="F19">
            <v>-9.1999999999999993</v>
          </cell>
          <cell r="H19">
            <v>-38.450000000000003</v>
          </cell>
          <cell r="J19">
            <v>233</v>
          </cell>
          <cell r="L19">
            <v>92.6</v>
          </cell>
          <cell r="N19">
            <v>23.2</v>
          </cell>
          <cell r="O19" t="str">
            <v>ARI acquired Agoura Hills Business Park in 3Q.</v>
          </cell>
        </row>
        <row r="20">
          <cell r="A20" t="str">
            <v>Dispositions (MM)</v>
          </cell>
          <cell r="J20">
            <v>16.649999999999999</v>
          </cell>
          <cell r="L20">
            <v>8</v>
          </cell>
          <cell r="N20">
            <v>123.44</v>
          </cell>
          <cell r="O20" t="str">
            <v xml:space="preserve">ARI sold six assets this quarter and has received unsolicited bids that could result in an additional $100-150 million in asset sales late in 2005. </v>
          </cell>
        </row>
        <row r="21">
          <cell r="A21" t="str">
            <v>Developments (MM)</v>
          </cell>
          <cell r="B21">
            <v>81.5</v>
          </cell>
          <cell r="D21">
            <v>0</v>
          </cell>
          <cell r="F21">
            <v>0</v>
          </cell>
          <cell r="H21">
            <v>0</v>
          </cell>
          <cell r="J21">
            <v>0</v>
          </cell>
          <cell r="L21">
            <v>0</v>
          </cell>
          <cell r="N21">
            <v>0</v>
          </cell>
          <cell r="O21" t="str">
            <v>ARI will start development on the 6040 building in Howard Hughes Center in 3Q.</v>
          </cell>
        </row>
        <row r="23">
          <cell r="A23" t="str">
            <v xml:space="preserve">   Debt/Market Cap</v>
          </cell>
          <cell r="B23">
            <v>0.36649655531040093</v>
          </cell>
          <cell r="D23">
            <v>0.38923133308296737</v>
          </cell>
          <cell r="F23">
            <v>0.38015102524578265</v>
          </cell>
          <cell r="H23">
            <v>0.34081077231834533</v>
          </cell>
          <cell r="J23">
            <v>0.39664476695863449</v>
          </cell>
          <cell r="L23">
            <v>0.39934124372887425</v>
          </cell>
          <cell r="N23">
            <v>0.36132213989785456</v>
          </cell>
        </row>
        <row r="24">
          <cell r="A24" t="str">
            <v xml:space="preserve">   Fixed Charge Coverage</v>
          </cell>
          <cell r="B24">
            <v>2.7017204003505375</v>
          </cell>
          <cell r="D24">
            <v>2.9902805774381376</v>
          </cell>
          <cell r="F24">
            <v>3.0033926662638843</v>
          </cell>
          <cell r="H24">
            <v>2.8302768017825009</v>
          </cell>
          <cell r="J24">
            <v>2.6313356015004796</v>
          </cell>
          <cell r="L24">
            <v>2.6180307469995583</v>
          </cell>
          <cell r="N24">
            <v>2.7058330003995206</v>
          </cell>
        </row>
        <row r="26">
          <cell r="A26" t="str">
            <v>Mgt FFOPS Guidance - Next Quarter</v>
          </cell>
          <cell r="B26" t="str">
            <v>na</v>
          </cell>
          <cell r="D26" t="str">
            <v>na</v>
          </cell>
          <cell r="F26" t="str">
            <v>na</v>
          </cell>
          <cell r="H26" t="str">
            <v>$0.58-0.60</v>
          </cell>
          <cell r="J26" t="str">
            <v>$0.59-0.61</v>
          </cell>
          <cell r="L26" t="str">
            <v>$0.60-0.62</v>
          </cell>
          <cell r="N26" t="str">
            <v>$0.61-0.63</v>
          </cell>
        </row>
        <row r="27">
          <cell r="A27" t="str">
            <v>Mgt FFOPS Guidance - 2005</v>
          </cell>
          <cell r="B27" t="str">
            <v>na</v>
          </cell>
          <cell r="D27" t="str">
            <v>na</v>
          </cell>
          <cell r="F27" t="str">
            <v>$2.52-2.67</v>
          </cell>
          <cell r="H27" t="str">
            <v>$2.52-2.62</v>
          </cell>
          <cell r="J27" t="str">
            <v>$2.40-2.50</v>
          </cell>
          <cell r="L27" t="str">
            <v>$2.40-2.50</v>
          </cell>
          <cell r="N27" t="str">
            <v>$2.43-2.45</v>
          </cell>
          <cell r="O27" t="str">
            <v>Management essentially confirmed and narrowed its guidance range, stating that any further dispositions will not dilute earnings until the next year.</v>
          </cell>
        </row>
        <row r="28">
          <cell r="A28" t="str">
            <v>2005/2004 Growth Rate</v>
          </cell>
          <cell r="M28">
            <v>-6.77833892785994E-3</v>
          </cell>
          <cell r="N28">
            <v>-4.2999999999999997E-2</v>
          </cell>
        </row>
      </sheetData>
      <sheetData sheetId="8" refreshError="1"/>
      <sheetData sheetId="9" refreshError="1"/>
      <sheetData sheetId="10" refreshError="1">
        <row r="1">
          <cell r="AK1" t="str">
            <v>ffq</v>
          </cell>
          <cell r="AL1">
            <v>2.7139099754122928</v>
          </cell>
          <cell r="BM1" t="str">
            <v>ElementName</v>
          </cell>
          <cell r="BN1" t="str">
            <v>ScaleOverride</v>
          </cell>
          <cell r="BO1" t="str">
            <v>UnitOverride</v>
          </cell>
          <cell r="BP1" t="str">
            <v>ReverseSign</v>
          </cell>
          <cell r="BQ1" t="str">
            <v>IsDrivingAssumption</v>
          </cell>
          <cell r="BR1" t="str">
            <v>SegmentID</v>
          </cell>
        </row>
        <row r="2">
          <cell r="A2" t="str">
            <v>Arden Realty</v>
          </cell>
        </row>
        <row r="3">
          <cell r="A3" t="str">
            <v>Quarterly Income Statement</v>
          </cell>
        </row>
        <row r="4">
          <cell r="A4" t="str">
            <v>(Dollars In Thousands, Except Per-Share)</v>
          </cell>
        </row>
        <row r="8">
          <cell r="D8" t="str">
            <v>1998A</v>
          </cell>
          <cell r="J8" t="str">
            <v>1999A</v>
          </cell>
          <cell r="P8" t="str">
            <v>2000A</v>
          </cell>
          <cell r="V8" t="str">
            <v>2001A</v>
          </cell>
          <cell r="AB8" t="str">
            <v>2002A</v>
          </cell>
          <cell r="AH8" t="str">
            <v>2003A</v>
          </cell>
          <cell r="AN8" t="str">
            <v>2004A</v>
          </cell>
          <cell r="AT8" t="str">
            <v>2005E</v>
          </cell>
          <cell r="AZ8" t="str">
            <v>2006E</v>
          </cell>
          <cell r="BF8" t="str">
            <v>2007E</v>
          </cell>
        </row>
        <row r="9">
          <cell r="A9" t="str">
            <v>Year Ended December 31</v>
          </cell>
          <cell r="B9" t="str">
            <v>1997A</v>
          </cell>
          <cell r="D9" t="str">
            <v>1QA</v>
          </cell>
          <cell r="E9" t="str">
            <v>2QA</v>
          </cell>
          <cell r="F9" t="str">
            <v>3QA</v>
          </cell>
          <cell r="G9" t="str">
            <v>4QA</v>
          </cell>
          <cell r="H9" t="str">
            <v>1998A</v>
          </cell>
          <cell r="J9" t="str">
            <v>1QA</v>
          </cell>
          <cell r="K9" t="str">
            <v>2QA</v>
          </cell>
          <cell r="L9" t="str">
            <v>3QA</v>
          </cell>
          <cell r="M9" t="str">
            <v>4QA</v>
          </cell>
          <cell r="N9" t="str">
            <v>1999A</v>
          </cell>
          <cell r="P9" t="str">
            <v>1QA</v>
          </cell>
          <cell r="Q9" t="str">
            <v>2QA</v>
          </cell>
          <cell r="R9" t="str">
            <v>3QA</v>
          </cell>
          <cell r="S9" t="str">
            <v>4QA</v>
          </cell>
          <cell r="T9" t="str">
            <v>2000A</v>
          </cell>
          <cell r="V9" t="str">
            <v>1QA</v>
          </cell>
          <cell r="W9" t="str">
            <v>2QA</v>
          </cell>
          <cell r="X9" t="str">
            <v>3QA</v>
          </cell>
          <cell r="Y9" t="str">
            <v>4QA</v>
          </cell>
          <cell r="Z9" t="str">
            <v>2001A</v>
          </cell>
          <cell r="AB9" t="str">
            <v>1QA</v>
          </cell>
          <cell r="AC9" t="str">
            <v>2QA</v>
          </cell>
          <cell r="AD9" t="str">
            <v>3QA</v>
          </cell>
          <cell r="AE9" t="str">
            <v>4QA</v>
          </cell>
          <cell r="AF9" t="str">
            <v>2002A</v>
          </cell>
          <cell r="AH9" t="str">
            <v>1QA</v>
          </cell>
          <cell r="AI9" t="str">
            <v>2QA</v>
          </cell>
          <cell r="AJ9" t="str">
            <v>3QA</v>
          </cell>
          <cell r="AK9" t="str">
            <v>4QA</v>
          </cell>
          <cell r="AL9" t="str">
            <v>2003A</v>
          </cell>
          <cell r="AN9" t="str">
            <v>1QA</v>
          </cell>
          <cell r="AO9" t="str">
            <v>2QA</v>
          </cell>
          <cell r="AP9" t="str">
            <v>3QA</v>
          </cell>
          <cell r="AQ9" t="str">
            <v>4QA</v>
          </cell>
          <cell r="AR9" t="str">
            <v>2004A</v>
          </cell>
          <cell r="AT9" t="str">
            <v>1QA</v>
          </cell>
          <cell r="AU9" t="str">
            <v>2QA</v>
          </cell>
          <cell r="AV9" t="str">
            <v>3QA</v>
          </cell>
          <cell r="AW9" t="str">
            <v>4QE</v>
          </cell>
          <cell r="AX9" t="str">
            <v>2005E</v>
          </cell>
          <cell r="AZ9" t="str">
            <v>1QE</v>
          </cell>
          <cell r="BA9" t="str">
            <v>2QE</v>
          </cell>
          <cell r="BB9" t="str">
            <v>3QE</v>
          </cell>
          <cell r="BC9" t="str">
            <v>4QE</v>
          </cell>
          <cell r="BD9" t="str">
            <v>2006E</v>
          </cell>
          <cell r="BF9" t="str">
            <v>1QE</v>
          </cell>
          <cell r="BG9" t="str">
            <v>2QE</v>
          </cell>
          <cell r="BH9" t="str">
            <v>3QE</v>
          </cell>
          <cell r="BI9" t="str">
            <v>4QE</v>
          </cell>
          <cell r="BJ9" t="str">
            <v>2007E</v>
          </cell>
        </row>
        <row r="10">
          <cell r="A10" t="str">
            <v xml:space="preserve">  Rental Income</v>
          </cell>
          <cell r="B10">
            <v>118085</v>
          </cell>
          <cell r="D10">
            <v>48689</v>
          </cell>
          <cell r="E10">
            <v>63522</v>
          </cell>
          <cell r="F10">
            <v>68609</v>
          </cell>
          <cell r="G10">
            <v>69647</v>
          </cell>
          <cell r="H10">
            <v>250467</v>
          </cell>
          <cell r="J10">
            <v>69510</v>
          </cell>
          <cell r="K10">
            <v>72331</v>
          </cell>
          <cell r="L10">
            <v>74193</v>
          </cell>
          <cell r="M10">
            <v>76654</v>
          </cell>
          <cell r="N10">
            <v>292688</v>
          </cell>
          <cell r="P10">
            <v>77513</v>
          </cell>
          <cell r="Q10">
            <v>80003</v>
          </cell>
          <cell r="R10">
            <v>84210</v>
          </cell>
          <cell r="S10">
            <v>86734</v>
          </cell>
          <cell r="T10">
            <v>328460</v>
          </cell>
          <cell r="V10">
            <v>87467</v>
          </cell>
          <cell r="W10">
            <v>87374</v>
          </cell>
          <cell r="X10">
            <v>89969</v>
          </cell>
          <cell r="Y10">
            <v>90812</v>
          </cell>
          <cell r="Z10">
            <v>355622</v>
          </cell>
          <cell r="AB10">
            <v>88986</v>
          </cell>
          <cell r="AC10">
            <v>89113</v>
          </cell>
          <cell r="AD10">
            <v>90351</v>
          </cell>
          <cell r="AE10">
            <v>91279</v>
          </cell>
          <cell r="AF10">
            <v>359729</v>
          </cell>
          <cell r="AH10">
            <v>90837</v>
          </cell>
          <cell r="AI10">
            <v>90865</v>
          </cell>
          <cell r="AJ10">
            <v>89621</v>
          </cell>
          <cell r="AK10">
            <v>90456</v>
          </cell>
          <cell r="AL10">
            <v>361779</v>
          </cell>
          <cell r="AN10">
            <v>91424</v>
          </cell>
          <cell r="AO10">
            <v>91410</v>
          </cell>
          <cell r="AP10">
            <v>89348</v>
          </cell>
          <cell r="AQ10">
            <v>91122</v>
          </cell>
          <cell r="AR10">
            <v>363304</v>
          </cell>
          <cell r="AT10">
            <v>88928</v>
          </cell>
          <cell r="AU10">
            <v>97052</v>
          </cell>
          <cell r="AV10">
            <v>98174</v>
          </cell>
          <cell r="AW10">
            <v>98871.140801124988</v>
          </cell>
          <cell r="AX10">
            <v>383025.14080112497</v>
          </cell>
          <cell r="AZ10">
            <v>99756.9514481761</v>
          </cell>
          <cell r="BA10">
            <v>100350.74574649925</v>
          </cell>
          <cell r="BB10">
            <v>100945.13383912072</v>
          </cell>
          <cell r="BC10">
            <v>101833.01847920983</v>
          </cell>
          <cell r="BD10">
            <v>402885.84951300593</v>
          </cell>
          <cell r="BF10">
            <v>102308.69125768903</v>
          </cell>
          <cell r="BG10">
            <v>102784.83970894672</v>
          </cell>
          <cell r="BH10">
            <v>103261.46430865566</v>
          </cell>
          <cell r="BI10">
            <v>103738.56553296431</v>
          </cell>
          <cell r="BJ10">
            <v>412093.56080825569</v>
          </cell>
          <cell r="BM10" t="str">
            <v>mstag:grossRents</v>
          </cell>
          <cell r="BN10">
            <v>3</v>
          </cell>
          <cell r="BO10" t="str">
            <v>ISO4217:USD</v>
          </cell>
          <cell r="BP10" t="b">
            <v>0</v>
          </cell>
          <cell r="BQ10" t="b">
            <v>0</v>
          </cell>
        </row>
        <row r="11">
          <cell r="A11" t="str">
            <v xml:space="preserve">  Third Party Management Income</v>
          </cell>
          <cell r="BM11" t="str">
            <v>mstag:thirdPartyPropertyManagementIncome</v>
          </cell>
          <cell r="BN11">
            <v>3</v>
          </cell>
          <cell r="BO11" t="str">
            <v>ISO4217:USD</v>
          </cell>
          <cell r="BP11" t="b">
            <v>0</v>
          </cell>
          <cell r="BQ11" t="b">
            <v>0</v>
          </cell>
        </row>
        <row r="12">
          <cell r="A12" t="str">
            <v xml:space="preserve">  Tenant Reimbursements</v>
          </cell>
          <cell r="B12">
            <v>5945</v>
          </cell>
          <cell r="D12">
            <v>1883</v>
          </cell>
          <cell r="E12">
            <v>2174</v>
          </cell>
          <cell r="F12">
            <v>2211</v>
          </cell>
          <cell r="G12">
            <v>3237</v>
          </cell>
          <cell r="H12">
            <v>9505</v>
          </cell>
          <cell r="J12">
            <v>3467</v>
          </cell>
          <cell r="K12">
            <v>2869</v>
          </cell>
          <cell r="L12">
            <v>4554</v>
          </cell>
          <cell r="M12">
            <v>2973</v>
          </cell>
          <cell r="N12">
            <v>13863</v>
          </cell>
          <cell r="P12">
            <v>3592</v>
          </cell>
          <cell r="Q12">
            <v>4218</v>
          </cell>
          <cell r="R12">
            <v>4403</v>
          </cell>
          <cell r="S12">
            <v>4158</v>
          </cell>
          <cell r="T12">
            <v>16371</v>
          </cell>
          <cell r="V12">
            <v>5550</v>
          </cell>
          <cell r="W12">
            <v>5352</v>
          </cell>
          <cell r="X12">
            <v>5769</v>
          </cell>
          <cell r="Y12">
            <v>6061</v>
          </cell>
          <cell r="Z12">
            <v>22732</v>
          </cell>
          <cell r="AB12">
            <v>6950</v>
          </cell>
          <cell r="AC12">
            <v>6347</v>
          </cell>
          <cell r="AD12">
            <v>5805</v>
          </cell>
          <cell r="AE12">
            <v>5906</v>
          </cell>
          <cell r="AF12">
            <v>25008</v>
          </cell>
          <cell r="AH12">
            <v>7035</v>
          </cell>
          <cell r="AI12">
            <v>5999</v>
          </cell>
          <cell r="AJ12">
            <v>7081</v>
          </cell>
          <cell r="AK12">
            <v>6404</v>
          </cell>
          <cell r="AL12">
            <v>26519</v>
          </cell>
          <cell r="AN12">
            <v>4753</v>
          </cell>
          <cell r="AO12">
            <v>4850</v>
          </cell>
          <cell r="AP12">
            <v>5582</v>
          </cell>
          <cell r="AQ12">
            <v>5313</v>
          </cell>
          <cell r="AR12">
            <v>20498</v>
          </cell>
          <cell r="AT12">
            <v>5089</v>
          </cell>
          <cell r="AU12">
            <v>4371</v>
          </cell>
          <cell r="AV12">
            <v>5522</v>
          </cell>
          <cell r="AW12">
            <v>5123.4639443431779</v>
          </cell>
          <cell r="AX12">
            <v>20105.463944343177</v>
          </cell>
          <cell r="AZ12">
            <v>5284.0114652343464</v>
          </cell>
          <cell r="BA12">
            <v>5343.5622779449632</v>
          </cell>
          <cell r="BB12">
            <v>5756.7853690282736</v>
          </cell>
          <cell r="BC12">
            <v>5607.8276969271064</v>
          </cell>
          <cell r="BD12">
            <v>21992.186809134688</v>
          </cell>
          <cell r="BF12">
            <v>5233.53442656271</v>
          </cell>
          <cell r="BG12">
            <v>5318.7865610399531</v>
          </cell>
          <cell r="BH12">
            <v>5784.376811555695</v>
          </cell>
          <cell r="BI12">
            <v>5593.2515078799652</v>
          </cell>
          <cell r="BJ12">
            <v>21929.949307038325</v>
          </cell>
          <cell r="BM12" t="str">
            <v>mstag:tenantReimbursementsAndRecoveries</v>
          </cell>
          <cell r="BN12">
            <v>3</v>
          </cell>
          <cell r="BO12" t="str">
            <v>ISO4217:USD</v>
          </cell>
          <cell r="BP12" t="b">
            <v>0</v>
          </cell>
          <cell r="BQ12" t="b">
            <v>0</v>
          </cell>
        </row>
        <row r="13">
          <cell r="A13" t="str">
            <v xml:space="preserve">  Parking, Net of Expenses</v>
          </cell>
          <cell r="B13">
            <v>7397</v>
          </cell>
          <cell r="D13">
            <v>2650</v>
          </cell>
          <cell r="E13">
            <v>2882</v>
          </cell>
          <cell r="F13">
            <v>3252</v>
          </cell>
          <cell r="G13">
            <v>3439</v>
          </cell>
          <cell r="H13">
            <v>12223</v>
          </cell>
          <cell r="J13">
            <v>3182</v>
          </cell>
          <cell r="K13">
            <v>3575</v>
          </cell>
          <cell r="L13">
            <v>3826</v>
          </cell>
          <cell r="M13">
            <v>3801</v>
          </cell>
          <cell r="N13">
            <v>14384</v>
          </cell>
          <cell r="P13">
            <v>3972</v>
          </cell>
          <cell r="Q13">
            <v>4415</v>
          </cell>
          <cell r="R13">
            <v>4812</v>
          </cell>
          <cell r="S13">
            <v>5149</v>
          </cell>
          <cell r="T13">
            <v>18348</v>
          </cell>
          <cell r="V13">
            <v>5305</v>
          </cell>
          <cell r="W13">
            <v>5558</v>
          </cell>
          <cell r="X13">
            <v>5768</v>
          </cell>
          <cell r="Y13">
            <v>5394</v>
          </cell>
          <cell r="Z13">
            <v>22025</v>
          </cell>
          <cell r="AB13">
            <v>5150</v>
          </cell>
          <cell r="AC13">
            <v>5383</v>
          </cell>
          <cell r="AD13">
            <v>5420</v>
          </cell>
          <cell r="AE13">
            <v>5421</v>
          </cell>
          <cell r="AF13">
            <v>21374</v>
          </cell>
          <cell r="AH13">
            <v>5119</v>
          </cell>
          <cell r="AI13">
            <v>5525</v>
          </cell>
          <cell r="AJ13">
            <v>5659</v>
          </cell>
          <cell r="AK13">
            <v>5777</v>
          </cell>
          <cell r="AL13">
            <v>22080</v>
          </cell>
          <cell r="AN13">
            <v>5700</v>
          </cell>
          <cell r="AO13">
            <v>6121</v>
          </cell>
          <cell r="AP13">
            <v>6273</v>
          </cell>
          <cell r="AQ13">
            <v>6032</v>
          </cell>
          <cell r="AR13">
            <v>24126</v>
          </cell>
          <cell r="AT13">
            <v>5947</v>
          </cell>
          <cell r="AU13">
            <v>6740</v>
          </cell>
          <cell r="AV13">
            <v>7409</v>
          </cell>
          <cell r="AW13">
            <v>6920.9798560787494</v>
          </cell>
          <cell r="AX13">
            <v>27016.979856078749</v>
          </cell>
          <cell r="AZ13">
            <v>6982.9866013723276</v>
          </cell>
          <cell r="BA13">
            <v>7024.5522022549476</v>
          </cell>
          <cell r="BB13">
            <v>7066.1593687384511</v>
          </cell>
          <cell r="BC13">
            <v>7128.3112935446889</v>
          </cell>
          <cell r="BD13">
            <v>28202.009465910414</v>
          </cell>
          <cell r="BF13">
            <v>7161.608388038233</v>
          </cell>
          <cell r="BG13">
            <v>7194.9387796262708</v>
          </cell>
          <cell r="BH13">
            <v>7228.3025016058973</v>
          </cell>
          <cell r="BI13">
            <v>7261.699587307502</v>
          </cell>
          <cell r="BJ13">
            <v>28846.549256577902</v>
          </cell>
          <cell r="BM13" t="str">
            <v>mstag:parkingIncome</v>
          </cell>
          <cell r="BN13">
            <v>3</v>
          </cell>
          <cell r="BO13" t="str">
            <v>ISO4217:USD</v>
          </cell>
          <cell r="BP13" t="b">
            <v>0</v>
          </cell>
          <cell r="BQ13" t="b">
            <v>0</v>
          </cell>
        </row>
        <row r="14">
          <cell r="A14" t="str">
            <v xml:space="preserve">  Other Rental Operations</v>
          </cell>
          <cell r="B14">
            <v>2390</v>
          </cell>
          <cell r="D14">
            <v>1537</v>
          </cell>
          <cell r="E14">
            <v>1925</v>
          </cell>
          <cell r="F14">
            <v>2666</v>
          </cell>
          <cell r="G14">
            <v>2744</v>
          </cell>
          <cell r="H14">
            <v>8872</v>
          </cell>
          <cell r="J14">
            <v>3177</v>
          </cell>
          <cell r="K14">
            <v>3937</v>
          </cell>
          <cell r="L14">
            <v>4150</v>
          </cell>
          <cell r="M14">
            <v>5654</v>
          </cell>
          <cell r="N14">
            <v>16918</v>
          </cell>
          <cell r="P14">
            <v>4601</v>
          </cell>
          <cell r="Q14">
            <v>4220</v>
          </cell>
          <cell r="R14">
            <v>5606</v>
          </cell>
          <cell r="S14">
            <v>6984</v>
          </cell>
          <cell r="T14">
            <v>21411</v>
          </cell>
          <cell r="V14">
            <v>4799</v>
          </cell>
          <cell r="W14">
            <v>4696</v>
          </cell>
          <cell r="X14">
            <v>4325</v>
          </cell>
          <cell r="Y14">
            <v>4326</v>
          </cell>
          <cell r="Z14">
            <v>18146</v>
          </cell>
          <cell r="AB14">
            <v>1178</v>
          </cell>
          <cell r="AC14">
            <v>1792</v>
          </cell>
          <cell r="AD14">
            <v>2802</v>
          </cell>
          <cell r="AE14">
            <v>2527</v>
          </cell>
          <cell r="AF14">
            <v>8299</v>
          </cell>
          <cell r="AH14">
            <v>1285</v>
          </cell>
          <cell r="AI14">
            <v>2782</v>
          </cell>
          <cell r="AJ14">
            <v>2497</v>
          </cell>
          <cell r="AK14">
            <v>2410</v>
          </cell>
          <cell r="AL14">
            <v>8974</v>
          </cell>
          <cell r="AN14">
            <v>2602</v>
          </cell>
          <cell r="AO14">
            <v>3017</v>
          </cell>
          <cell r="AP14">
            <v>3313</v>
          </cell>
          <cell r="AQ14">
            <v>3102</v>
          </cell>
          <cell r="AR14">
            <v>12034</v>
          </cell>
          <cell r="AT14">
            <v>2156</v>
          </cell>
          <cell r="AU14">
            <v>1565</v>
          </cell>
          <cell r="AV14">
            <v>3494</v>
          </cell>
          <cell r="AW14">
            <v>3081.9382528179999</v>
          </cell>
          <cell r="AX14">
            <v>10296.938252817999</v>
          </cell>
          <cell r="AZ14">
            <v>2096.1112231708175</v>
          </cell>
          <cell r="BA14">
            <v>2105.6119319439877</v>
          </cell>
          <cell r="BB14">
            <v>2115.1221414259317</v>
          </cell>
          <cell r="BC14">
            <v>2129.3282956673575</v>
          </cell>
          <cell r="BD14">
            <v>8446.1735922080952</v>
          </cell>
          <cell r="BF14">
            <v>2136.9390601230243</v>
          </cell>
          <cell r="BG14">
            <v>2144.5574353431475</v>
          </cell>
          <cell r="BH14">
            <v>2152.1834289384906</v>
          </cell>
          <cell r="BI14">
            <v>2159.8170485274286</v>
          </cell>
          <cell r="BJ14">
            <v>8593.496972932091</v>
          </cell>
          <cell r="BM14" t="str">
            <v>mstag:otherPropertyRelatedIncomeRecurring</v>
          </cell>
          <cell r="BN14">
            <v>3</v>
          </cell>
          <cell r="BO14" t="str">
            <v>ISO4217:USD</v>
          </cell>
          <cell r="BP14" t="b">
            <v>0</v>
          </cell>
          <cell r="BQ14" t="b">
            <v>0</v>
          </cell>
        </row>
        <row r="15">
          <cell r="A15" t="str">
            <v xml:space="preserve">  Lease Termination Income</v>
          </cell>
          <cell r="D15">
            <v>500</v>
          </cell>
          <cell r="E15">
            <v>500</v>
          </cell>
          <cell r="F15">
            <v>500</v>
          </cell>
          <cell r="G15">
            <v>500</v>
          </cell>
          <cell r="J15">
            <v>500</v>
          </cell>
          <cell r="K15">
            <v>500</v>
          </cell>
          <cell r="L15">
            <v>500</v>
          </cell>
          <cell r="M15">
            <v>500</v>
          </cell>
          <cell r="P15">
            <v>500</v>
          </cell>
          <cell r="Q15">
            <v>500</v>
          </cell>
          <cell r="R15">
            <v>500</v>
          </cell>
          <cell r="S15">
            <v>500</v>
          </cell>
          <cell r="V15">
            <v>500</v>
          </cell>
          <cell r="W15">
            <v>500</v>
          </cell>
          <cell r="X15">
            <v>500</v>
          </cell>
          <cell r="Y15">
            <v>500</v>
          </cell>
          <cell r="AB15">
            <v>600</v>
          </cell>
          <cell r="AC15">
            <v>1400</v>
          </cell>
          <cell r="AD15">
            <v>2000</v>
          </cell>
          <cell r="AE15">
            <v>2300</v>
          </cell>
          <cell r="AF15">
            <v>6300</v>
          </cell>
          <cell r="AH15">
            <v>300</v>
          </cell>
          <cell r="AI15">
            <v>1100</v>
          </cell>
          <cell r="AJ15">
            <v>1200</v>
          </cell>
          <cell r="AK15">
            <v>600</v>
          </cell>
          <cell r="AN15">
            <v>1200</v>
          </cell>
          <cell r="AO15">
            <v>1300</v>
          </cell>
          <cell r="AP15">
            <v>1300</v>
          </cell>
          <cell r="AQ15">
            <v>1300</v>
          </cell>
          <cell r="AT15">
            <v>1000</v>
          </cell>
          <cell r="AU15">
            <v>300</v>
          </cell>
          <cell r="AV15">
            <v>1900</v>
          </cell>
          <cell r="AW15">
            <v>1500</v>
          </cell>
          <cell r="AZ15">
            <v>500</v>
          </cell>
          <cell r="BA15">
            <v>500</v>
          </cell>
          <cell r="BB15">
            <v>500</v>
          </cell>
          <cell r="BC15">
            <v>500</v>
          </cell>
          <cell r="BF15">
            <v>500</v>
          </cell>
          <cell r="BG15">
            <v>500</v>
          </cell>
          <cell r="BH15">
            <v>500</v>
          </cell>
          <cell r="BI15">
            <v>500</v>
          </cell>
        </row>
        <row r="16">
          <cell r="A16" t="str">
            <v>Repairs and Maintenance</v>
          </cell>
          <cell r="J16">
            <v>7670</v>
          </cell>
          <cell r="K16">
            <v>8255</v>
          </cell>
          <cell r="L16">
            <v>8255</v>
          </cell>
          <cell r="M16">
            <v>8722</v>
          </cell>
          <cell r="N16">
            <v>32902</v>
          </cell>
          <cell r="P16">
            <v>8402</v>
          </cell>
          <cell r="Q16">
            <v>8895</v>
          </cell>
          <cell r="R16">
            <v>8668</v>
          </cell>
          <cell r="S16">
            <v>9425</v>
          </cell>
          <cell r="T16">
            <v>35390</v>
          </cell>
          <cell r="V16">
            <v>9008</v>
          </cell>
          <cell r="W16">
            <v>9228</v>
          </cell>
          <cell r="X16">
            <v>8892</v>
          </cell>
          <cell r="Y16">
            <v>9587</v>
          </cell>
          <cell r="Z16">
            <v>36715</v>
          </cell>
          <cell r="AB16">
            <v>9445</v>
          </cell>
          <cell r="AC16">
            <v>9604</v>
          </cell>
          <cell r="AD16">
            <v>9904</v>
          </cell>
          <cell r="AE16">
            <v>10894</v>
          </cell>
          <cell r="AF16">
            <v>39847</v>
          </cell>
          <cell r="AH16">
            <v>10421</v>
          </cell>
          <cell r="AI16">
            <v>11098</v>
          </cell>
          <cell r="AJ16">
            <v>10795</v>
          </cell>
          <cell r="AK16">
            <v>11329</v>
          </cell>
          <cell r="AL16">
            <v>43643</v>
          </cell>
          <cell r="AN16">
            <v>11341</v>
          </cell>
          <cell r="AO16">
            <v>11529</v>
          </cell>
          <cell r="AP16">
            <v>11337</v>
          </cell>
          <cell r="AQ16">
            <v>11336</v>
          </cell>
          <cell r="AR16">
            <v>45543</v>
          </cell>
          <cell r="AT16">
            <v>11761</v>
          </cell>
          <cell r="AU16">
            <v>12694</v>
          </cell>
          <cell r="AV16">
            <v>13293</v>
          </cell>
          <cell r="AW16">
            <v>13050.990585748499</v>
          </cell>
          <cell r="AX16">
            <v>50798.990585748499</v>
          </cell>
          <cell r="AZ16">
            <v>13167.917591159247</v>
          </cell>
          <cell r="BA16">
            <v>13246.2984385379</v>
          </cell>
          <cell r="BB16">
            <v>13324.757666763937</v>
          </cell>
          <cell r="BC16">
            <v>13441.958439255699</v>
          </cell>
          <cell r="BD16">
            <v>53180.932135716786</v>
          </cell>
          <cell r="BF16">
            <v>12788.586407211129</v>
          </cell>
          <cell r="BG16">
            <v>12848.10496361834</v>
          </cell>
          <cell r="BH16">
            <v>12907.683038581958</v>
          </cell>
          <cell r="BI16">
            <v>12967.320691620538</v>
          </cell>
          <cell r="BJ16">
            <v>51511.695101031961</v>
          </cell>
        </row>
        <row r="17">
          <cell r="A17" t="str">
            <v>Utilities</v>
          </cell>
          <cell r="J17">
            <v>6341</v>
          </cell>
          <cell r="K17">
            <v>6538</v>
          </cell>
          <cell r="L17">
            <v>8608</v>
          </cell>
          <cell r="M17">
            <v>6818</v>
          </cell>
          <cell r="N17">
            <v>28305</v>
          </cell>
          <cell r="P17">
            <v>6110</v>
          </cell>
          <cell r="Q17">
            <v>6526</v>
          </cell>
          <cell r="R17">
            <v>9570</v>
          </cell>
          <cell r="S17">
            <v>7666</v>
          </cell>
          <cell r="T17">
            <v>29872</v>
          </cell>
          <cell r="V17">
            <v>7392</v>
          </cell>
          <cell r="W17">
            <v>7366</v>
          </cell>
          <cell r="X17">
            <v>10514</v>
          </cell>
          <cell r="Y17">
            <v>8622</v>
          </cell>
          <cell r="Z17">
            <v>33894</v>
          </cell>
          <cell r="AB17">
            <v>7848</v>
          </cell>
          <cell r="AC17">
            <v>8009</v>
          </cell>
          <cell r="AD17">
            <v>10734</v>
          </cell>
          <cell r="AE17">
            <v>9397</v>
          </cell>
          <cell r="AF17">
            <v>35988</v>
          </cell>
          <cell r="AH17">
            <v>8033</v>
          </cell>
          <cell r="AI17">
            <v>8093</v>
          </cell>
          <cell r="AJ17">
            <v>10722</v>
          </cell>
          <cell r="AK17">
            <v>7696</v>
          </cell>
          <cell r="AL17">
            <v>34544</v>
          </cell>
          <cell r="AN17">
            <v>7567</v>
          </cell>
          <cell r="AO17">
            <v>8083</v>
          </cell>
          <cell r="AP17">
            <v>9859</v>
          </cell>
          <cell r="AQ17">
            <v>8234</v>
          </cell>
          <cell r="AR17">
            <v>33743</v>
          </cell>
          <cell r="AT17">
            <v>7372</v>
          </cell>
          <cell r="AU17">
            <v>8076</v>
          </cell>
          <cell r="AV17">
            <v>10936</v>
          </cell>
          <cell r="AW17">
            <v>8898.4026721012488</v>
          </cell>
          <cell r="AX17">
            <v>35282.402672101249</v>
          </cell>
          <cell r="AZ17">
            <v>8479.3408730949686</v>
          </cell>
          <cell r="BA17">
            <v>8730.5148799454346</v>
          </cell>
          <cell r="BB17">
            <v>11507.745257659763</v>
          </cell>
          <cell r="BC17">
            <v>10183.301847920984</v>
          </cell>
          <cell r="BD17">
            <v>38900.90285862115</v>
          </cell>
          <cell r="BF17">
            <v>8467.9063128602229</v>
          </cell>
          <cell r="BG17">
            <v>8942.2810546783639</v>
          </cell>
          <cell r="BH17">
            <v>11875.068395495402</v>
          </cell>
          <cell r="BI17">
            <v>10373.856553296431</v>
          </cell>
          <cell r="BJ17">
            <v>39659.112316330415</v>
          </cell>
        </row>
        <row r="18">
          <cell r="A18" t="str">
            <v>Real Estate taxes</v>
          </cell>
          <cell r="J18">
            <v>5747</v>
          </cell>
          <cell r="K18">
            <v>5669</v>
          </cell>
          <cell r="L18">
            <v>5765</v>
          </cell>
          <cell r="M18">
            <v>5986</v>
          </cell>
          <cell r="N18">
            <v>23167</v>
          </cell>
          <cell r="P18">
            <v>6264</v>
          </cell>
          <cell r="Q18">
            <v>6328</v>
          </cell>
          <cell r="R18">
            <v>6857</v>
          </cell>
          <cell r="S18">
            <v>7359</v>
          </cell>
          <cell r="T18">
            <v>26808</v>
          </cell>
          <cell r="V18">
            <v>7414</v>
          </cell>
          <cell r="W18">
            <v>7272</v>
          </cell>
          <cell r="X18">
            <v>7308</v>
          </cell>
          <cell r="Y18">
            <v>7410</v>
          </cell>
          <cell r="Z18">
            <v>29404</v>
          </cell>
          <cell r="AB18">
            <v>7378</v>
          </cell>
          <cell r="AC18">
            <v>7234</v>
          </cell>
          <cell r="AD18">
            <v>7666</v>
          </cell>
          <cell r="AE18">
            <v>7909</v>
          </cell>
          <cell r="AF18">
            <v>30187</v>
          </cell>
          <cell r="AH18">
            <v>7508</v>
          </cell>
          <cell r="AI18">
            <v>7261</v>
          </cell>
          <cell r="AJ18">
            <v>7245</v>
          </cell>
          <cell r="AK18">
            <v>7867</v>
          </cell>
          <cell r="AL18">
            <v>29881</v>
          </cell>
          <cell r="AN18">
            <v>8021</v>
          </cell>
          <cell r="AO18">
            <v>7875</v>
          </cell>
          <cell r="AP18">
            <v>7599</v>
          </cell>
          <cell r="AQ18">
            <v>7758</v>
          </cell>
          <cell r="AR18">
            <v>31253</v>
          </cell>
          <cell r="AT18">
            <v>8001</v>
          </cell>
          <cell r="AU18">
            <v>8660</v>
          </cell>
          <cell r="AV18">
            <v>8335</v>
          </cell>
          <cell r="AW18">
            <v>8898.4026721012488</v>
          </cell>
          <cell r="AX18">
            <v>33894.402672101249</v>
          </cell>
          <cell r="AZ18">
            <v>8728.7332517154082</v>
          </cell>
          <cell r="BA18">
            <v>8780.6902528186838</v>
          </cell>
          <cell r="BB18">
            <v>8832.6992109230632</v>
          </cell>
          <cell r="BC18">
            <v>8910.389116930859</v>
          </cell>
          <cell r="BD18">
            <v>35252.511832388016</v>
          </cell>
          <cell r="BF18">
            <v>8696.2387569035691</v>
          </cell>
          <cell r="BG18">
            <v>8736.711375260471</v>
          </cell>
          <cell r="BH18">
            <v>9035.3781270073705</v>
          </cell>
          <cell r="BI18">
            <v>9077.124484134376</v>
          </cell>
          <cell r="BJ18">
            <v>35545.452743305788</v>
          </cell>
        </row>
        <row r="19">
          <cell r="A19" t="str">
            <v>Insurance</v>
          </cell>
          <cell r="J19">
            <v>982</v>
          </cell>
          <cell r="K19">
            <v>988</v>
          </cell>
          <cell r="L19">
            <v>992</v>
          </cell>
          <cell r="M19">
            <v>1031</v>
          </cell>
          <cell r="N19">
            <v>3993</v>
          </cell>
          <cell r="P19">
            <v>1041</v>
          </cell>
          <cell r="Q19">
            <v>1043</v>
          </cell>
          <cell r="R19">
            <v>1056</v>
          </cell>
          <cell r="S19">
            <v>1063</v>
          </cell>
          <cell r="T19">
            <v>4203</v>
          </cell>
          <cell r="V19">
            <v>1216</v>
          </cell>
          <cell r="W19">
            <v>1495</v>
          </cell>
          <cell r="X19">
            <v>1500</v>
          </cell>
          <cell r="Y19">
            <v>1516</v>
          </cell>
          <cell r="Z19">
            <v>5727</v>
          </cell>
          <cell r="AB19">
            <v>1660</v>
          </cell>
          <cell r="AC19">
            <v>2104</v>
          </cell>
          <cell r="AD19">
            <v>2187</v>
          </cell>
          <cell r="AE19">
            <v>2210</v>
          </cell>
          <cell r="AF19">
            <v>8161</v>
          </cell>
          <cell r="AH19">
            <v>2125</v>
          </cell>
          <cell r="AI19">
            <v>2080</v>
          </cell>
          <cell r="AJ19">
            <v>2166</v>
          </cell>
          <cell r="AK19">
            <v>2145</v>
          </cell>
          <cell r="AL19">
            <v>8516</v>
          </cell>
          <cell r="AN19">
            <v>2061</v>
          </cell>
          <cell r="AO19">
            <v>1994</v>
          </cell>
          <cell r="AP19">
            <v>1878</v>
          </cell>
          <cell r="AQ19">
            <v>1833</v>
          </cell>
          <cell r="AR19">
            <v>7766</v>
          </cell>
          <cell r="AT19">
            <v>1700</v>
          </cell>
          <cell r="AU19">
            <v>1845</v>
          </cell>
          <cell r="AV19">
            <v>1828</v>
          </cell>
          <cell r="AW19">
            <v>1840.9807625690762</v>
          </cell>
          <cell r="AX19">
            <v>7213.9807625690764</v>
          </cell>
          <cell r="AZ19">
            <v>1857.4745578999116</v>
          </cell>
          <cell r="BA19">
            <v>1868.5310084604951</v>
          </cell>
          <cell r="BB19">
            <v>1879.5985154716391</v>
          </cell>
          <cell r="BC19">
            <v>1896.1309285553768</v>
          </cell>
          <cell r="BD19">
            <v>7501.7350103874223</v>
          </cell>
          <cell r="BF19">
            <v>1904.9879562720839</v>
          </cell>
          <cell r="BG19">
            <v>1913.8538410165074</v>
          </cell>
          <cell r="BH19">
            <v>1922.7285916456756</v>
          </cell>
          <cell r="BI19">
            <v>1931.6122170254728</v>
          </cell>
          <cell r="BJ19">
            <v>7673.1826059597397</v>
          </cell>
        </row>
        <row r="20">
          <cell r="A20" t="str">
            <v>Ground rent</v>
          </cell>
          <cell r="J20">
            <v>181</v>
          </cell>
          <cell r="K20">
            <v>313</v>
          </cell>
          <cell r="L20">
            <v>199</v>
          </cell>
          <cell r="M20">
            <v>198</v>
          </cell>
          <cell r="N20">
            <v>891</v>
          </cell>
          <cell r="P20">
            <v>198</v>
          </cell>
          <cell r="Q20">
            <v>596</v>
          </cell>
          <cell r="R20">
            <v>222</v>
          </cell>
          <cell r="S20">
            <v>198</v>
          </cell>
          <cell r="T20">
            <v>1214</v>
          </cell>
          <cell r="V20">
            <v>1151</v>
          </cell>
          <cell r="W20">
            <v>233</v>
          </cell>
          <cell r="X20">
            <v>240</v>
          </cell>
          <cell r="Y20">
            <v>261</v>
          </cell>
          <cell r="Z20">
            <v>1885</v>
          </cell>
          <cell r="AB20">
            <v>68</v>
          </cell>
          <cell r="AC20">
            <v>270</v>
          </cell>
          <cell r="AD20">
            <v>278</v>
          </cell>
          <cell r="AE20">
            <v>279</v>
          </cell>
          <cell r="AF20">
            <v>895</v>
          </cell>
          <cell r="AH20">
            <v>42</v>
          </cell>
          <cell r="AI20">
            <v>322</v>
          </cell>
          <cell r="AJ20">
            <v>326</v>
          </cell>
          <cell r="AK20">
            <v>271</v>
          </cell>
          <cell r="AL20">
            <v>961</v>
          </cell>
          <cell r="AN20">
            <v>125</v>
          </cell>
          <cell r="AO20">
            <v>207</v>
          </cell>
          <cell r="AP20">
            <v>207</v>
          </cell>
          <cell r="AQ20">
            <v>207</v>
          </cell>
          <cell r="AR20">
            <v>746</v>
          </cell>
          <cell r="AT20">
            <v>303</v>
          </cell>
          <cell r="AU20">
            <v>334</v>
          </cell>
          <cell r="AV20">
            <v>317</v>
          </cell>
          <cell r="AW20">
            <v>319.25104033610347</v>
          </cell>
          <cell r="AX20">
            <v>1273.2510403361034</v>
          </cell>
          <cell r="AZ20">
            <v>322.11128821349672</v>
          </cell>
          <cell r="BA20">
            <v>324.02862674068757</v>
          </cell>
          <cell r="BB20">
            <v>325.9478826064057</v>
          </cell>
          <cell r="BC20">
            <v>328.81482732606918</v>
          </cell>
          <cell r="BD20">
            <v>1300.9026248866592</v>
          </cell>
          <cell r="BF20">
            <v>204.61738251537807</v>
          </cell>
          <cell r="BG20">
            <v>205.56967941789344</v>
          </cell>
          <cell r="BH20">
            <v>206.52292861731132</v>
          </cell>
          <cell r="BI20">
            <v>207.4771310659286</v>
          </cell>
          <cell r="BJ20">
            <v>824.18712161651138</v>
          </cell>
        </row>
        <row r="21">
          <cell r="A21" t="str">
            <v>Property administrative</v>
          </cell>
          <cell r="J21">
            <v>2589</v>
          </cell>
          <cell r="K21">
            <v>2681</v>
          </cell>
          <cell r="L21">
            <v>2925</v>
          </cell>
          <cell r="M21">
            <v>3831</v>
          </cell>
          <cell r="N21">
            <v>12026</v>
          </cell>
          <cell r="P21">
            <v>3332</v>
          </cell>
          <cell r="Q21">
            <v>3333</v>
          </cell>
          <cell r="R21">
            <v>3143</v>
          </cell>
          <cell r="S21">
            <v>3622</v>
          </cell>
          <cell r="T21">
            <v>13430</v>
          </cell>
          <cell r="V21">
            <v>3661</v>
          </cell>
          <cell r="W21">
            <v>3680</v>
          </cell>
          <cell r="X21">
            <v>3562</v>
          </cell>
          <cell r="Y21">
            <v>4048</v>
          </cell>
          <cell r="Z21">
            <v>14951</v>
          </cell>
          <cell r="AB21">
            <v>3827</v>
          </cell>
          <cell r="AC21">
            <v>3697</v>
          </cell>
          <cell r="AD21">
            <v>4166</v>
          </cell>
          <cell r="AE21">
            <v>4054</v>
          </cell>
          <cell r="AF21">
            <v>15744</v>
          </cell>
          <cell r="AH21">
            <v>4138</v>
          </cell>
          <cell r="AI21">
            <v>4760</v>
          </cell>
          <cell r="AJ21">
            <v>4001</v>
          </cell>
          <cell r="AK21">
            <v>4073</v>
          </cell>
          <cell r="AL21">
            <v>16972</v>
          </cell>
          <cell r="AN21">
            <v>4982</v>
          </cell>
          <cell r="AO21">
            <v>4475</v>
          </cell>
          <cell r="AP21">
            <v>4189</v>
          </cell>
          <cell r="AQ21">
            <v>4617</v>
          </cell>
          <cell r="AR21">
            <v>18263</v>
          </cell>
          <cell r="AT21">
            <v>4412</v>
          </cell>
          <cell r="AU21">
            <v>5336</v>
          </cell>
          <cell r="AV21">
            <v>5062</v>
          </cell>
          <cell r="AW21">
            <v>4943.5570400562501</v>
          </cell>
          <cell r="AX21">
            <v>19753.55704005625</v>
          </cell>
          <cell r="AZ21">
            <v>5187.361475305157</v>
          </cell>
          <cell r="BA21">
            <v>5218.2387788179603</v>
          </cell>
          <cell r="BB21">
            <v>5249.1469596342777</v>
          </cell>
          <cell r="BC21">
            <v>5295.3169609189108</v>
          </cell>
          <cell r="BD21">
            <v>20950.064174676307</v>
          </cell>
          <cell r="BF21">
            <v>5320.0519453998295</v>
          </cell>
          <cell r="BG21">
            <v>5344.8116648652294</v>
          </cell>
          <cell r="BH21">
            <v>5369.5961440500942</v>
          </cell>
          <cell r="BI21">
            <v>5394.4054077141436</v>
          </cell>
          <cell r="BJ21">
            <v>21428.865162029299</v>
          </cell>
        </row>
        <row r="22">
          <cell r="A22" t="str">
            <v xml:space="preserve">  Property Expenses</v>
          </cell>
          <cell r="B22">
            <v>44332</v>
          </cell>
          <cell r="D22">
            <v>16738</v>
          </cell>
          <cell r="E22">
            <v>21543</v>
          </cell>
          <cell r="F22">
            <v>24072</v>
          </cell>
          <cell r="G22">
            <v>24217</v>
          </cell>
          <cell r="H22">
            <v>86570</v>
          </cell>
          <cell r="J22">
            <v>23510</v>
          </cell>
          <cell r="K22">
            <v>24444</v>
          </cell>
          <cell r="L22">
            <v>26744</v>
          </cell>
          <cell r="M22">
            <v>26586</v>
          </cell>
          <cell r="N22">
            <v>101284</v>
          </cell>
          <cell r="P22">
            <v>25347</v>
          </cell>
          <cell r="Q22">
            <v>26721</v>
          </cell>
          <cell r="R22">
            <v>29516</v>
          </cell>
          <cell r="S22">
            <v>29333</v>
          </cell>
          <cell r="T22">
            <v>110917</v>
          </cell>
          <cell r="V22">
            <v>29842</v>
          </cell>
          <cell r="W22">
            <v>29274</v>
          </cell>
          <cell r="X22">
            <v>32016</v>
          </cell>
          <cell r="Y22">
            <v>31444</v>
          </cell>
          <cell r="Z22">
            <v>122576</v>
          </cell>
          <cell r="AB22">
            <v>30226</v>
          </cell>
          <cell r="AC22">
            <v>30918</v>
          </cell>
          <cell r="AD22">
            <v>34935</v>
          </cell>
          <cell r="AE22">
            <v>34743</v>
          </cell>
          <cell r="AF22">
            <v>130822</v>
          </cell>
          <cell r="AH22">
            <v>32267</v>
          </cell>
          <cell r="AI22">
            <v>33614</v>
          </cell>
          <cell r="AJ22">
            <v>35255</v>
          </cell>
          <cell r="AK22">
            <v>33381</v>
          </cell>
          <cell r="AL22">
            <v>134517</v>
          </cell>
          <cell r="AN22">
            <v>34097</v>
          </cell>
          <cell r="AO22">
            <v>34163</v>
          </cell>
          <cell r="AP22">
            <v>35069</v>
          </cell>
          <cell r="AQ22">
            <v>33985</v>
          </cell>
          <cell r="AR22">
            <v>137314</v>
          </cell>
          <cell r="AT22">
            <v>33549</v>
          </cell>
          <cell r="AU22">
            <v>36945</v>
          </cell>
          <cell r="AV22">
            <v>39771</v>
          </cell>
          <cell r="AW22">
            <v>37951.584772912429</v>
          </cell>
          <cell r="AX22">
            <v>148216.58477291244</v>
          </cell>
          <cell r="AZ22">
            <v>37742.939037388183</v>
          </cell>
          <cell r="BA22">
            <v>38168.301985321159</v>
          </cell>
          <cell r="BB22">
            <v>41119.895493059092</v>
          </cell>
          <cell r="BC22">
            <v>40055.912120907902</v>
          </cell>
          <cell r="BD22">
            <v>157087.04863667634</v>
          </cell>
          <cell r="BF22">
            <v>37382.388761162212</v>
          </cell>
          <cell r="BG22">
            <v>37991.332578856804</v>
          </cell>
          <cell r="BH22">
            <v>41316.977225397815</v>
          </cell>
          <cell r="BI22">
            <v>39951.796484856888</v>
          </cell>
          <cell r="BJ22">
            <v>156642.49505027372</v>
          </cell>
          <cell r="BM22" t="str">
            <v>mstag:propertyOperatingExpenses</v>
          </cell>
          <cell r="BN22">
            <v>3</v>
          </cell>
          <cell r="BO22" t="str">
            <v>ISO4217:USD</v>
          </cell>
          <cell r="BP22" t="b">
            <v>0</v>
          </cell>
          <cell r="BQ22" t="b">
            <v>0</v>
          </cell>
        </row>
        <row r="23">
          <cell r="A23" t="str">
            <v xml:space="preserve">  Acquisition &amp; Development NOI</v>
          </cell>
          <cell r="B23">
            <v>0</v>
          </cell>
          <cell r="D23">
            <v>0</v>
          </cell>
          <cell r="E23">
            <v>0</v>
          </cell>
          <cell r="F23">
            <v>0</v>
          </cell>
          <cell r="G23">
            <v>0</v>
          </cell>
          <cell r="H23">
            <v>0</v>
          </cell>
          <cell r="J23">
            <v>0</v>
          </cell>
          <cell r="K23">
            <v>0</v>
          </cell>
          <cell r="L23">
            <v>0</v>
          </cell>
          <cell r="M23">
            <v>0</v>
          </cell>
          <cell r="N23">
            <v>0</v>
          </cell>
          <cell r="P23">
            <v>0</v>
          </cell>
          <cell r="Q23">
            <v>0</v>
          </cell>
          <cell r="R23">
            <v>0</v>
          </cell>
          <cell r="S23">
            <v>0</v>
          </cell>
          <cell r="T23">
            <v>0</v>
          </cell>
          <cell r="V23">
            <v>0</v>
          </cell>
          <cell r="W23">
            <v>0</v>
          </cell>
          <cell r="X23">
            <v>0</v>
          </cell>
          <cell r="Y23">
            <v>0</v>
          </cell>
          <cell r="Z23">
            <v>0</v>
          </cell>
          <cell r="AB23">
            <v>0</v>
          </cell>
          <cell r="AC23">
            <v>0</v>
          </cell>
          <cell r="AD23">
            <v>0</v>
          </cell>
          <cell r="AE23">
            <v>0</v>
          </cell>
          <cell r="AF23">
            <v>0</v>
          </cell>
          <cell r="AH23">
            <v>0</v>
          </cell>
          <cell r="AI23">
            <v>0</v>
          </cell>
          <cell r="AJ23">
            <v>0</v>
          </cell>
          <cell r="AK23">
            <v>0</v>
          </cell>
          <cell r="AL23">
            <v>0</v>
          </cell>
          <cell r="AN23">
            <v>0</v>
          </cell>
          <cell r="AO23">
            <v>0</v>
          </cell>
          <cell r="AP23">
            <v>0</v>
          </cell>
          <cell r="AQ23">
            <v>0</v>
          </cell>
          <cell r="AR23">
            <v>0</v>
          </cell>
          <cell r="AT23">
            <v>0</v>
          </cell>
          <cell r="AU23">
            <v>0</v>
          </cell>
          <cell r="AV23">
            <v>0</v>
          </cell>
          <cell r="AW23">
            <v>-995.55999999999983</v>
          </cell>
          <cell r="AX23">
            <v>-995.55999999999983</v>
          </cell>
          <cell r="AZ23">
            <v>-2350.56</v>
          </cell>
          <cell r="BA23">
            <v>-2630.2489</v>
          </cell>
          <cell r="BB23">
            <v>-2187.3245222499995</v>
          </cell>
          <cell r="BC23">
            <v>-1693.4178335556244</v>
          </cell>
          <cell r="BD23">
            <v>-8861.5512558056234</v>
          </cell>
          <cell r="BF23">
            <v>-667.02637813951378</v>
          </cell>
          <cell r="BG23">
            <v>329.35293091513768</v>
          </cell>
          <cell r="BH23">
            <v>1328.9263132424253</v>
          </cell>
          <cell r="BI23">
            <v>2330.998629025531</v>
          </cell>
          <cell r="BJ23">
            <v>3322.2514950435802</v>
          </cell>
          <cell r="BM23" t="str">
            <v>mstag:cumulativeNoiFromAcquisitionsDevelopmentsAndDispositions</v>
          </cell>
          <cell r="BN23">
            <v>3</v>
          </cell>
          <cell r="BO23" t="str">
            <v>ISO4217:USD</v>
          </cell>
          <cell r="BP23" t="b">
            <v>0</v>
          </cell>
          <cell r="BQ23" t="b">
            <v>0</v>
          </cell>
        </row>
        <row r="24">
          <cell r="A24" t="str">
            <v xml:space="preserve">         Net Operating Income</v>
          </cell>
          <cell r="B24">
            <v>89485</v>
          </cell>
          <cell r="D24">
            <v>38021</v>
          </cell>
          <cell r="E24">
            <v>48960</v>
          </cell>
          <cell r="F24">
            <v>52666</v>
          </cell>
          <cell r="G24">
            <v>54850</v>
          </cell>
          <cell r="H24">
            <v>194497</v>
          </cell>
          <cell r="J24">
            <v>55826</v>
          </cell>
          <cell r="K24">
            <v>58268</v>
          </cell>
          <cell r="L24">
            <v>59979</v>
          </cell>
          <cell r="M24">
            <v>62496</v>
          </cell>
          <cell r="N24">
            <v>236569</v>
          </cell>
          <cell r="P24">
            <v>64331</v>
          </cell>
          <cell r="Q24">
            <v>66135</v>
          </cell>
          <cell r="R24">
            <v>69515</v>
          </cell>
          <cell r="S24">
            <v>73692</v>
          </cell>
          <cell r="T24">
            <v>273673</v>
          </cell>
          <cell r="V24">
            <v>73279</v>
          </cell>
          <cell r="W24">
            <v>73706</v>
          </cell>
          <cell r="X24">
            <v>73815</v>
          </cell>
          <cell r="Y24">
            <v>75149</v>
          </cell>
          <cell r="Z24">
            <v>295949</v>
          </cell>
          <cell r="AB24">
            <v>72038</v>
          </cell>
          <cell r="AC24">
            <v>71717</v>
          </cell>
          <cell r="AD24">
            <v>69443</v>
          </cell>
          <cell r="AE24">
            <v>70390</v>
          </cell>
          <cell r="AF24">
            <v>283588</v>
          </cell>
          <cell r="AH24">
            <v>72009</v>
          </cell>
          <cell r="AI24">
            <v>71557</v>
          </cell>
          <cell r="AJ24">
            <v>69603</v>
          </cell>
          <cell r="AK24">
            <v>71666</v>
          </cell>
          <cell r="AL24">
            <v>284835</v>
          </cell>
          <cell r="AN24">
            <v>70382</v>
          </cell>
          <cell r="AO24">
            <v>71235</v>
          </cell>
          <cell r="AP24">
            <v>69447</v>
          </cell>
          <cell r="AQ24">
            <v>71584</v>
          </cell>
          <cell r="AR24">
            <v>282648</v>
          </cell>
          <cell r="AT24">
            <v>68571</v>
          </cell>
          <cell r="AU24">
            <v>72783</v>
          </cell>
          <cell r="AV24">
            <v>74828</v>
          </cell>
          <cell r="AW24">
            <v>75050.37808145248</v>
          </cell>
          <cell r="AX24">
            <v>291232.37808145245</v>
          </cell>
          <cell r="AZ24">
            <v>74026.561700565391</v>
          </cell>
          <cell r="BA24">
            <v>74025.921273321976</v>
          </cell>
          <cell r="BB24">
            <v>72575.980703004301</v>
          </cell>
          <cell r="BC24">
            <v>74949.155810885452</v>
          </cell>
          <cell r="BD24">
            <v>295577.61948777712</v>
          </cell>
          <cell r="BF24">
            <v>78791.357993111262</v>
          </cell>
          <cell r="BG24">
            <v>79781.142837014428</v>
          </cell>
          <cell r="BH24">
            <v>78438.27613860034</v>
          </cell>
          <cell r="BI24">
            <v>81132.535820847843</v>
          </cell>
          <cell r="BJ24">
            <v>318143.31278957386</v>
          </cell>
        </row>
        <row r="26">
          <cell r="A26" t="str">
            <v xml:space="preserve">  General and Administrative</v>
          </cell>
          <cell r="B26">
            <v>4322</v>
          </cell>
          <cell r="D26">
            <v>1635</v>
          </cell>
          <cell r="E26">
            <v>1388</v>
          </cell>
          <cell r="F26">
            <v>1564</v>
          </cell>
          <cell r="G26">
            <v>2078</v>
          </cell>
          <cell r="H26">
            <v>6665</v>
          </cell>
          <cell r="J26">
            <v>1496</v>
          </cell>
          <cell r="K26">
            <v>1687</v>
          </cell>
          <cell r="L26">
            <v>1832</v>
          </cell>
          <cell r="M26">
            <v>2378</v>
          </cell>
          <cell r="N26">
            <v>7393</v>
          </cell>
          <cell r="P26">
            <v>1821</v>
          </cell>
          <cell r="Q26">
            <v>1838</v>
          </cell>
          <cell r="R26">
            <v>2297</v>
          </cell>
          <cell r="S26">
            <v>3380</v>
          </cell>
          <cell r="T26">
            <v>9336</v>
          </cell>
          <cell r="V26">
            <v>2866</v>
          </cell>
          <cell r="W26">
            <v>2716</v>
          </cell>
          <cell r="X26">
            <v>2505</v>
          </cell>
          <cell r="Y26">
            <v>4056</v>
          </cell>
          <cell r="Z26">
            <v>12143</v>
          </cell>
          <cell r="AB26">
            <v>2960</v>
          </cell>
          <cell r="AC26">
            <v>2951</v>
          </cell>
          <cell r="AD26">
            <v>3323</v>
          </cell>
          <cell r="AE26">
            <v>3932</v>
          </cell>
          <cell r="AF26">
            <v>13166</v>
          </cell>
          <cell r="AH26">
            <v>3652</v>
          </cell>
          <cell r="AI26">
            <v>4225</v>
          </cell>
          <cell r="AJ26">
            <v>4697</v>
          </cell>
          <cell r="AK26">
            <v>5549</v>
          </cell>
          <cell r="AL26">
            <v>18123</v>
          </cell>
          <cell r="AN26">
            <v>4484</v>
          </cell>
          <cell r="AO26">
            <v>4665</v>
          </cell>
          <cell r="AP26">
            <v>4823</v>
          </cell>
          <cell r="AQ26">
            <v>5531</v>
          </cell>
          <cell r="AR26">
            <v>19503</v>
          </cell>
          <cell r="AT26">
            <v>8245</v>
          </cell>
          <cell r="AU26">
            <v>7560</v>
          </cell>
          <cell r="AV26">
            <v>7101</v>
          </cell>
          <cell r="AW26">
            <v>7409.83898553372</v>
          </cell>
          <cell r="AX26">
            <v>30315.838985533719</v>
          </cell>
          <cell r="AZ26">
            <v>7988.4042516567515</v>
          </cell>
          <cell r="BA26">
            <v>8037.7130511050209</v>
          </cell>
          <cell r="BB26">
            <v>8111.8240502819372</v>
          </cell>
          <cell r="BC26">
            <v>8168.894003574429</v>
          </cell>
          <cell r="BD26">
            <v>32306.835356618139</v>
          </cell>
          <cell r="BF26">
            <v>8178.8541192689108</v>
          </cell>
          <cell r="BG26">
            <v>8221.0185739469271</v>
          </cell>
          <cell r="BH26">
            <v>8289.8428935529028</v>
          </cell>
          <cell r="BI26">
            <v>8312.733357367546</v>
          </cell>
          <cell r="BJ26">
            <v>33002.448944136282</v>
          </cell>
          <cell r="BM26" t="str">
            <v>mstag:generalAndAdministrativeExpensesByNature</v>
          </cell>
          <cell r="BN26">
            <v>3</v>
          </cell>
          <cell r="BO26" t="str">
            <v>ISO4217:USD</v>
          </cell>
          <cell r="BP26" t="b">
            <v>0</v>
          </cell>
          <cell r="BQ26" t="b">
            <v>0</v>
          </cell>
        </row>
        <row r="27">
          <cell r="A27" t="str">
            <v>EBITDA</v>
          </cell>
          <cell r="B27">
            <v>85163</v>
          </cell>
          <cell r="D27">
            <v>36386</v>
          </cell>
          <cell r="E27">
            <v>47572</v>
          </cell>
          <cell r="F27">
            <v>51102</v>
          </cell>
          <cell r="G27">
            <v>52772</v>
          </cell>
          <cell r="H27">
            <v>187832</v>
          </cell>
          <cell r="J27">
            <v>54330</v>
          </cell>
          <cell r="K27">
            <v>56581</v>
          </cell>
          <cell r="L27">
            <v>58147</v>
          </cell>
          <cell r="M27">
            <v>60118</v>
          </cell>
          <cell r="N27">
            <v>229176</v>
          </cell>
          <cell r="P27">
            <v>62510</v>
          </cell>
          <cell r="Q27">
            <v>64297</v>
          </cell>
          <cell r="R27">
            <v>67218</v>
          </cell>
          <cell r="S27">
            <v>70312</v>
          </cell>
          <cell r="T27">
            <v>264337</v>
          </cell>
          <cell r="V27">
            <v>70413</v>
          </cell>
          <cell r="W27">
            <v>70990</v>
          </cell>
          <cell r="X27">
            <v>71310</v>
          </cell>
          <cell r="Y27">
            <v>71093</v>
          </cell>
          <cell r="Z27">
            <v>283806</v>
          </cell>
          <cell r="AB27">
            <v>69078</v>
          </cell>
          <cell r="AC27">
            <v>68766</v>
          </cell>
          <cell r="AD27">
            <v>66120</v>
          </cell>
          <cell r="AE27">
            <v>66458</v>
          </cell>
          <cell r="AF27">
            <v>270422</v>
          </cell>
          <cell r="AH27">
            <v>68357</v>
          </cell>
          <cell r="AI27">
            <v>67332</v>
          </cell>
          <cell r="AJ27">
            <v>64906</v>
          </cell>
          <cell r="AK27">
            <v>66117</v>
          </cell>
          <cell r="AL27">
            <v>266712</v>
          </cell>
          <cell r="AN27">
            <v>65898</v>
          </cell>
          <cell r="AO27">
            <v>66570</v>
          </cell>
          <cell r="AP27">
            <v>64624</v>
          </cell>
          <cell r="AQ27">
            <v>66053</v>
          </cell>
          <cell r="AR27">
            <v>263145</v>
          </cell>
          <cell r="AT27">
            <v>60326</v>
          </cell>
          <cell r="AU27">
            <v>65223</v>
          </cell>
          <cell r="AV27">
            <v>67727</v>
          </cell>
          <cell r="AW27">
            <v>67640.539095918764</v>
          </cell>
          <cell r="AX27">
            <v>260916.53909591874</v>
          </cell>
          <cell r="AZ27">
            <v>66038.157448908634</v>
          </cell>
          <cell r="BA27">
            <v>65988.208222216956</v>
          </cell>
          <cell r="BB27">
            <v>64464.156652722362</v>
          </cell>
          <cell r="BC27">
            <v>66780.261807311021</v>
          </cell>
          <cell r="BD27">
            <v>263270.78413115896</v>
          </cell>
          <cell r="BF27">
            <v>70612.503873842346</v>
          </cell>
          <cell r="BG27">
            <v>71560.124263067497</v>
          </cell>
          <cell r="BH27">
            <v>70148.433245047432</v>
          </cell>
          <cell r="BI27">
            <v>72819.802463480301</v>
          </cell>
          <cell r="BJ27">
            <v>285140.86384543759</v>
          </cell>
        </row>
        <row r="28">
          <cell r="F28" t="str">
            <v xml:space="preserve"> </v>
          </cell>
          <cell r="J28" t="str">
            <v xml:space="preserve"> </v>
          </cell>
        </row>
        <row r="29">
          <cell r="A29" t="str">
            <v xml:space="preserve">  Interest Expense</v>
          </cell>
          <cell r="B29">
            <v>19511</v>
          </cell>
          <cell r="D29">
            <v>8612</v>
          </cell>
          <cell r="E29">
            <v>10539</v>
          </cell>
          <cell r="F29">
            <v>11988</v>
          </cell>
          <cell r="G29">
            <v>12264</v>
          </cell>
          <cell r="H29">
            <v>43403</v>
          </cell>
          <cell r="J29">
            <v>13183</v>
          </cell>
          <cell r="K29">
            <v>14455</v>
          </cell>
          <cell r="L29">
            <v>16047</v>
          </cell>
          <cell r="M29">
            <v>16554</v>
          </cell>
          <cell r="N29">
            <v>60239</v>
          </cell>
          <cell r="P29">
            <v>17852</v>
          </cell>
          <cell r="Q29">
            <v>18770</v>
          </cell>
          <cell r="R29">
            <v>20345</v>
          </cell>
          <cell r="S29">
            <v>21439</v>
          </cell>
          <cell r="T29">
            <v>78406</v>
          </cell>
          <cell r="V29">
            <v>21158</v>
          </cell>
          <cell r="W29">
            <v>21081</v>
          </cell>
          <cell r="X29">
            <v>20819</v>
          </cell>
          <cell r="Y29">
            <v>21137</v>
          </cell>
          <cell r="Z29">
            <v>84195</v>
          </cell>
          <cell r="AB29">
            <v>21397</v>
          </cell>
          <cell r="AC29">
            <v>21584</v>
          </cell>
          <cell r="AD29">
            <v>22403</v>
          </cell>
          <cell r="AE29">
            <v>23132</v>
          </cell>
          <cell r="AF29">
            <v>88516</v>
          </cell>
          <cell r="AH29">
            <v>23035</v>
          </cell>
          <cell r="AI29">
            <v>23254</v>
          </cell>
          <cell r="AJ29">
            <v>23953</v>
          </cell>
          <cell r="AK29">
            <v>23525</v>
          </cell>
          <cell r="AL29">
            <v>93767</v>
          </cell>
          <cell r="AN29">
            <v>23313</v>
          </cell>
          <cell r="AO29">
            <v>21184</v>
          </cell>
          <cell r="AP29">
            <v>21517</v>
          </cell>
          <cell r="AQ29">
            <v>23338</v>
          </cell>
          <cell r="AR29">
            <v>89352</v>
          </cell>
          <cell r="AT29">
            <v>22926</v>
          </cell>
          <cell r="AU29">
            <v>24913</v>
          </cell>
          <cell r="AV29">
            <v>25030</v>
          </cell>
          <cell r="AW29">
            <v>23947.79113817673</v>
          </cell>
          <cell r="AX29">
            <v>96816.791138176734</v>
          </cell>
          <cell r="AZ29">
            <v>23109.903066038587</v>
          </cell>
          <cell r="BA29">
            <v>22891.015889327286</v>
          </cell>
          <cell r="BB29">
            <v>23222.339621691175</v>
          </cell>
          <cell r="BC29">
            <v>23583.861503604581</v>
          </cell>
          <cell r="BD29">
            <v>92807.120080661625</v>
          </cell>
          <cell r="BF29">
            <v>24356.704950749761</v>
          </cell>
          <cell r="BG29">
            <v>25441.92093457278</v>
          </cell>
          <cell r="BH29">
            <v>26272.797052394293</v>
          </cell>
          <cell r="BI29">
            <v>27128.956124106553</v>
          </cell>
          <cell r="BJ29">
            <v>103200.37906182339</v>
          </cell>
          <cell r="BM29" t="str">
            <v>mstag:interestExpense</v>
          </cell>
          <cell r="BN29">
            <v>3</v>
          </cell>
          <cell r="BO29" t="str">
            <v>ISO4217:USD</v>
          </cell>
          <cell r="BP29" t="b">
            <v>0</v>
          </cell>
          <cell r="BQ29" t="b">
            <v>0</v>
          </cell>
        </row>
        <row r="30">
          <cell r="A30" t="str">
            <v xml:space="preserve">  Depreciation and Amort.</v>
          </cell>
          <cell r="B30">
            <v>20260</v>
          </cell>
          <cell r="D30">
            <v>11296</v>
          </cell>
          <cell r="E30">
            <v>12930</v>
          </cell>
          <cell r="F30">
            <v>12954</v>
          </cell>
          <cell r="G30">
            <v>14642</v>
          </cell>
          <cell r="H30">
            <v>51822</v>
          </cell>
          <cell r="J30">
            <v>16215</v>
          </cell>
          <cell r="K30">
            <v>17173</v>
          </cell>
          <cell r="L30">
            <v>17810</v>
          </cell>
          <cell r="M30">
            <v>18639</v>
          </cell>
          <cell r="N30">
            <v>69837</v>
          </cell>
          <cell r="P30">
            <v>20147</v>
          </cell>
          <cell r="Q30">
            <v>21277</v>
          </cell>
          <cell r="R30">
            <v>22528</v>
          </cell>
          <cell r="S30">
            <v>23315</v>
          </cell>
          <cell r="T30">
            <v>87267</v>
          </cell>
          <cell r="V30">
            <v>24146</v>
          </cell>
          <cell r="W30">
            <v>24176</v>
          </cell>
          <cell r="X30">
            <v>25854</v>
          </cell>
          <cell r="Y30">
            <v>27643</v>
          </cell>
          <cell r="Z30">
            <v>101819</v>
          </cell>
          <cell r="AB30">
            <v>26383</v>
          </cell>
          <cell r="AC30">
            <v>28822</v>
          </cell>
          <cell r="AD30">
            <v>27650</v>
          </cell>
          <cell r="AE30">
            <v>28254</v>
          </cell>
          <cell r="AF30">
            <v>111109</v>
          </cell>
          <cell r="AH30">
            <v>28961</v>
          </cell>
          <cell r="AI30">
            <v>30049</v>
          </cell>
          <cell r="AJ30">
            <v>30578</v>
          </cell>
          <cell r="AK30">
            <v>29541</v>
          </cell>
          <cell r="AL30">
            <v>119129</v>
          </cell>
          <cell r="AN30">
            <v>30276</v>
          </cell>
          <cell r="AO30">
            <v>31936</v>
          </cell>
          <cell r="AP30">
            <v>30907</v>
          </cell>
          <cell r="AQ30">
            <v>31729</v>
          </cell>
          <cell r="AR30">
            <v>124848</v>
          </cell>
          <cell r="AT30">
            <v>30696</v>
          </cell>
          <cell r="AU30">
            <v>35880</v>
          </cell>
          <cell r="AV30">
            <v>34331</v>
          </cell>
          <cell r="AW30">
            <v>34319.260683485321</v>
          </cell>
          <cell r="AX30">
            <v>135226.26068348531</v>
          </cell>
          <cell r="AZ30">
            <v>33330.676793072074</v>
          </cell>
          <cell r="BA30">
            <v>33220.66743160686</v>
          </cell>
          <cell r="BB30">
            <v>32296.152586542339</v>
          </cell>
          <cell r="BC30">
            <v>32414.793090751773</v>
          </cell>
          <cell r="BD30">
            <v>131262.28990197304</v>
          </cell>
          <cell r="BF30">
            <v>32366.321108470478</v>
          </cell>
          <cell r="BG30">
            <v>33444.841640009276</v>
          </cell>
          <cell r="BH30">
            <v>33633.299269150579</v>
          </cell>
          <cell r="BI30">
            <v>34140.460291793403</v>
          </cell>
          <cell r="BJ30">
            <v>133584.92230942374</v>
          </cell>
          <cell r="BM30" t="str">
            <v>mstag:depreciationInIncomeStatement</v>
          </cell>
          <cell r="BN30">
            <v>3</v>
          </cell>
          <cell r="BO30" t="str">
            <v>ISO4217:USD</v>
          </cell>
          <cell r="BP30" t="b">
            <v>0</v>
          </cell>
          <cell r="BQ30" t="b">
            <v>0</v>
          </cell>
        </row>
        <row r="31">
          <cell r="A31" t="str">
            <v xml:space="preserve">  Interest &amp; Other Income </v>
          </cell>
          <cell r="B31">
            <v>-1481</v>
          </cell>
          <cell r="D31">
            <v>1458</v>
          </cell>
          <cell r="E31">
            <v>-695</v>
          </cell>
          <cell r="F31">
            <v>680</v>
          </cell>
          <cell r="G31">
            <v>682</v>
          </cell>
          <cell r="H31">
            <v>2125</v>
          </cell>
          <cell r="J31">
            <v>670</v>
          </cell>
          <cell r="K31">
            <v>671</v>
          </cell>
          <cell r="L31">
            <v>751</v>
          </cell>
          <cell r="M31">
            <v>730</v>
          </cell>
          <cell r="N31">
            <v>2822</v>
          </cell>
          <cell r="P31">
            <v>855</v>
          </cell>
          <cell r="Q31">
            <v>770</v>
          </cell>
          <cell r="R31">
            <v>948</v>
          </cell>
          <cell r="S31">
            <v>954</v>
          </cell>
          <cell r="T31">
            <v>3527</v>
          </cell>
          <cell r="V31">
            <v>861</v>
          </cell>
          <cell r="W31">
            <v>764</v>
          </cell>
          <cell r="X31">
            <v>706</v>
          </cell>
          <cell r="Y31">
            <v>610</v>
          </cell>
          <cell r="Z31">
            <v>2941</v>
          </cell>
          <cell r="AB31">
            <v>540</v>
          </cell>
          <cell r="AC31">
            <v>512</v>
          </cell>
          <cell r="AD31">
            <v>524</v>
          </cell>
          <cell r="AE31">
            <v>966</v>
          </cell>
          <cell r="AF31">
            <v>2542</v>
          </cell>
          <cell r="AH31">
            <v>132</v>
          </cell>
          <cell r="AI31">
            <v>378</v>
          </cell>
          <cell r="AJ31">
            <v>121</v>
          </cell>
          <cell r="AK31">
            <v>103</v>
          </cell>
          <cell r="AL31">
            <v>734</v>
          </cell>
          <cell r="AN31">
            <v>766</v>
          </cell>
          <cell r="AO31">
            <v>-435</v>
          </cell>
          <cell r="AP31">
            <v>-178</v>
          </cell>
          <cell r="AQ31">
            <v>-660</v>
          </cell>
          <cell r="AR31">
            <v>-507</v>
          </cell>
          <cell r="AT31">
            <v>-808</v>
          </cell>
          <cell r="AU31">
            <v>-893</v>
          </cell>
          <cell r="AV31">
            <v>-567</v>
          </cell>
          <cell r="AW31">
            <v>-568.68504266028162</v>
          </cell>
          <cell r="AX31">
            <v>-2836.6850426602814</v>
          </cell>
          <cell r="AZ31">
            <v>-592.21249360452316</v>
          </cell>
          <cell r="BA31">
            <v>-592.20737018657587</v>
          </cell>
          <cell r="BB31">
            <v>-580.60784562403444</v>
          </cell>
          <cell r="BC31">
            <v>-599.59324648708366</v>
          </cell>
          <cell r="BD31">
            <v>-2364.6209559022172</v>
          </cell>
          <cell r="BF31">
            <v>-630.3308639448901</v>
          </cell>
          <cell r="BG31">
            <v>-638.24914269611543</v>
          </cell>
          <cell r="BH31">
            <v>-627.50620910880275</v>
          </cell>
          <cell r="BI31">
            <v>-649.06028656678279</v>
          </cell>
          <cell r="BJ31">
            <v>-2545.1465023165911</v>
          </cell>
          <cell r="BM31" t="str">
            <v>mstag:otherNonOperatingIncomeExpense</v>
          </cell>
          <cell r="BN31">
            <v>3</v>
          </cell>
          <cell r="BO31" t="str">
            <v>ISO4217:USD</v>
          </cell>
          <cell r="BP31" t="b">
            <v>0</v>
          </cell>
          <cell r="BQ31" t="b">
            <v>0</v>
          </cell>
        </row>
        <row r="32">
          <cell r="A32" t="str">
            <v xml:space="preserve">  Gain on Property Dispositions</v>
          </cell>
          <cell r="B32">
            <v>0</v>
          </cell>
          <cell r="D32">
            <v>0</v>
          </cell>
          <cell r="E32">
            <v>0</v>
          </cell>
          <cell r="F32">
            <v>0</v>
          </cell>
          <cell r="G32">
            <v>0</v>
          </cell>
          <cell r="H32">
            <v>0</v>
          </cell>
          <cell r="J32">
            <v>0</v>
          </cell>
          <cell r="K32">
            <v>0</v>
          </cell>
          <cell r="L32">
            <v>0</v>
          </cell>
          <cell r="M32">
            <v>0</v>
          </cell>
          <cell r="N32">
            <v>0</v>
          </cell>
          <cell r="P32">
            <v>0</v>
          </cell>
          <cell r="Q32">
            <v>0</v>
          </cell>
          <cell r="R32">
            <v>0</v>
          </cell>
          <cell r="S32">
            <v>2132</v>
          </cell>
          <cell r="T32">
            <v>2132</v>
          </cell>
          <cell r="V32">
            <v>0</v>
          </cell>
          <cell r="W32">
            <v>3551</v>
          </cell>
          <cell r="X32">
            <v>24</v>
          </cell>
          <cell r="Y32">
            <v>1016</v>
          </cell>
          <cell r="Z32">
            <v>4591</v>
          </cell>
          <cell r="AB32">
            <v>1192</v>
          </cell>
          <cell r="AC32">
            <v>81</v>
          </cell>
          <cell r="AD32">
            <v>0</v>
          </cell>
          <cell r="AE32">
            <v>694</v>
          </cell>
          <cell r="AF32">
            <v>1967</v>
          </cell>
          <cell r="AH32">
            <v>-639</v>
          </cell>
          <cell r="AI32">
            <v>6021</v>
          </cell>
          <cell r="AJ32">
            <v>0</v>
          </cell>
          <cell r="AK32">
            <v>555</v>
          </cell>
          <cell r="AL32">
            <v>5937</v>
          </cell>
          <cell r="AN32">
            <v>6429</v>
          </cell>
          <cell r="AO32">
            <v>400</v>
          </cell>
          <cell r="AP32">
            <v>937</v>
          </cell>
          <cell r="AQ32">
            <v>22707</v>
          </cell>
          <cell r="AR32">
            <v>30473</v>
          </cell>
          <cell r="AT32">
            <v>2057</v>
          </cell>
          <cell r="AU32">
            <v>4319</v>
          </cell>
          <cell r="AV32">
            <v>33923</v>
          </cell>
          <cell r="AW32">
            <v>7500</v>
          </cell>
          <cell r="AX32">
            <v>47799</v>
          </cell>
          <cell r="AZ32">
            <v>7500</v>
          </cell>
          <cell r="BA32">
            <v>0</v>
          </cell>
          <cell r="BB32">
            <v>0</v>
          </cell>
          <cell r="BC32">
            <v>0</v>
          </cell>
          <cell r="BD32">
            <v>7500</v>
          </cell>
          <cell r="BF32">
            <v>0</v>
          </cell>
          <cell r="BG32">
            <v>0</v>
          </cell>
          <cell r="BH32">
            <v>0</v>
          </cell>
          <cell r="BI32">
            <v>0</v>
          </cell>
          <cell r="BJ32">
            <v>0</v>
          </cell>
          <cell r="BM32" t="str">
            <v>mstag:gainsLossesFromSaleOfOperatingAssetsOneTimeIncomeStatement</v>
          </cell>
          <cell r="BN32">
            <v>3</v>
          </cell>
          <cell r="BO32" t="str">
            <v>ISO4217:USD</v>
          </cell>
          <cell r="BP32" t="b">
            <v>0</v>
          </cell>
          <cell r="BQ32" t="b">
            <v>0</v>
          </cell>
        </row>
        <row r="33">
          <cell r="A33" t="str">
            <v>Income Bef. Min. Interest</v>
          </cell>
          <cell r="B33">
            <v>43911</v>
          </cell>
          <cell r="D33">
            <v>17936</v>
          </cell>
          <cell r="E33">
            <v>24798</v>
          </cell>
          <cell r="F33">
            <v>26840</v>
          </cell>
          <cell r="G33">
            <v>26548</v>
          </cell>
          <cell r="H33">
            <v>96122</v>
          </cell>
          <cell r="J33">
            <v>25602</v>
          </cell>
          <cell r="K33">
            <v>25624</v>
          </cell>
          <cell r="L33">
            <v>25041</v>
          </cell>
          <cell r="M33">
            <v>25655</v>
          </cell>
          <cell r="N33">
            <v>101922</v>
          </cell>
          <cell r="P33">
            <v>25366</v>
          </cell>
          <cell r="Q33">
            <v>25020</v>
          </cell>
          <cell r="R33">
            <v>25293</v>
          </cell>
          <cell r="S33">
            <v>28644</v>
          </cell>
          <cell r="T33">
            <v>104323</v>
          </cell>
          <cell r="V33">
            <v>25970</v>
          </cell>
          <cell r="W33">
            <v>30048</v>
          </cell>
          <cell r="X33">
            <v>25367</v>
          </cell>
          <cell r="Y33">
            <v>23939</v>
          </cell>
          <cell r="Z33">
            <v>105324</v>
          </cell>
          <cell r="AB33">
            <v>23030</v>
          </cell>
          <cell r="AC33">
            <v>18953</v>
          </cell>
          <cell r="AD33">
            <v>16591</v>
          </cell>
          <cell r="AE33">
            <v>16732</v>
          </cell>
          <cell r="AF33">
            <v>75306</v>
          </cell>
          <cell r="AG33" t="str">
            <v xml:space="preserve"> </v>
          </cell>
          <cell r="AH33">
            <v>15854</v>
          </cell>
          <cell r="AI33">
            <v>20428</v>
          </cell>
          <cell r="AJ33">
            <v>10496</v>
          </cell>
          <cell r="AK33">
            <v>13709</v>
          </cell>
          <cell r="AL33">
            <v>60487</v>
          </cell>
          <cell r="AN33">
            <v>19504</v>
          </cell>
          <cell r="AO33">
            <v>13415</v>
          </cell>
          <cell r="AP33">
            <v>12959</v>
          </cell>
          <cell r="AQ33">
            <v>33033</v>
          </cell>
          <cell r="AR33">
            <v>78911</v>
          </cell>
          <cell r="AT33">
            <v>7953</v>
          </cell>
          <cell r="AU33">
            <v>7856</v>
          </cell>
          <cell r="AV33">
            <v>41722</v>
          </cell>
          <cell r="AW33">
            <v>16304.802231596428</v>
          </cell>
          <cell r="AX33">
            <v>73835.802231596434</v>
          </cell>
          <cell r="AZ33">
            <v>16505.365096193447</v>
          </cell>
          <cell r="BA33">
            <v>9284.3175310962306</v>
          </cell>
          <cell r="BB33">
            <v>8365.0565988648104</v>
          </cell>
          <cell r="BC33">
            <v>10182.013966467583</v>
          </cell>
          <cell r="BD33">
            <v>44336.753192622091</v>
          </cell>
          <cell r="BF33">
            <v>13259.146950677221</v>
          </cell>
          <cell r="BG33">
            <v>12035.112545789327</v>
          </cell>
          <cell r="BH33">
            <v>9614.8307143937582</v>
          </cell>
          <cell r="BI33">
            <v>10901.325761013562</v>
          </cell>
          <cell r="BJ33">
            <v>45810.415971873867</v>
          </cell>
        </row>
        <row r="34">
          <cell r="A34" t="str">
            <v xml:space="preserve">  Impairment Charges</v>
          </cell>
          <cell r="AO34">
            <v>-2700</v>
          </cell>
          <cell r="AR34">
            <v>-2700</v>
          </cell>
          <cell r="AT34">
            <v>0</v>
          </cell>
          <cell r="BM34" t="str">
            <v>mstag:assetImpairmentNonGoodwillOneTimeIncomeStatement</v>
          </cell>
          <cell r="BN34">
            <v>3</v>
          </cell>
          <cell r="BO34" t="str">
            <v>ISO4217:USD</v>
          </cell>
          <cell r="BP34" t="b">
            <v>1</v>
          </cell>
          <cell r="BQ34" t="b">
            <v>0</v>
          </cell>
        </row>
        <row r="35">
          <cell r="A35" t="str">
            <v xml:space="preserve">  Minority Interest In Earnings</v>
          </cell>
          <cell r="B35">
            <v>-4281</v>
          </cell>
          <cell r="D35">
            <v>-1752</v>
          </cell>
          <cell r="E35">
            <v>-1183</v>
          </cell>
          <cell r="F35">
            <v>-1253</v>
          </cell>
          <cell r="G35">
            <v>-1259</v>
          </cell>
          <cell r="H35">
            <v>-5447</v>
          </cell>
          <cell r="J35">
            <v>-1211</v>
          </cell>
          <cell r="K35">
            <v>-971</v>
          </cell>
          <cell r="L35">
            <v>-1120</v>
          </cell>
          <cell r="M35">
            <v>-1994</v>
          </cell>
          <cell r="N35">
            <v>-5296</v>
          </cell>
          <cell r="P35">
            <v>-1875</v>
          </cell>
          <cell r="Q35">
            <v>-1822</v>
          </cell>
          <cell r="R35">
            <v>-1921</v>
          </cell>
          <cell r="S35">
            <v>-1995</v>
          </cell>
          <cell r="T35">
            <v>-7613</v>
          </cell>
          <cell r="V35">
            <v>-1897</v>
          </cell>
          <cell r="W35">
            <v>-2031</v>
          </cell>
          <cell r="X35">
            <v>-1878</v>
          </cell>
          <cell r="Y35">
            <v>-1759</v>
          </cell>
          <cell r="Z35">
            <v>-7565</v>
          </cell>
          <cell r="AB35">
            <v>-1677</v>
          </cell>
          <cell r="AC35">
            <v>-1546</v>
          </cell>
          <cell r="AD35">
            <v>-1478</v>
          </cell>
          <cell r="AE35">
            <v>-1527</v>
          </cell>
          <cell r="AF35">
            <v>-6228</v>
          </cell>
          <cell r="AH35">
            <v>-1486</v>
          </cell>
          <cell r="AI35">
            <v>-1440</v>
          </cell>
          <cell r="AJ35">
            <v>-1319</v>
          </cell>
          <cell r="AK35">
            <v>-1383</v>
          </cell>
          <cell r="AL35">
            <v>-5628</v>
          </cell>
          <cell r="AN35">
            <v>-1382</v>
          </cell>
          <cell r="AO35">
            <v>-1307</v>
          </cell>
          <cell r="AP35">
            <v>-2415</v>
          </cell>
          <cell r="AQ35">
            <v>-237</v>
          </cell>
          <cell r="AR35">
            <v>-5341</v>
          </cell>
          <cell r="AT35">
            <v>-164</v>
          </cell>
          <cell r="AU35">
            <v>-89</v>
          </cell>
          <cell r="AV35">
            <v>-201</v>
          </cell>
          <cell r="AW35">
            <v>-91.772579438182959</v>
          </cell>
          <cell r="AX35">
            <v>-545.7725794381829</v>
          </cell>
          <cell r="AZ35">
            <v>-90.520643438032494</v>
          </cell>
          <cell r="BA35">
            <v>-90.519860315261198</v>
          </cell>
          <cell r="BB35">
            <v>-88.746854108340997</v>
          </cell>
          <cell r="BC35">
            <v>-91.648803527867841</v>
          </cell>
          <cell r="BD35">
            <v>-361.43616138950256</v>
          </cell>
          <cell r="BF35">
            <v>-96.34709837993627</v>
          </cell>
          <cell r="BG35">
            <v>-97.557420173588383</v>
          </cell>
          <cell r="BH35">
            <v>-95.915345291282719</v>
          </cell>
          <cell r="BI35">
            <v>-99.20992110871299</v>
          </cell>
          <cell r="BJ35">
            <v>-389.02978495352039</v>
          </cell>
          <cell r="BM35" t="str">
            <v>mstag:shareOfNetIncomeToCommonUnitholdersOfOperatingPartnership</v>
          </cell>
          <cell r="BN35">
            <v>3</v>
          </cell>
          <cell r="BO35" t="str">
            <v>ISO4217:USD</v>
          </cell>
          <cell r="BP35" t="b">
            <v>1</v>
          </cell>
          <cell r="BQ35" t="b">
            <v>0</v>
          </cell>
        </row>
        <row r="36">
          <cell r="A36" t="str">
            <v xml:space="preserve">  Preferred Unit Dividend</v>
          </cell>
          <cell r="B36">
            <v>0</v>
          </cell>
          <cell r="D36">
            <v>0</v>
          </cell>
          <cell r="E36">
            <v>0</v>
          </cell>
          <cell r="F36">
            <v>0</v>
          </cell>
          <cell r="G36">
            <v>0</v>
          </cell>
          <cell r="H36">
            <v>0</v>
          </cell>
          <cell r="J36">
            <v>0</v>
          </cell>
          <cell r="K36">
            <v>0</v>
          </cell>
          <cell r="L36">
            <v>0</v>
          </cell>
          <cell r="M36">
            <v>0</v>
          </cell>
          <cell r="N36">
            <v>0</v>
          </cell>
          <cell r="P36">
            <v>0</v>
          </cell>
          <cell r="Q36">
            <v>0</v>
          </cell>
          <cell r="R36">
            <v>0</v>
          </cell>
          <cell r="S36">
            <v>0</v>
          </cell>
          <cell r="T36">
            <v>0</v>
          </cell>
          <cell r="V36">
            <v>0</v>
          </cell>
          <cell r="W36">
            <v>0</v>
          </cell>
          <cell r="X36">
            <v>0</v>
          </cell>
          <cell r="Y36">
            <v>0</v>
          </cell>
          <cell r="Z36">
            <v>0</v>
          </cell>
          <cell r="AB36">
            <v>0</v>
          </cell>
          <cell r="AC36">
            <v>0</v>
          </cell>
          <cell r="AD36">
            <v>0</v>
          </cell>
          <cell r="AE36">
            <v>0</v>
          </cell>
          <cell r="AF36">
            <v>0</v>
          </cell>
          <cell r="AH36">
            <v>0</v>
          </cell>
          <cell r="AI36">
            <v>0</v>
          </cell>
          <cell r="AJ36">
            <v>0</v>
          </cell>
          <cell r="AK36">
            <v>0</v>
          </cell>
          <cell r="AL36">
            <v>0</v>
          </cell>
          <cell r="AN36">
            <v>0</v>
          </cell>
          <cell r="AO36">
            <v>0</v>
          </cell>
          <cell r="AP36">
            <v>0</v>
          </cell>
          <cell r="AQ36">
            <v>0</v>
          </cell>
          <cell r="AR36">
            <v>0</v>
          </cell>
          <cell r="AT36">
            <v>0</v>
          </cell>
          <cell r="AU36">
            <v>0</v>
          </cell>
          <cell r="AV36">
            <v>0</v>
          </cell>
          <cell r="AW36">
            <v>0</v>
          </cell>
          <cell r="AX36">
            <v>0</v>
          </cell>
          <cell r="AZ36">
            <v>0</v>
          </cell>
          <cell r="BA36">
            <v>0</v>
          </cell>
          <cell r="BB36">
            <v>0</v>
          </cell>
          <cell r="BC36">
            <v>0</v>
          </cell>
          <cell r="BD36">
            <v>0</v>
          </cell>
          <cell r="BF36">
            <v>0</v>
          </cell>
          <cell r="BG36">
            <v>0</v>
          </cell>
          <cell r="BH36">
            <v>0</v>
          </cell>
          <cell r="BI36">
            <v>0</v>
          </cell>
          <cell r="BJ36">
            <v>0</v>
          </cell>
          <cell r="BM36" t="str">
            <v>mstag:preferredDividendsPaid</v>
          </cell>
          <cell r="BN36">
            <v>3</v>
          </cell>
          <cell r="BO36" t="str">
            <v>ISO4217:USD</v>
          </cell>
          <cell r="BP36" t="b">
            <v>1</v>
          </cell>
          <cell r="BQ36" t="b">
            <v>0</v>
          </cell>
        </row>
        <row r="37">
          <cell r="A37" t="str">
            <v>Income from Continuing Operations</v>
          </cell>
          <cell r="B37">
            <v>39630</v>
          </cell>
          <cell r="D37">
            <v>16184</v>
          </cell>
          <cell r="E37">
            <v>23615</v>
          </cell>
          <cell r="F37">
            <v>25587</v>
          </cell>
          <cell r="G37">
            <v>25289</v>
          </cell>
          <cell r="H37">
            <v>90675</v>
          </cell>
          <cell r="J37">
            <v>24391</v>
          </cell>
          <cell r="K37">
            <v>24653</v>
          </cell>
          <cell r="L37">
            <v>23921</v>
          </cell>
          <cell r="M37">
            <v>23661</v>
          </cell>
          <cell r="N37">
            <v>96626</v>
          </cell>
          <cell r="P37">
            <v>23491</v>
          </cell>
          <cell r="Q37">
            <v>23198</v>
          </cell>
          <cell r="R37">
            <v>23372</v>
          </cell>
          <cell r="S37">
            <v>26649</v>
          </cell>
          <cell r="T37">
            <v>96710</v>
          </cell>
          <cell r="V37">
            <v>24073</v>
          </cell>
          <cell r="W37">
            <v>28017</v>
          </cell>
          <cell r="X37">
            <v>23489</v>
          </cell>
          <cell r="Y37">
            <v>22180</v>
          </cell>
          <cell r="Z37">
            <v>97759</v>
          </cell>
          <cell r="AB37">
            <v>21353</v>
          </cell>
          <cell r="AC37">
            <v>17407</v>
          </cell>
          <cell r="AD37">
            <v>15113</v>
          </cell>
          <cell r="AE37">
            <v>15205</v>
          </cell>
          <cell r="AF37">
            <v>69078</v>
          </cell>
          <cell r="AH37">
            <v>14368</v>
          </cell>
          <cell r="AI37">
            <v>18988</v>
          </cell>
          <cell r="AJ37">
            <v>9177</v>
          </cell>
          <cell r="AK37">
            <v>12326</v>
          </cell>
          <cell r="AL37">
            <v>54859</v>
          </cell>
          <cell r="AN37">
            <v>18122</v>
          </cell>
          <cell r="AO37">
            <v>9408</v>
          </cell>
          <cell r="AP37">
            <v>10544</v>
          </cell>
          <cell r="AQ37">
            <v>32796</v>
          </cell>
          <cell r="AR37">
            <v>70870</v>
          </cell>
          <cell r="AT37">
            <v>7789</v>
          </cell>
          <cell r="AU37">
            <v>7767</v>
          </cell>
          <cell r="AV37">
            <v>41521</v>
          </cell>
          <cell r="AW37">
            <v>16213.029652158246</v>
          </cell>
          <cell r="AX37">
            <v>73290.02965215825</v>
          </cell>
          <cell r="AZ37">
            <v>16414.844452755417</v>
          </cell>
          <cell r="BA37">
            <v>9193.7976707809703</v>
          </cell>
          <cell r="BB37">
            <v>8276.3097447564687</v>
          </cell>
          <cell r="BC37">
            <v>10090.365162939715</v>
          </cell>
          <cell r="BD37">
            <v>43975.317031232589</v>
          </cell>
          <cell r="BF37">
            <v>13162.799852297285</v>
          </cell>
          <cell r="BG37">
            <v>11937.555125615738</v>
          </cell>
          <cell r="BH37">
            <v>9518.9153691024749</v>
          </cell>
          <cell r="BI37">
            <v>10802.115839904849</v>
          </cell>
          <cell r="BJ37">
            <v>45421.386186920347</v>
          </cell>
        </row>
        <row r="38">
          <cell r="A38" t="str">
            <v xml:space="preserve">  Discontinued Operations</v>
          </cell>
          <cell r="AH38">
            <v>1070</v>
          </cell>
          <cell r="AI38">
            <v>-85</v>
          </cell>
          <cell r="AJ38">
            <v>1364</v>
          </cell>
          <cell r="AK38">
            <v>1301</v>
          </cell>
          <cell r="AL38">
            <v>3650</v>
          </cell>
          <cell r="AN38">
            <v>739</v>
          </cell>
          <cell r="AO38">
            <v>-281</v>
          </cell>
          <cell r="AP38">
            <v>632</v>
          </cell>
          <cell r="AQ38">
            <v>1815</v>
          </cell>
          <cell r="AR38">
            <v>2905</v>
          </cell>
          <cell r="AT38">
            <v>1252</v>
          </cell>
          <cell r="AU38">
            <v>2682</v>
          </cell>
          <cell r="AV38">
            <v>80</v>
          </cell>
          <cell r="AW38">
            <v>80</v>
          </cell>
          <cell r="AX38">
            <v>4094</v>
          </cell>
          <cell r="AZ38">
            <v>80</v>
          </cell>
          <cell r="BA38">
            <v>80</v>
          </cell>
          <cell r="BB38">
            <v>80</v>
          </cell>
          <cell r="BC38">
            <v>80</v>
          </cell>
          <cell r="BD38">
            <v>320</v>
          </cell>
          <cell r="BF38">
            <v>80</v>
          </cell>
          <cell r="BG38">
            <v>80</v>
          </cell>
          <cell r="BH38">
            <v>80</v>
          </cell>
          <cell r="BI38">
            <v>80</v>
          </cell>
          <cell r="BJ38">
            <v>320</v>
          </cell>
          <cell r="BM38" t="str">
            <v>mstag:incomeLossFromDiscontinuedOperationsNetOfTax</v>
          </cell>
          <cell r="BN38">
            <v>3</v>
          </cell>
          <cell r="BO38" t="str">
            <v>ISO4217:USD</v>
          </cell>
          <cell r="BP38" t="b">
            <v>0</v>
          </cell>
          <cell r="BQ38" t="b">
            <v>0</v>
          </cell>
        </row>
        <row r="39">
          <cell r="A39" t="str">
            <v xml:space="preserve">  Extraordinary Gains/(Losses)</v>
          </cell>
          <cell r="B39">
            <v>0</v>
          </cell>
          <cell r="D39">
            <v>0</v>
          </cell>
          <cell r="E39">
            <v>0</v>
          </cell>
          <cell r="F39">
            <v>0</v>
          </cell>
          <cell r="G39">
            <v>0</v>
          </cell>
          <cell r="H39">
            <v>0</v>
          </cell>
          <cell r="J39">
            <v>0</v>
          </cell>
          <cell r="K39">
            <v>0</v>
          </cell>
          <cell r="L39">
            <v>0</v>
          </cell>
          <cell r="M39">
            <v>0</v>
          </cell>
          <cell r="N39">
            <v>0</v>
          </cell>
          <cell r="P39">
            <v>0</v>
          </cell>
          <cell r="Q39">
            <v>0</v>
          </cell>
          <cell r="R39">
            <v>0</v>
          </cell>
          <cell r="S39">
            <v>0</v>
          </cell>
          <cell r="T39">
            <v>0</v>
          </cell>
          <cell r="V39">
            <v>0</v>
          </cell>
          <cell r="W39">
            <v>0</v>
          </cell>
          <cell r="X39">
            <v>0</v>
          </cell>
          <cell r="Y39">
            <v>0</v>
          </cell>
          <cell r="Z39">
            <v>0</v>
          </cell>
          <cell r="AB39">
            <v>0</v>
          </cell>
          <cell r="AC39">
            <v>0</v>
          </cell>
          <cell r="AD39">
            <v>0</v>
          </cell>
          <cell r="AE39">
            <v>0</v>
          </cell>
          <cell r="AF39">
            <v>0</v>
          </cell>
          <cell r="AH39">
            <v>0</v>
          </cell>
          <cell r="AI39">
            <v>0</v>
          </cell>
          <cell r="AJ39">
            <v>0</v>
          </cell>
          <cell r="AK39">
            <v>0</v>
          </cell>
          <cell r="AL39">
            <v>0</v>
          </cell>
          <cell r="AN39">
            <v>0</v>
          </cell>
          <cell r="AO39">
            <v>0</v>
          </cell>
          <cell r="AP39">
            <v>0</v>
          </cell>
          <cell r="AQ39">
            <v>0</v>
          </cell>
          <cell r="AR39">
            <v>0</v>
          </cell>
          <cell r="AT39">
            <v>0</v>
          </cell>
          <cell r="AU39">
            <v>0</v>
          </cell>
          <cell r="AV39">
            <v>0</v>
          </cell>
          <cell r="AW39">
            <v>0</v>
          </cell>
          <cell r="AX39">
            <v>0</v>
          </cell>
          <cell r="AZ39">
            <v>0</v>
          </cell>
          <cell r="BA39">
            <v>0</v>
          </cell>
          <cell r="BB39">
            <v>0</v>
          </cell>
          <cell r="BC39">
            <v>0</v>
          </cell>
          <cell r="BD39">
            <v>0</v>
          </cell>
          <cell r="BF39">
            <v>0</v>
          </cell>
          <cell r="BG39">
            <v>0</v>
          </cell>
          <cell r="BH39">
            <v>0</v>
          </cell>
          <cell r="BI39">
            <v>0</v>
          </cell>
          <cell r="BJ39">
            <v>0</v>
          </cell>
          <cell r="BM39" t="str">
            <v>mstag:incomeLossFromExtraordinaryItemsNetOfTax</v>
          </cell>
          <cell r="BN39">
            <v>3</v>
          </cell>
          <cell r="BO39" t="str">
            <v>ISO4217:USD</v>
          </cell>
          <cell r="BP39" t="b">
            <v>0</v>
          </cell>
          <cell r="BQ39" t="b">
            <v>0</v>
          </cell>
        </row>
        <row r="40">
          <cell r="A40" t="str">
            <v>Net Income</v>
          </cell>
          <cell r="B40">
            <v>39630</v>
          </cell>
          <cell r="D40">
            <v>16184</v>
          </cell>
          <cell r="E40">
            <v>23615</v>
          </cell>
          <cell r="F40">
            <v>25587</v>
          </cell>
          <cell r="G40">
            <v>25289</v>
          </cell>
          <cell r="H40">
            <v>90675</v>
          </cell>
          <cell r="J40">
            <v>24391</v>
          </cell>
          <cell r="K40">
            <v>24653</v>
          </cell>
          <cell r="L40">
            <v>23921</v>
          </cell>
          <cell r="M40">
            <v>23661</v>
          </cell>
          <cell r="N40">
            <v>96626</v>
          </cell>
          <cell r="P40">
            <v>23491</v>
          </cell>
          <cell r="Q40">
            <v>23198</v>
          </cell>
          <cell r="R40">
            <v>23372</v>
          </cell>
          <cell r="S40">
            <v>26649</v>
          </cell>
          <cell r="T40">
            <v>96710</v>
          </cell>
          <cell r="V40">
            <v>24073</v>
          </cell>
          <cell r="W40">
            <v>28017</v>
          </cell>
          <cell r="X40">
            <v>23489</v>
          </cell>
          <cell r="Y40">
            <v>22180</v>
          </cell>
          <cell r="Z40">
            <v>97759</v>
          </cell>
          <cell r="AB40">
            <v>21353</v>
          </cell>
          <cell r="AC40">
            <v>17407</v>
          </cell>
          <cell r="AD40">
            <v>15113</v>
          </cell>
          <cell r="AE40">
            <v>15205</v>
          </cell>
          <cell r="AF40">
            <v>69078</v>
          </cell>
          <cell r="AH40">
            <v>15438</v>
          </cell>
          <cell r="AI40">
            <v>18903</v>
          </cell>
          <cell r="AJ40">
            <v>10541</v>
          </cell>
          <cell r="AK40">
            <v>13627</v>
          </cell>
          <cell r="AL40">
            <v>58509</v>
          </cell>
          <cell r="AN40">
            <v>18861</v>
          </cell>
          <cell r="AO40">
            <v>9127</v>
          </cell>
          <cell r="AP40">
            <v>11176</v>
          </cell>
          <cell r="AQ40">
            <v>34611</v>
          </cell>
          <cell r="AR40">
            <v>73775</v>
          </cell>
          <cell r="AT40">
            <v>9041</v>
          </cell>
          <cell r="AU40">
            <v>10449</v>
          </cell>
          <cell r="AV40">
            <v>41601</v>
          </cell>
          <cell r="AW40">
            <v>16293.029652158246</v>
          </cell>
          <cell r="AX40">
            <v>77384.02965215825</v>
          </cell>
          <cell r="AZ40">
            <v>16494.844452755417</v>
          </cell>
          <cell r="BA40">
            <v>9273.7976707809703</v>
          </cell>
          <cell r="BB40">
            <v>8356.3097447564687</v>
          </cell>
          <cell r="BC40">
            <v>10170.365162939715</v>
          </cell>
          <cell r="BD40">
            <v>44295.317031232589</v>
          </cell>
          <cell r="BF40">
            <v>13242.799852297285</v>
          </cell>
          <cell r="BG40">
            <v>12017.555125615738</v>
          </cell>
          <cell r="BH40">
            <v>9598.9153691024749</v>
          </cell>
          <cell r="BI40">
            <v>10882.115839904849</v>
          </cell>
          <cell r="BJ40">
            <v>45741.386186920347</v>
          </cell>
        </row>
        <row r="42">
          <cell r="A42" t="str">
            <v xml:space="preserve"> Depreciation and Amortization</v>
          </cell>
          <cell r="B42">
            <v>20260</v>
          </cell>
          <cell r="D42">
            <v>11296</v>
          </cell>
          <cell r="E42">
            <v>12930</v>
          </cell>
          <cell r="F42">
            <v>12954</v>
          </cell>
          <cell r="G42">
            <v>14642</v>
          </cell>
          <cell r="H42">
            <v>51822</v>
          </cell>
          <cell r="J42">
            <v>16215</v>
          </cell>
          <cell r="K42">
            <v>17173</v>
          </cell>
          <cell r="L42">
            <v>17810</v>
          </cell>
          <cell r="M42">
            <v>18639</v>
          </cell>
          <cell r="N42">
            <v>69837</v>
          </cell>
          <cell r="P42">
            <v>20147</v>
          </cell>
          <cell r="Q42">
            <v>21277</v>
          </cell>
          <cell r="R42">
            <v>22528</v>
          </cell>
          <cell r="S42">
            <v>23315</v>
          </cell>
          <cell r="T42">
            <v>87267</v>
          </cell>
          <cell r="V42">
            <v>24146</v>
          </cell>
          <cell r="W42">
            <v>24176</v>
          </cell>
          <cell r="X42">
            <v>25854</v>
          </cell>
          <cell r="Y42">
            <v>27643</v>
          </cell>
          <cell r="Z42">
            <v>101819</v>
          </cell>
          <cell r="AB42">
            <v>26383</v>
          </cell>
          <cell r="AC42">
            <v>28822</v>
          </cell>
          <cell r="AD42">
            <v>27650</v>
          </cell>
          <cell r="AE42">
            <v>28254</v>
          </cell>
          <cell r="AF42">
            <v>111109</v>
          </cell>
          <cell r="AH42">
            <v>28408</v>
          </cell>
          <cell r="AI42">
            <v>29487</v>
          </cell>
          <cell r="AJ42">
            <v>30578</v>
          </cell>
          <cell r="AK42">
            <v>29490</v>
          </cell>
          <cell r="AL42">
            <v>117963</v>
          </cell>
          <cell r="AN42">
            <v>30276</v>
          </cell>
          <cell r="AO42">
            <v>31936</v>
          </cell>
          <cell r="AP42">
            <v>32490</v>
          </cell>
          <cell r="AQ42">
            <v>31729</v>
          </cell>
          <cell r="AR42">
            <v>126431</v>
          </cell>
          <cell r="AT42">
            <v>30696</v>
          </cell>
          <cell r="AU42">
            <v>35880</v>
          </cell>
          <cell r="AV42">
            <v>34331</v>
          </cell>
          <cell r="AW42">
            <v>34319.260683485321</v>
          </cell>
          <cell r="AX42">
            <v>135226.26068348531</v>
          </cell>
          <cell r="AZ42">
            <v>33330.676793072074</v>
          </cell>
          <cell r="BA42">
            <v>33220.66743160686</v>
          </cell>
          <cell r="BB42">
            <v>32296.152586542339</v>
          </cell>
          <cell r="BC42">
            <v>32414.793090751773</v>
          </cell>
          <cell r="BD42">
            <v>131262.28990197304</v>
          </cell>
          <cell r="BF42">
            <v>32366.321108470478</v>
          </cell>
          <cell r="BG42">
            <v>33444.841640009276</v>
          </cell>
          <cell r="BH42">
            <v>33633.299269150579</v>
          </cell>
          <cell r="BI42">
            <v>34140.460291793403</v>
          </cell>
          <cell r="BJ42">
            <v>133584.92230942374</v>
          </cell>
          <cell r="BM42" t="str">
            <v>mstag:depreciationRealEstate</v>
          </cell>
          <cell r="BN42">
            <v>3</v>
          </cell>
          <cell r="BO42" t="str">
            <v>ISO4217:USD</v>
          </cell>
          <cell r="BP42" t="b">
            <v>0</v>
          </cell>
          <cell r="BQ42" t="b">
            <v>0</v>
          </cell>
        </row>
        <row r="43">
          <cell r="A43" t="str">
            <v xml:space="preserve"> Depreciation and minority interest from disc. ops</v>
          </cell>
          <cell r="AH43">
            <v>1274</v>
          </cell>
          <cell r="AI43">
            <v>751</v>
          </cell>
          <cell r="AJ43">
            <v>613</v>
          </cell>
          <cell r="AK43">
            <v>108</v>
          </cell>
          <cell r="AL43">
            <v>2746</v>
          </cell>
          <cell r="AN43">
            <v>242</v>
          </cell>
          <cell r="AO43">
            <v>53</v>
          </cell>
          <cell r="AP43">
            <v>0</v>
          </cell>
          <cell r="AQ43">
            <v>0</v>
          </cell>
          <cell r="AR43">
            <v>295</v>
          </cell>
          <cell r="AT43">
            <v>1622</v>
          </cell>
          <cell r="AU43">
            <v>191</v>
          </cell>
          <cell r="AV43">
            <v>910</v>
          </cell>
          <cell r="AW43">
            <v>0</v>
          </cell>
          <cell r="AX43">
            <v>2723</v>
          </cell>
          <cell r="AZ43">
            <v>0</v>
          </cell>
          <cell r="BA43">
            <v>0</v>
          </cell>
          <cell r="BB43">
            <v>0</v>
          </cell>
          <cell r="BC43">
            <v>0</v>
          </cell>
          <cell r="BD43">
            <v>0</v>
          </cell>
          <cell r="BF43">
            <v>0</v>
          </cell>
          <cell r="BG43">
            <v>0</v>
          </cell>
          <cell r="BH43">
            <v>0</v>
          </cell>
          <cell r="BI43">
            <v>0</v>
          </cell>
          <cell r="BJ43">
            <v>0</v>
          </cell>
          <cell r="BM43" t="str">
            <v>mstag:otherFfoAdjustmentNareit</v>
          </cell>
          <cell r="BN43">
            <v>3</v>
          </cell>
          <cell r="BO43" t="str">
            <v>ISO4217:USD</v>
          </cell>
          <cell r="BP43" t="b">
            <v>0</v>
          </cell>
          <cell r="BQ43" t="b">
            <v>0</v>
          </cell>
        </row>
        <row r="44">
          <cell r="A44" t="str">
            <v xml:space="preserve"> (Gain) Loss on sale of discontinued properties</v>
          </cell>
          <cell r="AH44">
            <v>639</v>
          </cell>
          <cell r="AI44">
            <v>-6021</v>
          </cell>
          <cell r="AJ44">
            <v>0</v>
          </cell>
          <cell r="AK44">
            <v>-555</v>
          </cell>
          <cell r="AL44">
            <v>-5937</v>
          </cell>
          <cell r="AN44">
            <v>-6429</v>
          </cell>
          <cell r="AO44">
            <v>-400</v>
          </cell>
          <cell r="AP44">
            <v>-937</v>
          </cell>
          <cell r="AQ44">
            <v>-22707</v>
          </cell>
          <cell r="AR44">
            <v>-30473</v>
          </cell>
          <cell r="AT44">
            <v>-2057</v>
          </cell>
          <cell r="AU44">
            <v>-4319</v>
          </cell>
          <cell r="AV44">
            <v>-33923</v>
          </cell>
          <cell r="AW44">
            <v>-7500</v>
          </cell>
          <cell r="AX44">
            <v>-47799</v>
          </cell>
          <cell r="AZ44">
            <v>-7500</v>
          </cell>
          <cell r="BA44">
            <v>0</v>
          </cell>
          <cell r="BB44">
            <v>0</v>
          </cell>
          <cell r="BC44">
            <v>0</v>
          </cell>
          <cell r="BD44">
            <v>-7500</v>
          </cell>
          <cell r="BF44">
            <v>0</v>
          </cell>
          <cell r="BG44">
            <v>0</v>
          </cell>
          <cell r="BH44">
            <v>0</v>
          </cell>
          <cell r="BI44">
            <v>0</v>
          </cell>
          <cell r="BJ44">
            <v>0</v>
          </cell>
        </row>
        <row r="45">
          <cell r="A45" t="str">
            <v xml:space="preserve"> Income allocated to Preferred Operating Partnership Units</v>
          </cell>
          <cell r="AH45">
            <v>-1078</v>
          </cell>
          <cell r="AI45">
            <v>-1078</v>
          </cell>
          <cell r="AJ45">
            <v>-1078</v>
          </cell>
          <cell r="AK45">
            <v>-1078</v>
          </cell>
          <cell r="AL45">
            <v>-4312</v>
          </cell>
          <cell r="AN45">
            <v>-1078</v>
          </cell>
          <cell r="AO45">
            <v>-1078</v>
          </cell>
          <cell r="AP45">
            <v>-1078</v>
          </cell>
          <cell r="AQ45">
            <v>0</v>
          </cell>
          <cell r="AR45">
            <v>-3234</v>
          </cell>
          <cell r="AT45">
            <v>0</v>
          </cell>
          <cell r="AU45">
            <v>0</v>
          </cell>
          <cell r="AV45">
            <v>0</v>
          </cell>
          <cell r="AW45">
            <v>0</v>
          </cell>
          <cell r="AX45">
            <v>0</v>
          </cell>
          <cell r="AZ45">
            <v>0</v>
          </cell>
          <cell r="BA45">
            <v>0</v>
          </cell>
          <cell r="BB45">
            <v>0</v>
          </cell>
          <cell r="BC45">
            <v>0</v>
          </cell>
          <cell r="BD45">
            <v>0</v>
          </cell>
          <cell r="BF45">
            <v>0</v>
          </cell>
          <cell r="BG45">
            <v>0</v>
          </cell>
          <cell r="BH45">
            <v>0</v>
          </cell>
          <cell r="BI45">
            <v>0</v>
          </cell>
          <cell r="BJ45">
            <v>0</v>
          </cell>
          <cell r="BM45" t="str">
            <v>mstag:otherFfoAdjustmentNareit</v>
          </cell>
          <cell r="BN45">
            <v>3</v>
          </cell>
          <cell r="BO45" t="str">
            <v>ISO4217:USD</v>
          </cell>
          <cell r="BP45" t="b">
            <v>0</v>
          </cell>
          <cell r="BQ45" t="b">
            <v>0</v>
          </cell>
        </row>
        <row r="46">
          <cell r="A46" t="str">
            <v xml:space="preserve"> Other Adjustments</v>
          </cell>
          <cell r="B46">
            <v>3111</v>
          </cell>
          <cell r="D46">
            <v>0</v>
          </cell>
          <cell r="E46">
            <v>0</v>
          </cell>
          <cell r="F46">
            <v>0</v>
          </cell>
          <cell r="G46">
            <v>0</v>
          </cell>
          <cell r="H46">
            <v>0</v>
          </cell>
          <cell r="J46">
            <v>0</v>
          </cell>
          <cell r="K46">
            <v>0</v>
          </cell>
          <cell r="L46">
            <v>-276</v>
          </cell>
          <cell r="M46">
            <v>-1078</v>
          </cell>
          <cell r="N46">
            <v>-1354</v>
          </cell>
          <cell r="P46">
            <v>-1078</v>
          </cell>
          <cell r="Q46">
            <v>-1078</v>
          </cell>
          <cell r="R46">
            <v>-1078</v>
          </cell>
          <cell r="S46">
            <v>-3210</v>
          </cell>
          <cell r="T46">
            <v>-6444</v>
          </cell>
          <cell r="V46">
            <v>-1078.125</v>
          </cell>
          <cell r="W46">
            <v>-4629</v>
          </cell>
          <cell r="X46">
            <v>-1102</v>
          </cell>
          <cell r="Y46">
            <v>-2094</v>
          </cell>
          <cell r="Z46">
            <v>-8903.125</v>
          </cell>
          <cell r="AB46">
            <v>-2270</v>
          </cell>
          <cell r="AC46">
            <v>-1159</v>
          </cell>
          <cell r="AD46">
            <v>-1078</v>
          </cell>
          <cell r="AE46">
            <v>-359</v>
          </cell>
          <cell r="AF46">
            <v>-4866</v>
          </cell>
          <cell r="AH46">
            <v>0</v>
          </cell>
          <cell r="AI46">
            <v>0</v>
          </cell>
          <cell r="AJ46">
            <v>0</v>
          </cell>
          <cell r="AK46">
            <v>0</v>
          </cell>
          <cell r="AL46">
            <v>0</v>
          </cell>
          <cell r="AP46">
            <v>-1074</v>
          </cell>
          <cell r="AQ46">
            <v>717</v>
          </cell>
          <cell r="AR46">
            <v>-357</v>
          </cell>
          <cell r="BM46" t="str">
            <v>mstag:otherFfoAdjustmentNareit</v>
          </cell>
          <cell r="BN46">
            <v>3</v>
          </cell>
          <cell r="BO46" t="str">
            <v>ISO4217:USD</v>
          </cell>
          <cell r="BP46" t="b">
            <v>0</v>
          </cell>
          <cell r="BQ46" t="b">
            <v>0</v>
          </cell>
        </row>
        <row r="47">
          <cell r="A47" t="str">
            <v xml:space="preserve"> Min. Int. in Income/(Loss)</v>
          </cell>
          <cell r="B47">
            <v>4281</v>
          </cell>
          <cell r="D47">
            <v>1177</v>
          </cell>
          <cell r="E47">
            <v>1183</v>
          </cell>
          <cell r="F47">
            <v>1253</v>
          </cell>
          <cell r="G47">
            <v>1259</v>
          </cell>
          <cell r="H47">
            <v>4872</v>
          </cell>
          <cell r="J47">
            <v>1211</v>
          </cell>
          <cell r="K47">
            <v>971</v>
          </cell>
          <cell r="L47">
            <v>1120</v>
          </cell>
          <cell r="M47">
            <v>1994</v>
          </cell>
          <cell r="N47">
            <v>5296</v>
          </cell>
          <cell r="P47">
            <v>1875</v>
          </cell>
          <cell r="Q47">
            <v>1822</v>
          </cell>
          <cell r="R47">
            <v>1921</v>
          </cell>
          <cell r="S47">
            <v>1995</v>
          </cell>
          <cell r="T47">
            <v>7613</v>
          </cell>
          <cell r="V47">
            <v>1897</v>
          </cell>
          <cell r="W47">
            <v>2031</v>
          </cell>
          <cell r="X47">
            <v>1878</v>
          </cell>
          <cell r="Y47">
            <v>1759</v>
          </cell>
          <cell r="Z47">
            <v>7565</v>
          </cell>
          <cell r="AB47">
            <v>1677</v>
          </cell>
          <cell r="AC47">
            <v>1546</v>
          </cell>
          <cell r="AD47">
            <v>1469</v>
          </cell>
          <cell r="AE47">
            <v>1527</v>
          </cell>
          <cell r="AF47">
            <v>6219</v>
          </cell>
          <cell r="AH47">
            <v>1486</v>
          </cell>
          <cell r="AI47">
            <v>1440</v>
          </cell>
          <cell r="AJ47">
            <v>1319</v>
          </cell>
          <cell r="AK47">
            <v>1383</v>
          </cell>
          <cell r="AL47">
            <v>5628</v>
          </cell>
          <cell r="AN47">
            <v>1382</v>
          </cell>
          <cell r="AO47">
            <v>1307</v>
          </cell>
          <cell r="AP47">
            <v>2415</v>
          </cell>
          <cell r="AQ47">
            <v>237</v>
          </cell>
          <cell r="AR47">
            <v>5341</v>
          </cell>
          <cell r="AT47">
            <v>164</v>
          </cell>
          <cell r="AU47">
            <v>89</v>
          </cell>
          <cell r="AV47">
            <v>201</v>
          </cell>
          <cell r="AW47">
            <v>91.772579438182959</v>
          </cell>
          <cell r="AX47">
            <v>545.7725794381829</v>
          </cell>
          <cell r="AZ47">
            <v>90.520643438032494</v>
          </cell>
          <cell r="BA47">
            <v>90.519860315261198</v>
          </cell>
          <cell r="BB47">
            <v>88.746854108340997</v>
          </cell>
          <cell r="BC47">
            <v>91.648803527867841</v>
          </cell>
          <cell r="BD47">
            <v>361.43616138950256</v>
          </cell>
          <cell r="BF47">
            <v>96.34709837993627</v>
          </cell>
          <cell r="BG47">
            <v>97.557420173588383</v>
          </cell>
          <cell r="BH47">
            <v>95.915345291282719</v>
          </cell>
          <cell r="BI47">
            <v>99.20992110871299</v>
          </cell>
          <cell r="BJ47">
            <v>389.02978495352039</v>
          </cell>
        </row>
        <row r="48">
          <cell r="A48" t="str">
            <v>Funds From Operations</v>
          </cell>
          <cell r="B48">
            <v>67282</v>
          </cell>
          <cell r="D48">
            <v>28657</v>
          </cell>
          <cell r="E48">
            <v>37728</v>
          </cell>
          <cell r="F48">
            <v>39794</v>
          </cell>
          <cell r="G48">
            <v>41190</v>
          </cell>
          <cell r="H48">
            <v>147369</v>
          </cell>
          <cell r="J48">
            <v>41817</v>
          </cell>
          <cell r="K48">
            <v>42797</v>
          </cell>
          <cell r="L48">
            <v>42575</v>
          </cell>
          <cell r="M48">
            <v>43216</v>
          </cell>
          <cell r="N48">
            <v>170681</v>
          </cell>
          <cell r="P48">
            <v>44435</v>
          </cell>
          <cell r="Q48">
            <v>45219</v>
          </cell>
          <cell r="R48">
            <v>46743</v>
          </cell>
          <cell r="S48">
            <v>48749</v>
          </cell>
          <cell r="T48">
            <v>185146</v>
          </cell>
          <cell r="V48">
            <v>49037.875</v>
          </cell>
          <cell r="W48">
            <v>49595</v>
          </cell>
          <cell r="X48">
            <v>50119</v>
          </cell>
          <cell r="Y48">
            <v>49488</v>
          </cell>
          <cell r="Z48">
            <v>198239.875</v>
          </cell>
          <cell r="AB48">
            <v>47143</v>
          </cell>
          <cell r="AC48">
            <v>46616</v>
          </cell>
          <cell r="AD48">
            <v>43154</v>
          </cell>
          <cell r="AE48">
            <v>44627</v>
          </cell>
          <cell r="AF48">
            <v>181540</v>
          </cell>
          <cell r="AH48">
            <v>46167</v>
          </cell>
          <cell r="AI48">
            <v>43482</v>
          </cell>
          <cell r="AJ48">
            <v>41973</v>
          </cell>
          <cell r="AK48">
            <v>42975</v>
          </cell>
          <cell r="AL48">
            <v>174597</v>
          </cell>
          <cell r="AN48">
            <v>43254</v>
          </cell>
          <cell r="AO48">
            <v>40945</v>
          </cell>
          <cell r="AP48">
            <v>42992</v>
          </cell>
          <cell r="AQ48">
            <v>44587</v>
          </cell>
          <cell r="AR48">
            <v>171778</v>
          </cell>
          <cell r="AT48">
            <v>39466</v>
          </cell>
          <cell r="AU48">
            <v>42290</v>
          </cell>
          <cell r="AV48">
            <v>43120</v>
          </cell>
          <cell r="AW48">
            <v>43204.062915081755</v>
          </cell>
          <cell r="AX48">
            <v>168080.06291508174</v>
          </cell>
          <cell r="AZ48">
            <v>42416.041889265522</v>
          </cell>
          <cell r="BA48">
            <v>42584.984962703093</v>
          </cell>
          <cell r="BB48">
            <v>40741.209185407155</v>
          </cell>
          <cell r="BC48">
            <v>42676.807057219354</v>
          </cell>
          <cell r="BD48">
            <v>168419.04309459514</v>
          </cell>
          <cell r="BF48">
            <v>45705.468059147694</v>
          </cell>
          <cell r="BG48">
            <v>45559.954185798604</v>
          </cell>
          <cell r="BH48">
            <v>43328.129983544335</v>
          </cell>
          <cell r="BI48">
            <v>45121.786052806965</v>
          </cell>
          <cell r="BJ48">
            <v>179715.33828129759</v>
          </cell>
        </row>
        <row r="49">
          <cell r="D49" t="str">
            <v xml:space="preserve"> </v>
          </cell>
          <cell r="G49" t="str">
            <v xml:space="preserve"> </v>
          </cell>
        </row>
        <row r="50">
          <cell r="A50" t="str">
            <v xml:space="preserve"> Capex, Tenant Improvements &amp; LC's </v>
          </cell>
          <cell r="B50">
            <v>-10815</v>
          </cell>
          <cell r="D50">
            <v>-4470</v>
          </cell>
          <cell r="E50">
            <v>-5810</v>
          </cell>
          <cell r="F50">
            <v>-5429</v>
          </cell>
          <cell r="G50">
            <v>-5778</v>
          </cell>
          <cell r="H50">
            <v>-21487</v>
          </cell>
          <cell r="J50">
            <v>-6839</v>
          </cell>
          <cell r="K50">
            <v>-6856</v>
          </cell>
          <cell r="L50">
            <v>-6765</v>
          </cell>
          <cell r="M50">
            <v>-6812</v>
          </cell>
          <cell r="N50">
            <v>-27272</v>
          </cell>
          <cell r="P50">
            <v>-7794</v>
          </cell>
          <cell r="Q50">
            <v>-7700</v>
          </cell>
          <cell r="R50">
            <v>-7600</v>
          </cell>
          <cell r="S50">
            <v>-7400</v>
          </cell>
          <cell r="T50">
            <v>-30494</v>
          </cell>
          <cell r="V50">
            <v>-7700</v>
          </cell>
          <cell r="W50">
            <v>-7800</v>
          </cell>
          <cell r="X50">
            <v>-7900</v>
          </cell>
          <cell r="Y50">
            <v>-8100</v>
          </cell>
          <cell r="Z50">
            <v>-31500</v>
          </cell>
          <cell r="AB50">
            <v>-8700</v>
          </cell>
          <cell r="AC50">
            <v>-9500</v>
          </cell>
          <cell r="AD50">
            <v>-8573</v>
          </cell>
          <cell r="AE50">
            <v>-8980</v>
          </cell>
          <cell r="AF50">
            <v>-35753</v>
          </cell>
          <cell r="AH50">
            <v>-10782</v>
          </cell>
          <cell r="AI50">
            <v>-10149</v>
          </cell>
          <cell r="AJ50">
            <v>-9915</v>
          </cell>
          <cell r="AK50">
            <v>-11217</v>
          </cell>
          <cell r="AL50">
            <v>-42063</v>
          </cell>
          <cell r="AN50">
            <v>-13377</v>
          </cell>
          <cell r="AO50">
            <v>-13176</v>
          </cell>
          <cell r="AP50">
            <v>-12390</v>
          </cell>
          <cell r="AQ50">
            <v>-15869</v>
          </cell>
          <cell r="AR50">
            <v>-54812</v>
          </cell>
          <cell r="AT50">
            <v>-15383</v>
          </cell>
          <cell r="AU50">
            <v>-15069</v>
          </cell>
          <cell r="AV50">
            <v>-14629</v>
          </cell>
          <cell r="AW50">
            <v>-14657.519396677435</v>
          </cell>
          <cell r="AX50">
            <v>-59738.519396677439</v>
          </cell>
          <cell r="AZ50">
            <v>-14390.173395131385</v>
          </cell>
          <cell r="BA50">
            <v>-14447.489448501474</v>
          </cell>
          <cell r="BB50">
            <v>-13821.965426097433</v>
          </cell>
          <cell r="BC50">
            <v>-14478.641243971751</v>
          </cell>
          <cell r="BD50">
            <v>-57138.269513702049</v>
          </cell>
          <cell r="BF50">
            <v>-10512.257653603971</v>
          </cell>
          <cell r="BG50">
            <v>-10478.789462733679</v>
          </cell>
          <cell r="BH50">
            <v>-9965.4698962151979</v>
          </cell>
          <cell r="BI50">
            <v>-10378.010792145602</v>
          </cell>
          <cell r="BJ50">
            <v>-41334.527804698446</v>
          </cell>
          <cell r="BM50" t="str">
            <v>mstag:tenantImprovementsAndLeasingCommissions</v>
          </cell>
          <cell r="BN50">
            <v>3</v>
          </cell>
          <cell r="BO50" t="str">
            <v>ISO4217:USD</v>
          </cell>
          <cell r="BP50" t="b">
            <v>1</v>
          </cell>
          <cell r="BQ50" t="b">
            <v>0</v>
          </cell>
        </row>
        <row r="51">
          <cell r="A51" t="str">
            <v xml:space="preserve"> Straight-lining Adjustment</v>
          </cell>
          <cell r="B51">
            <v>-2742</v>
          </cell>
          <cell r="D51">
            <v>-1253</v>
          </cell>
          <cell r="E51">
            <v>-1738</v>
          </cell>
          <cell r="F51">
            <v>-2602</v>
          </cell>
          <cell r="G51">
            <v>-2600</v>
          </cell>
          <cell r="H51">
            <v>-8193</v>
          </cell>
          <cell r="J51">
            <v>-1609</v>
          </cell>
          <cell r="K51">
            <v>-1958</v>
          </cell>
          <cell r="L51">
            <v>-1990</v>
          </cell>
          <cell r="M51">
            <v>-1981</v>
          </cell>
          <cell r="N51">
            <v>-7538</v>
          </cell>
          <cell r="P51">
            <v>-1398</v>
          </cell>
          <cell r="Q51">
            <v>-1944</v>
          </cell>
          <cell r="R51">
            <v>-2330</v>
          </cell>
          <cell r="S51">
            <v>-2406</v>
          </cell>
          <cell r="T51">
            <v>-8078</v>
          </cell>
          <cell r="V51">
            <v>-2361</v>
          </cell>
          <cell r="W51">
            <v>-2149</v>
          </cell>
          <cell r="X51">
            <v>-2428</v>
          </cell>
          <cell r="Y51">
            <v>-2270</v>
          </cell>
          <cell r="Z51">
            <v>-9208</v>
          </cell>
          <cell r="AB51">
            <v>-1650</v>
          </cell>
          <cell r="AC51">
            <v>-2135</v>
          </cell>
          <cell r="AD51">
            <v>-880</v>
          </cell>
          <cell r="AE51">
            <v>-795</v>
          </cell>
          <cell r="AF51">
            <v>-5460</v>
          </cell>
          <cell r="AH51">
            <v>-613</v>
          </cell>
          <cell r="AI51">
            <v>-337</v>
          </cell>
          <cell r="AJ51">
            <v>-337</v>
          </cell>
          <cell r="AK51">
            <v>-427</v>
          </cell>
          <cell r="AL51">
            <v>-1714</v>
          </cell>
          <cell r="AN51">
            <v>-893</v>
          </cell>
          <cell r="AO51">
            <v>-448</v>
          </cell>
          <cell r="AP51">
            <v>-15</v>
          </cell>
          <cell r="AQ51">
            <v>-485</v>
          </cell>
          <cell r="AR51">
            <v>-1841</v>
          </cell>
          <cell r="AT51">
            <v>-804</v>
          </cell>
          <cell r="AU51">
            <v>-997</v>
          </cell>
          <cell r="AV51">
            <v>-345</v>
          </cell>
          <cell r="AW51">
            <v>-345.67258130109479</v>
          </cell>
          <cell r="AX51">
            <v>-2491.6725813010949</v>
          </cell>
          <cell r="AZ51">
            <v>-339.36768209175801</v>
          </cell>
          <cell r="BA51">
            <v>-340.71938339825067</v>
          </cell>
          <cell r="BB51">
            <v>-325.96746681274283</v>
          </cell>
          <cell r="BC51">
            <v>-341.45404533257602</v>
          </cell>
          <cell r="BD51">
            <v>-1347.5085776353276</v>
          </cell>
          <cell r="BF51">
            <v>-365.68614286655742</v>
          </cell>
          <cell r="BG51">
            <v>-364.52189689472448</v>
          </cell>
          <cell r="BH51">
            <v>-346.66523293884035</v>
          </cell>
          <cell r="BI51">
            <v>-361.0161453668461</v>
          </cell>
          <cell r="BJ51">
            <v>-1437.8894180669683</v>
          </cell>
          <cell r="BM51" t="str">
            <v>mstag:straightLiningOfRents</v>
          </cell>
          <cell r="BN51">
            <v>3</v>
          </cell>
          <cell r="BO51" t="str">
            <v>ISO4217:USD</v>
          </cell>
          <cell r="BP51" t="b">
            <v>1</v>
          </cell>
          <cell r="BQ51" t="b">
            <v>0</v>
          </cell>
        </row>
        <row r="52">
          <cell r="A52" t="str">
            <v>Adjusted Funds From Operations</v>
          </cell>
          <cell r="B52">
            <v>53725</v>
          </cell>
          <cell r="D52">
            <v>22934</v>
          </cell>
          <cell r="E52">
            <v>30180</v>
          </cell>
          <cell r="F52">
            <v>31763</v>
          </cell>
          <cell r="G52">
            <v>32812</v>
          </cell>
          <cell r="H52">
            <v>117689</v>
          </cell>
          <cell r="J52">
            <v>33369</v>
          </cell>
          <cell r="K52">
            <v>33983</v>
          </cell>
          <cell r="L52">
            <v>33820</v>
          </cell>
          <cell r="M52">
            <v>34423</v>
          </cell>
          <cell r="N52">
            <v>135595</v>
          </cell>
          <cell r="P52">
            <v>35243</v>
          </cell>
          <cell r="Q52">
            <v>35575</v>
          </cell>
          <cell r="R52">
            <v>36813</v>
          </cell>
          <cell r="S52">
            <v>38943</v>
          </cell>
          <cell r="T52">
            <v>146574</v>
          </cell>
          <cell r="V52">
            <v>38976.875</v>
          </cell>
          <cell r="W52">
            <v>39646</v>
          </cell>
          <cell r="X52">
            <v>39791</v>
          </cell>
          <cell r="Y52">
            <v>39118</v>
          </cell>
          <cell r="Z52">
            <v>157531.875</v>
          </cell>
          <cell r="AB52">
            <v>36793</v>
          </cell>
          <cell r="AC52">
            <v>34981</v>
          </cell>
          <cell r="AD52">
            <v>33701</v>
          </cell>
          <cell r="AE52">
            <v>34852</v>
          </cell>
          <cell r="AF52">
            <v>140327</v>
          </cell>
          <cell r="AH52">
            <v>34772</v>
          </cell>
          <cell r="AI52">
            <v>32996</v>
          </cell>
          <cell r="AJ52">
            <v>31721</v>
          </cell>
          <cell r="AK52">
            <v>31331</v>
          </cell>
          <cell r="AL52">
            <v>130820</v>
          </cell>
          <cell r="AN52">
            <v>28984</v>
          </cell>
          <cell r="AO52">
            <v>27321</v>
          </cell>
          <cell r="AP52">
            <v>30587</v>
          </cell>
          <cell r="AQ52">
            <v>28233</v>
          </cell>
          <cell r="AR52">
            <v>115125</v>
          </cell>
          <cell r="AT52">
            <v>23279</v>
          </cell>
          <cell r="AU52">
            <v>26224</v>
          </cell>
          <cell r="AV52">
            <v>28146</v>
          </cell>
          <cell r="AW52">
            <v>28200.870937103224</v>
          </cell>
          <cell r="AX52">
            <v>105849.8709371032</v>
          </cell>
          <cell r="AZ52">
            <v>27686.500812042377</v>
          </cell>
          <cell r="BA52">
            <v>27796.77613080337</v>
          </cell>
          <cell r="BB52">
            <v>26593.276292496976</v>
          </cell>
          <cell r="BC52">
            <v>27856.711767915025</v>
          </cell>
          <cell r="BD52">
            <v>109933.26500325777</v>
          </cell>
          <cell r="BF52">
            <v>34827.524262677165</v>
          </cell>
          <cell r="BG52">
            <v>34716.642826170202</v>
          </cell>
          <cell r="BH52">
            <v>33015.994854390301</v>
          </cell>
          <cell r="BI52">
            <v>34382.759115294517</v>
          </cell>
          <cell r="BJ52">
            <v>136942.92105853217</v>
          </cell>
        </row>
        <row r="54">
          <cell r="A54" t="str">
            <v>Diluted GAAP EPS before gains</v>
          </cell>
          <cell r="P54">
            <v>0.37043870438704385</v>
          </cell>
          <cell r="Q54">
            <v>0.3652825672760483</v>
          </cell>
          <cell r="R54">
            <v>0.3663437725320543</v>
          </cell>
          <cell r="S54">
            <v>0.38411643975120247</v>
          </cell>
          <cell r="T54">
            <v>1.4871222365483192</v>
          </cell>
          <cell r="V54">
            <v>0.37673516017465064</v>
          </cell>
          <cell r="W54">
            <v>0.38249640422737791</v>
          </cell>
          <cell r="X54">
            <v>0.36801493075704583</v>
          </cell>
          <cell r="Y54">
            <v>0.32938027204532011</v>
          </cell>
          <cell r="Z54">
            <v>1.456444086635037</v>
          </cell>
          <cell r="AB54">
            <v>0.31168931558523877</v>
          </cell>
          <cell r="AC54">
            <v>0.26611986606457161</v>
          </cell>
          <cell r="AD54">
            <v>0.23304548959136467</v>
          </cell>
          <cell r="AE54">
            <v>0.2289451263765738</v>
          </cell>
          <cell r="AF54">
            <v>1.0428897763826515</v>
          </cell>
          <cell r="AH54">
            <v>0.23773088743148624</v>
          </cell>
          <cell r="AI54">
            <v>0.20441074468755913</v>
          </cell>
          <cell r="AJ54">
            <v>0.14327868852459016</v>
          </cell>
          <cell r="AK54">
            <v>0.18149438756630074</v>
          </cell>
          <cell r="AL54">
            <v>0.76599808978032469</v>
          </cell>
          <cell r="AN54">
            <v>0.17926350646961428</v>
          </cell>
          <cell r="AO54">
            <v>0.13698505147584361</v>
          </cell>
          <cell r="AP54">
            <v>0.14579918654768409</v>
          </cell>
          <cell r="AQ54">
            <v>0.15229368877081226</v>
          </cell>
          <cell r="AR54">
            <v>0.61449650136902956</v>
          </cell>
          <cell r="AT54">
            <v>8.6018278133769527E-2</v>
          </cell>
          <cell r="AU54">
            <v>5.1521898301032529E-2</v>
          </cell>
          <cell r="AV54">
            <v>0.11302847282139776</v>
          </cell>
          <cell r="AW54">
            <v>0.1298658735299249</v>
          </cell>
          <cell r="AX54">
            <v>0.38064133859396315</v>
          </cell>
          <cell r="AZ54">
            <v>0.13267605070394475</v>
          </cell>
          <cell r="BA54">
            <v>0.13662418582558605</v>
          </cell>
          <cell r="BB54">
            <v>0.12280731042060131</v>
          </cell>
          <cell r="BC54">
            <v>0.14950308813515006</v>
          </cell>
          <cell r="BD54">
            <v>0.54163786813521564</v>
          </cell>
          <cell r="BF54">
            <v>0.19473692507405274</v>
          </cell>
          <cell r="BG54">
            <v>0.1763490490844602</v>
          </cell>
          <cell r="BH54">
            <v>0.14041187793005974</v>
          </cell>
          <cell r="BI54">
            <v>0.1591053591858326</v>
          </cell>
          <cell r="BJ54">
            <v>0.67049774690877118</v>
          </cell>
        </row>
        <row r="55">
          <cell r="A55" t="str">
            <v xml:space="preserve">Diluted EPS before extraordinary </v>
          </cell>
          <cell r="B55">
            <v>1.4133884945968116</v>
          </cell>
          <cell r="D55">
            <v>0.3383367479198896</v>
          </cell>
          <cell r="E55">
            <v>0.37936961830098959</v>
          </cell>
          <cell r="F55">
            <v>0.40958860252921403</v>
          </cell>
          <cell r="G55">
            <v>0.40475999935978491</v>
          </cell>
          <cell r="H55">
            <v>1.5417509734242429</v>
          </cell>
          <cell r="J55">
            <v>0.39024975600390394</v>
          </cell>
          <cell r="K55">
            <v>0.39047453117080588</v>
          </cell>
          <cell r="L55">
            <v>0.37720169670593057</v>
          </cell>
          <cell r="M55">
            <v>0.37344928817197515</v>
          </cell>
          <cell r="N55">
            <v>1.5319951801116185</v>
          </cell>
          <cell r="P55">
            <v>0.37043870438704385</v>
          </cell>
          <cell r="Q55">
            <v>0.3652825672760483</v>
          </cell>
          <cell r="R55">
            <v>0.3663437725320543</v>
          </cell>
          <cell r="S55">
            <v>0.41751923167311639</v>
          </cell>
          <cell r="T55">
            <v>1.5206453033114249</v>
          </cell>
          <cell r="V55">
            <v>0.37673516017465064</v>
          </cell>
          <cell r="W55">
            <v>0.43801200675379903</v>
          </cell>
          <cell r="X55">
            <v>0.36839133639685701</v>
          </cell>
          <cell r="Y55">
            <v>0.34519251719737293</v>
          </cell>
          <cell r="Z55">
            <v>1.5282126638476148</v>
          </cell>
          <cell r="AB55">
            <v>0.33011765069647359</v>
          </cell>
          <cell r="AC55">
            <v>0.26736399103001257</v>
          </cell>
          <cell r="AD55">
            <v>0.23304548959136467</v>
          </cell>
          <cell r="AE55">
            <v>0.2398946073017576</v>
          </cell>
          <cell r="AF55">
            <v>1.0734565119423163</v>
          </cell>
          <cell r="AH55">
            <v>0.22760827551246712</v>
          </cell>
          <cell r="AI55">
            <v>0.29932530424364712</v>
          </cell>
          <cell r="AJ55">
            <v>0.14327868852459016</v>
          </cell>
          <cell r="AK55">
            <v>0.19005180708030098</v>
          </cell>
          <cell r="AL55">
            <v>0.85895689479699999</v>
          </cell>
          <cell r="AN55">
            <v>0.27782547372294109</v>
          </cell>
          <cell r="AO55">
            <v>0.14306786903693791</v>
          </cell>
          <cell r="AP55">
            <v>0.16001942572694713</v>
          </cell>
          <cell r="AQ55">
            <v>0.49505637991154317</v>
          </cell>
          <cell r="AR55">
            <v>1.0780346820809248</v>
          </cell>
          <cell r="AT55">
            <v>0.11688701472155109</v>
          </cell>
          <cell r="AU55">
            <v>0.11605875409052194</v>
          </cell>
          <cell r="AV55">
            <v>0.61766981047871228</v>
          </cell>
          <cell r="AW55">
            <v>0.24165179534567072</v>
          </cell>
          <cell r="AX55">
            <v>1.0943934149802692</v>
          </cell>
          <cell r="AZ55">
            <v>0.24429553947382762</v>
          </cell>
          <cell r="BA55">
            <v>0.13662418582558605</v>
          </cell>
          <cell r="BB55">
            <v>0.12280731042060131</v>
          </cell>
          <cell r="BC55">
            <v>0.14950308813515006</v>
          </cell>
          <cell r="BD55">
            <v>0.65300863449581292</v>
          </cell>
          <cell r="BF55">
            <v>0.19473692507405274</v>
          </cell>
          <cell r="BG55">
            <v>0.1763490490844602</v>
          </cell>
          <cell r="BH55">
            <v>0.14041187793005974</v>
          </cell>
          <cell r="BI55">
            <v>0.1591053591858326</v>
          </cell>
          <cell r="BJ55">
            <v>0.67049774690877118</v>
          </cell>
        </row>
        <row r="56">
          <cell r="A56" t="str">
            <v xml:space="preserve">Diluted EPS after extraordinary </v>
          </cell>
          <cell r="B56">
            <v>1.4133884945968116</v>
          </cell>
          <cell r="D56">
            <v>0.3383367479198896</v>
          </cell>
          <cell r="E56">
            <v>0.37936961830098959</v>
          </cell>
          <cell r="F56">
            <v>0.40958860252921403</v>
          </cell>
          <cell r="G56">
            <v>0.40475999935978491</v>
          </cell>
          <cell r="H56">
            <v>1.5417509734242429</v>
          </cell>
          <cell r="J56">
            <v>0.39024975600390394</v>
          </cell>
          <cell r="K56">
            <v>0.39047453117080588</v>
          </cell>
          <cell r="L56">
            <v>0.37720169670593057</v>
          </cell>
          <cell r="M56">
            <v>0.37344928817197515</v>
          </cell>
          <cell r="N56">
            <v>1.5319951801116185</v>
          </cell>
          <cell r="P56">
            <v>0.37043870438704385</v>
          </cell>
          <cell r="Q56">
            <v>0.3652825672760483</v>
          </cell>
          <cell r="R56">
            <v>0.3663437725320543</v>
          </cell>
          <cell r="S56">
            <v>0.41751923167311639</v>
          </cell>
          <cell r="T56">
            <v>1.5206453033114249</v>
          </cell>
          <cell r="V56">
            <v>0.37673516017465064</v>
          </cell>
          <cell r="W56">
            <v>0.43801200675379903</v>
          </cell>
          <cell r="X56">
            <v>0.36839133639685701</v>
          </cell>
          <cell r="Y56">
            <v>0.34519251719737293</v>
          </cell>
          <cell r="Z56">
            <v>1.5282126638476148</v>
          </cell>
          <cell r="AB56">
            <v>0.33011765069647359</v>
          </cell>
          <cell r="AC56">
            <v>0.26736399103001257</v>
          </cell>
          <cell r="AD56">
            <v>0.23304548959136467</v>
          </cell>
          <cell r="AE56">
            <v>0.2398946073017576</v>
          </cell>
          <cell r="AF56">
            <v>1.0734565119423163</v>
          </cell>
          <cell r="AH56">
            <v>0.22760827551246712</v>
          </cell>
          <cell r="AI56">
            <v>0.29932530424364712</v>
          </cell>
          <cell r="AJ56">
            <v>0.14327868852459016</v>
          </cell>
          <cell r="AK56">
            <v>0.19005180708030098</v>
          </cell>
          <cell r="AL56">
            <v>0.85895689479699999</v>
          </cell>
          <cell r="AN56">
            <v>0.27782547372294109</v>
          </cell>
          <cell r="AO56">
            <v>0.14306786903693791</v>
          </cell>
          <cell r="AP56">
            <v>0.16001942572694713</v>
          </cell>
          <cell r="AQ56">
            <v>0.49505637991154317</v>
          </cell>
          <cell r="AR56">
            <v>1.0780346820809248</v>
          </cell>
          <cell r="AT56">
            <v>0.11688701472155109</v>
          </cell>
          <cell r="AU56">
            <v>0.11605875409052194</v>
          </cell>
          <cell r="AV56">
            <v>0.61766981047871228</v>
          </cell>
          <cell r="AW56">
            <v>0.24165179534567072</v>
          </cell>
          <cell r="AX56">
            <v>1.0943934149802692</v>
          </cell>
          <cell r="AZ56">
            <v>0.24429553947382762</v>
          </cell>
          <cell r="BA56">
            <v>0.13662418582558605</v>
          </cell>
          <cell r="BB56">
            <v>0.12280731042060131</v>
          </cell>
          <cell r="BC56">
            <v>0.14950308813515006</v>
          </cell>
          <cell r="BD56">
            <v>0.65300863449581292</v>
          </cell>
          <cell r="BF56">
            <v>0.19473692507405274</v>
          </cell>
          <cell r="BG56">
            <v>0.1763490490844602</v>
          </cell>
          <cell r="BH56">
            <v>0.14041187793005974</v>
          </cell>
          <cell r="BI56">
            <v>0.1591053591858326</v>
          </cell>
          <cell r="BJ56">
            <v>0.67049774690877118</v>
          </cell>
        </row>
        <row r="59">
          <cell r="A59" t="str">
            <v>FFO Per Share</v>
          </cell>
          <cell r="B59">
            <v>2.167450550866568</v>
          </cell>
          <cell r="D59">
            <v>0.55862687381820308</v>
          </cell>
          <cell r="E59">
            <v>0.57728677663188177</v>
          </cell>
          <cell r="F59">
            <v>0.60714340204140793</v>
          </cell>
          <cell r="G59">
            <v>0.62804952427421323</v>
          </cell>
          <cell r="H59">
            <v>2.3769576928660139</v>
          </cell>
          <cell r="J59">
            <v>0.63743483430383219</v>
          </cell>
          <cell r="K59">
            <v>0.65178721006381257</v>
          </cell>
          <cell r="L59">
            <v>0.6489102270995275</v>
          </cell>
          <cell r="M59">
            <v>0.64009479374953715</v>
          </cell>
          <cell r="N59">
            <v>2.6023205464414221</v>
          </cell>
          <cell r="P59">
            <v>0.67773473247513882</v>
          </cell>
          <cell r="Q59">
            <v>0.68871559772758428</v>
          </cell>
          <cell r="R59">
            <v>0.70859230512688354</v>
          </cell>
          <cell r="S59">
            <v>0.73861002106028695</v>
          </cell>
          <cell r="T59">
            <v>2.8155233504159125</v>
          </cell>
          <cell r="V59">
            <v>0.74225585021039564</v>
          </cell>
          <cell r="W59">
            <v>0.74999621939601069</v>
          </cell>
          <cell r="X59">
            <v>0.75619360873894803</v>
          </cell>
          <cell r="Y59">
            <v>0.74709017074017603</v>
          </cell>
          <cell r="Z59">
            <v>2.9955358490855302</v>
          </cell>
          <cell r="AB59">
            <v>0.70904524124654078</v>
          </cell>
          <cell r="AC59">
            <v>0.69732236350037402</v>
          </cell>
          <cell r="AD59">
            <v>0.6488054966698239</v>
          </cell>
          <cell r="AE59">
            <v>0.68552512327378301</v>
          </cell>
          <cell r="AF59">
            <v>2.7465278828406308</v>
          </cell>
          <cell r="AH59">
            <v>0.7119812470120136</v>
          </cell>
          <cell r="AI59">
            <v>0.66759810845667256</v>
          </cell>
          <cell r="AJ59">
            <v>0.63846972923638579</v>
          </cell>
          <cell r="AK59">
            <v>0.64580359155458711</v>
          </cell>
          <cell r="AL59">
            <v>2.66507410742906</v>
          </cell>
          <cell r="AN59">
            <v>0.64645045583619787</v>
          </cell>
          <cell r="AO59">
            <v>0.6072223046121904</v>
          </cell>
          <cell r="AP59">
            <v>0.63631519744242493</v>
          </cell>
          <cell r="AQ59">
            <v>0.65648281751523896</v>
          </cell>
          <cell r="AR59">
            <v>2.5480679374026551</v>
          </cell>
          <cell r="AT59">
            <v>0.57732592159157403</v>
          </cell>
          <cell r="AU59">
            <v>0.61613100614819782</v>
          </cell>
          <cell r="AV59">
            <v>0.62558939167525063</v>
          </cell>
          <cell r="AW59">
            <v>0.62800685849067461</v>
          </cell>
          <cell r="AX59">
            <v>2.4472880076080714</v>
          </cell>
          <cell r="AZ59">
            <v>0.61565705332150189</v>
          </cell>
          <cell r="BA59">
            <v>0.61721298921626266</v>
          </cell>
          <cell r="BB59">
            <v>0.58963496018034478</v>
          </cell>
          <cell r="BC59">
            <v>0.61675530346086882</v>
          </cell>
          <cell r="BD59">
            <v>2.4392427141945801</v>
          </cell>
          <cell r="BF59">
            <v>0.65957123052094468</v>
          </cell>
          <cell r="BG59">
            <v>0.65652353196836766</v>
          </cell>
          <cell r="BH59">
            <v>0.62346394306711983</v>
          </cell>
          <cell r="BI59">
            <v>0.64834020804630654</v>
          </cell>
          <cell r="BJ59">
            <v>2.5878508333950827</v>
          </cell>
        </row>
        <row r="61">
          <cell r="A61" t="str">
            <v>AFFO Per Share</v>
          </cell>
          <cell r="B61">
            <v>1.7307196701243477</v>
          </cell>
          <cell r="D61">
            <v>0.44706524493654848</v>
          </cell>
          <cell r="E61">
            <v>0.46179269822811153</v>
          </cell>
          <cell r="F61">
            <v>0.48461315472285371</v>
          </cell>
          <cell r="G61">
            <v>0.50030495242742135</v>
          </cell>
          <cell r="H61">
            <v>1.8937760503149348</v>
          </cell>
          <cell r="J61">
            <v>0.50865827261363983</v>
          </cell>
          <cell r="K61">
            <v>0.51755227608473831</v>
          </cell>
          <cell r="L61">
            <v>0.51547020271300104</v>
          </cell>
          <cell r="M61">
            <v>0.50985706879952608</v>
          </cell>
          <cell r="N61">
            <v>2.0515378202109051</v>
          </cell>
          <cell r="P61">
            <v>0.5375358428405832</v>
          </cell>
          <cell r="Q61">
            <v>0.54183103096394902</v>
          </cell>
          <cell r="R61">
            <v>0.55806021283691598</v>
          </cell>
          <cell r="S61">
            <v>0.59003651459826367</v>
          </cell>
          <cell r="T61">
            <v>2.2274636012397115</v>
          </cell>
          <cell r="V61">
            <v>0.58996874337783434</v>
          </cell>
          <cell r="W61">
            <v>0.59954330303809333</v>
          </cell>
          <cell r="X61">
            <v>0.60036512870032288</v>
          </cell>
          <cell r="Y61">
            <v>0.59054060174212342</v>
          </cell>
          <cell r="Z61">
            <v>2.3804177768583741</v>
          </cell>
          <cell r="AB61">
            <v>0.55337805318252919</v>
          </cell>
          <cell r="AC61">
            <v>0.52327599102468214</v>
          </cell>
          <cell r="AD61">
            <v>0.50668290409393657</v>
          </cell>
          <cell r="AE61">
            <v>0.53536920690025958</v>
          </cell>
          <cell r="AF61">
            <v>2.1187061552014077</v>
          </cell>
          <cell r="AH61">
            <v>0.5362490939654242</v>
          </cell>
          <cell r="AI61">
            <v>0.50660197752256952</v>
          </cell>
          <cell r="AJ61">
            <v>0.48252205658655306</v>
          </cell>
          <cell r="AK61">
            <v>0.47082425426403185</v>
          </cell>
          <cell r="AL61">
            <v>1.9961973823385786</v>
          </cell>
          <cell r="AN61">
            <v>0.4331788970258556</v>
          </cell>
          <cell r="AO61">
            <v>0.4051757378021652</v>
          </cell>
          <cell r="AP61">
            <v>0.45271150316736725</v>
          </cell>
          <cell r="AQ61">
            <v>0.41569245266350602</v>
          </cell>
          <cell r="AR61">
            <v>1.706758590658894</v>
          </cell>
          <cell r="AT61">
            <v>0.34053540081919254</v>
          </cell>
          <cell r="AU61">
            <v>0.38206241440601418</v>
          </cell>
          <cell r="AV61">
            <v>0.40834506071641014</v>
          </cell>
          <cell r="AW61">
            <v>0.40992302966323113</v>
          </cell>
          <cell r="AX61">
            <v>1.5408659056048482</v>
          </cell>
          <cell r="AZ61">
            <v>0.40186186045424377</v>
          </cell>
          <cell r="BA61">
            <v>0.40287747668091206</v>
          </cell>
          <cell r="BB61">
            <v>0.38487628917523148</v>
          </cell>
          <cell r="BC61">
            <v>0.40257872846033421</v>
          </cell>
          <cell r="BD61">
            <v>1.5921943547707216</v>
          </cell>
          <cell r="BF61">
            <v>0.50259266580980722</v>
          </cell>
          <cell r="BG61">
            <v>0.50027032233992219</v>
          </cell>
          <cell r="BH61">
            <v>0.47507894626469355</v>
          </cell>
          <cell r="BI61">
            <v>0.49403463710252116</v>
          </cell>
          <cell r="BJ61">
            <v>1.9719765715169442</v>
          </cell>
        </row>
        <row r="62">
          <cell r="A62" t="str">
            <v>NOI Per Share</v>
          </cell>
          <cell r="B62">
            <v>2.882707299787385</v>
          </cell>
          <cell r="D62">
            <v>0.74116454511783858</v>
          </cell>
          <cell r="E62">
            <v>0.74915077883526637</v>
          </cell>
          <cell r="F62">
            <v>0.80353355812214877</v>
          </cell>
          <cell r="G62">
            <v>0.83633203220297636</v>
          </cell>
          <cell r="H62">
            <v>3.1301809142782302</v>
          </cell>
          <cell r="J62">
            <v>0.85098015304411456</v>
          </cell>
          <cell r="K62">
            <v>0.88740652746683724</v>
          </cell>
          <cell r="L62">
            <v>0.9141746684956561</v>
          </cell>
          <cell r="M62">
            <v>0.92566096423017108</v>
          </cell>
          <cell r="N62">
            <v>3.578222313236779</v>
          </cell>
          <cell r="P62">
            <v>0.98119394789823688</v>
          </cell>
          <cell r="Q62">
            <v>1.0072802595305907</v>
          </cell>
          <cell r="R62">
            <v>1.0538004426522753</v>
          </cell>
          <cell r="S62">
            <v>1.1165285374464022</v>
          </cell>
          <cell r="T62">
            <v>4.1588031875275053</v>
          </cell>
          <cell r="V62">
            <v>1.1091787000877911</v>
          </cell>
          <cell r="W62">
            <v>1.1146127905394165</v>
          </cell>
          <cell r="X62">
            <v>1.1137179757989075</v>
          </cell>
          <cell r="Y62">
            <v>1.1344786461557042</v>
          </cell>
          <cell r="Z62">
            <v>4.4719881125818191</v>
          </cell>
          <cell r="AB62">
            <v>1.0834737095415714</v>
          </cell>
          <cell r="AC62">
            <v>1.0728047868362005</v>
          </cell>
          <cell r="AD62">
            <v>1.0440515387969269</v>
          </cell>
          <cell r="AE62">
            <v>1.0812762100800319</v>
          </cell>
          <cell r="AF62">
            <v>4.2816062452547303</v>
          </cell>
          <cell r="AH62">
            <v>1.1105130854525547</v>
          </cell>
          <cell r="AI62">
            <v>1.0986458269360684</v>
          </cell>
          <cell r="AJ62">
            <v>1.0587617888652268</v>
          </cell>
          <cell r="AK62">
            <v>1.0769554436847246</v>
          </cell>
          <cell r="AL62">
            <v>4.3448761449385742</v>
          </cell>
          <cell r="AN62">
            <v>1.0518905993125094</v>
          </cell>
          <cell r="AO62">
            <v>1.0564288892184488</v>
          </cell>
          <cell r="AP62">
            <v>1.0278698715292167</v>
          </cell>
          <cell r="AQ62">
            <v>1.0539768544421213</v>
          </cell>
          <cell r="AR62">
            <v>4.1901662145022964</v>
          </cell>
          <cell r="AT62">
            <v>1.0030866003510825</v>
          </cell>
          <cell r="AU62">
            <v>1.0603892887321891</v>
          </cell>
          <cell r="AV62">
            <v>1.0856123144776357</v>
          </cell>
          <cell r="AW62">
            <v>1.0909194410745424</v>
          </cell>
          <cell r="AX62">
            <v>4.2400076446354493</v>
          </cell>
          <cell r="AZ62">
            <v>1.0744749583913054</v>
          </cell>
          <cell r="BA62">
            <v>1.0729077440936265</v>
          </cell>
          <cell r="BB62">
            <v>1.0503697938153809</v>
          </cell>
          <cell r="BC62">
            <v>1.0831477920618939</v>
          </cell>
          <cell r="BD62">
            <v>4.2809002883622069</v>
          </cell>
          <cell r="BF62">
            <v>1.1370305381990604</v>
          </cell>
          <cell r="BG62">
            <v>1.1496543097085961</v>
          </cell>
          <cell r="BH62">
            <v>1.1286763806176834</v>
          </cell>
          <cell r="BI62">
            <v>1.1657669111735138</v>
          </cell>
          <cell r="BJ62">
            <v>4.5811281396988539</v>
          </cell>
        </row>
        <row r="63">
          <cell r="A63" t="str">
            <v>EBITDA Per Share</v>
          </cell>
          <cell r="B63">
            <v>2.7434765801172607</v>
          </cell>
          <cell r="D63">
            <v>0.70929257880270569</v>
          </cell>
          <cell r="E63">
            <v>0.72791259907580252</v>
          </cell>
          <cell r="F63">
            <v>0.77967136078604882</v>
          </cell>
          <cell r="G63">
            <v>0.80464747499390099</v>
          </cell>
          <cell r="H63">
            <v>3.0215240136584578</v>
          </cell>
          <cell r="J63">
            <v>0.8281759702448096</v>
          </cell>
          <cell r="K63">
            <v>0.86171395501134618</v>
          </cell>
          <cell r="L63">
            <v>0.88625209571711627</v>
          </cell>
          <cell r="M63">
            <v>0.89043916166777748</v>
          </cell>
          <cell r="N63">
            <v>3.4665811826410495</v>
          </cell>
          <cell r="P63">
            <v>0.95341955951436763</v>
          </cell>
          <cell r="Q63">
            <v>0.9792862908753065</v>
          </cell>
          <cell r="R63">
            <v>1.0189794742746263</v>
          </cell>
          <cell r="S63">
            <v>1.0653171921637552</v>
          </cell>
          <cell r="T63">
            <v>4.0170025168280556</v>
          </cell>
          <cell r="V63">
            <v>1.0657978385251112</v>
          </cell>
          <cell r="W63">
            <v>1.0735403087997339</v>
          </cell>
          <cell r="X63">
            <v>1.0759226289266424</v>
          </cell>
          <cell r="Y63">
            <v>1.073247686478163</v>
          </cell>
          <cell r="Z63">
            <v>4.2885084627296504</v>
          </cell>
          <cell r="AB63">
            <v>1.0389543977860667</v>
          </cell>
          <cell r="AC63">
            <v>1.0286611817501869</v>
          </cell>
          <cell r="AD63">
            <v>0.99409138063235758</v>
          </cell>
          <cell r="AE63">
            <v>1.0208758967111631</v>
          </cell>
          <cell r="AF63">
            <v>4.0825828568797746</v>
          </cell>
          <cell r="AH63">
            <v>1.054192434032972</v>
          </cell>
          <cell r="AI63">
            <v>1.0337775594177978</v>
          </cell>
          <cell r="AJ63">
            <v>0.98731365987222386</v>
          </cell>
          <cell r="AK63">
            <v>0.99356826207829285</v>
          </cell>
          <cell r="AL63">
            <v>4.0688519154012868</v>
          </cell>
          <cell r="AN63">
            <v>0.98487520549992524</v>
          </cell>
          <cell r="AO63">
            <v>0.98724603292303126</v>
          </cell>
          <cell r="AP63">
            <v>0.95648570244508913</v>
          </cell>
          <cell r="AQ63">
            <v>0.97254041638446365</v>
          </cell>
          <cell r="AR63">
            <v>3.9011473572525093</v>
          </cell>
          <cell r="AT63">
            <v>0.88247513165593916</v>
          </cell>
          <cell r="AU63">
            <v>0.95024621929543407</v>
          </cell>
          <cell r="AV63">
            <v>0.98259027666951992</v>
          </cell>
          <cell r="AW63">
            <v>0.98321129074680258</v>
          </cell>
          <cell r="AX63">
            <v>3.7985229183676954</v>
          </cell>
          <cell r="AZ63">
            <v>0.95852549202771686</v>
          </cell>
          <cell r="BA63">
            <v>0.95641173257501177</v>
          </cell>
          <cell r="BB63">
            <v>0.93296986518019553</v>
          </cell>
          <cell r="BC63">
            <v>0.96509283323240147</v>
          </cell>
          <cell r="BD63">
            <v>3.8129999230153255</v>
          </cell>
          <cell r="BF63">
            <v>1.019002278019854</v>
          </cell>
          <cell r="BG63">
            <v>1.0311886034321052</v>
          </cell>
          <cell r="BH63">
            <v>1.0093908693393439</v>
          </cell>
          <cell r="BI63">
            <v>1.0463239603106707</v>
          </cell>
          <cell r="BJ63">
            <v>4.1059057111019737</v>
          </cell>
        </row>
        <row r="65">
          <cell r="A65" t="str">
            <v>Dividends Per Share</v>
          </cell>
          <cell r="B65">
            <v>1.6</v>
          </cell>
          <cell r="D65">
            <v>0.42</v>
          </cell>
          <cell r="E65">
            <v>0.42</v>
          </cell>
          <cell r="F65">
            <v>0.42</v>
          </cell>
          <cell r="G65">
            <v>0.42</v>
          </cell>
          <cell r="H65">
            <v>1.68</v>
          </cell>
          <cell r="J65">
            <v>0.44500000000000001</v>
          </cell>
          <cell r="K65">
            <v>0.44500000000000001</v>
          </cell>
          <cell r="L65">
            <v>0.44500000000000001</v>
          </cell>
          <cell r="M65">
            <v>0.44500000000000001</v>
          </cell>
          <cell r="N65">
            <v>1.78</v>
          </cell>
          <cell r="P65">
            <v>0.46500000000000002</v>
          </cell>
          <cell r="Q65">
            <v>0.46500000000000002</v>
          </cell>
          <cell r="R65">
            <v>0.46500000000000002</v>
          </cell>
          <cell r="S65">
            <v>0.46500000000000002</v>
          </cell>
          <cell r="T65">
            <v>1.86</v>
          </cell>
          <cell r="V65">
            <v>0.49</v>
          </cell>
          <cell r="W65">
            <v>0.49</v>
          </cell>
          <cell r="X65">
            <v>0.49</v>
          </cell>
          <cell r="Y65">
            <v>0.49</v>
          </cell>
          <cell r="Z65">
            <v>1.96</v>
          </cell>
          <cell r="AB65">
            <v>0.505</v>
          </cell>
          <cell r="AC65">
            <v>0.505</v>
          </cell>
          <cell r="AD65">
            <v>0.505</v>
          </cell>
          <cell r="AE65">
            <v>0.505</v>
          </cell>
          <cell r="AF65">
            <v>2.02</v>
          </cell>
          <cell r="AH65">
            <v>0.505</v>
          </cell>
          <cell r="AI65">
            <v>0.505</v>
          </cell>
          <cell r="AJ65">
            <v>0.505</v>
          </cell>
          <cell r="AK65">
            <v>0.505</v>
          </cell>
          <cell r="AL65">
            <v>2.02</v>
          </cell>
          <cell r="AN65">
            <v>0.505</v>
          </cell>
          <cell r="AO65">
            <v>0.505</v>
          </cell>
          <cell r="AP65">
            <v>0.505</v>
          </cell>
          <cell r="AQ65">
            <v>0.505</v>
          </cell>
          <cell r="AR65">
            <v>2.02</v>
          </cell>
          <cell r="AT65">
            <v>0.505</v>
          </cell>
          <cell r="AU65">
            <v>0.505</v>
          </cell>
          <cell r="AV65">
            <v>0.505</v>
          </cell>
          <cell r="AW65">
            <v>0.505</v>
          </cell>
          <cell r="AX65">
            <v>2.02</v>
          </cell>
          <cell r="AZ65">
            <v>0.50333984673598586</v>
          </cell>
          <cell r="BA65">
            <v>0.50333984673598586</v>
          </cell>
          <cell r="BB65">
            <v>0.50333984673598586</v>
          </cell>
          <cell r="BC65">
            <v>0.50333984673598586</v>
          </cell>
          <cell r="BD65">
            <v>2.0133593869439435</v>
          </cell>
          <cell r="BF65">
            <v>0.53400526084456201</v>
          </cell>
          <cell r="BG65">
            <v>0.53400526084456201</v>
          </cell>
          <cell r="BH65">
            <v>0.53400526084456201</v>
          </cell>
          <cell r="BI65">
            <v>0.53400526084456201</v>
          </cell>
          <cell r="BJ65">
            <v>2.1360210433782481</v>
          </cell>
          <cell r="BM65" t="str">
            <v>mstag:dividendsPerShare</v>
          </cell>
          <cell r="BN65">
            <v>0</v>
          </cell>
          <cell r="BO65" t="str">
            <v>ISO4217:USD</v>
          </cell>
          <cell r="BP65" t="b">
            <v>0</v>
          </cell>
          <cell r="BQ65" t="b">
            <v>0</v>
          </cell>
        </row>
        <row r="67">
          <cell r="A67" t="str">
            <v>Payout Ratio (Net Income)</v>
          </cell>
          <cell r="B67">
            <v>1.1320312894272018</v>
          </cell>
          <cell r="D67">
            <v>1.2413667820069205</v>
          </cell>
          <cell r="E67">
            <v>1.1070997247512173</v>
          </cell>
          <cell r="F67">
            <v>1.0254191581662562</v>
          </cell>
          <cell r="G67">
            <v>1.0376519435327611</v>
          </cell>
          <cell r="H67">
            <v>1.0896701406120761</v>
          </cell>
          <cell r="J67">
            <v>1.1402953958427289</v>
          </cell>
          <cell r="K67">
            <v>1.139638989169675</v>
          </cell>
          <cell r="L67">
            <v>1.1797401864470549</v>
          </cell>
          <cell r="M67">
            <v>1.1915941845230547</v>
          </cell>
          <cell r="N67">
            <v>1.161883551011115</v>
          </cell>
          <cell r="P67">
            <v>1.2552684006640842</v>
          </cell>
          <cell r="Q67">
            <v>1.2729871109578412</v>
          </cell>
          <cell r="R67">
            <v>1.2692995892520966</v>
          </cell>
          <cell r="S67">
            <v>1.1137211527637061</v>
          </cell>
          <cell r="T67">
            <v>1.2231649260676249</v>
          </cell>
          <cell r="V67">
            <v>1.3006484443152078</v>
          </cell>
          <cell r="W67">
            <v>1.1186907948745404</v>
          </cell>
          <cell r="X67">
            <v>1.3301072842607178</v>
          </cell>
          <cell r="Y67">
            <v>1.419497745716862</v>
          </cell>
          <cell r="Z67">
            <v>1.2825440112930779</v>
          </cell>
          <cell r="AB67">
            <v>1.5297576452957429</v>
          </cell>
          <cell r="AC67">
            <v>1.8888108232320333</v>
          </cell>
          <cell r="AD67">
            <v>2.1669589095480712</v>
          </cell>
          <cell r="AE67">
            <v>2.1050910884577441</v>
          </cell>
          <cell r="AF67">
            <v>1.8817716204869859</v>
          </cell>
          <cell r="AH67">
            <v>2.2187242483296217</v>
          </cell>
          <cell r="AI67">
            <v>1.6871276595744682</v>
          </cell>
          <cell r="AJ67">
            <v>3.5245995423340961</v>
          </cell>
          <cell r="AK67">
            <v>2.6571702093136458</v>
          </cell>
          <cell r="AL67">
            <v>2.3516896042581892</v>
          </cell>
          <cell r="AN67">
            <v>1.8176878931685243</v>
          </cell>
          <cell r="AO67">
            <v>3.5297932610544218</v>
          </cell>
          <cell r="AP67">
            <v>3.1558668437025794</v>
          </cell>
          <cell r="AQ67">
            <v>1.0200858336382486</v>
          </cell>
          <cell r="AR67">
            <v>1.873780160857909</v>
          </cell>
          <cell r="AT67">
            <v>4.3204114777249965</v>
          </cell>
          <cell r="AU67">
            <v>4.3512443671945409</v>
          </cell>
          <cell r="AV67">
            <v>0.81758893090243501</v>
          </cell>
          <cell r="AW67">
            <v>2.0897837703941864</v>
          </cell>
          <cell r="AX67">
            <v>1.8457713399494629</v>
          </cell>
          <cell r="AZ67">
            <v>2.0603726446258372</v>
          </cell>
          <cell r="BA67">
            <v>3.6841196431980769</v>
          </cell>
          <cell r="BB67">
            <v>4.0986146916832817</v>
          </cell>
          <cell r="BC67">
            <v>3.36675217224255</v>
          </cell>
          <cell r="BD67">
            <v>3.0832048468983193</v>
          </cell>
          <cell r="BF67">
            <v>2.7421880089844053</v>
          </cell>
          <cell r="BG67">
            <v>3.0281153406662646</v>
          </cell>
          <cell r="BH67">
            <v>3.8031345262012253</v>
          </cell>
          <cell r="BI67">
            <v>3.3562996468324622</v>
          </cell>
          <cell r="BJ67">
            <v>3.1857244162654554</v>
          </cell>
        </row>
        <row r="68">
          <cell r="A68" t="str">
            <v>Payout Ratio (FFO)</v>
          </cell>
          <cell r="B68">
            <v>0.73819446508724473</v>
          </cell>
          <cell r="D68">
            <v>0.75184352863174786</v>
          </cell>
          <cell r="E68">
            <v>0.7275413486005089</v>
          </cell>
          <cell r="F68">
            <v>0.6917640850379454</v>
          </cell>
          <cell r="G68">
            <v>0.66873707210487976</v>
          </cell>
          <cell r="H68">
            <v>0.70678582334140827</v>
          </cell>
          <cell r="J68">
            <v>0.6981105770380468</v>
          </cell>
          <cell r="K68">
            <v>0.68273815921676761</v>
          </cell>
          <cell r="L68">
            <v>0.68576512037580739</v>
          </cell>
          <cell r="M68">
            <v>0.69520952887819332</v>
          </cell>
          <cell r="N68">
            <v>0.68400489802614239</v>
          </cell>
          <cell r="P68">
            <v>0.68610914819399127</v>
          </cell>
          <cell r="Q68">
            <v>0.67516984011145764</v>
          </cell>
          <cell r="R68">
            <v>0.65623066555420062</v>
          </cell>
          <cell r="S68">
            <v>0.62956091407003223</v>
          </cell>
          <cell r="T68">
            <v>0.66062318386570607</v>
          </cell>
          <cell r="V68">
            <v>0.66014973120266729</v>
          </cell>
          <cell r="W68">
            <v>0.65333662667607617</v>
          </cell>
          <cell r="X68">
            <v>0.6479822023583871</v>
          </cell>
          <cell r="Y68">
            <v>0.65587799062398966</v>
          </cell>
          <cell r="Z68">
            <v>0.65430697502697022</v>
          </cell>
          <cell r="AB68">
            <v>0.71222535689285782</v>
          </cell>
          <cell r="AC68">
            <v>0.72419877295349233</v>
          </cell>
          <cell r="AD68">
            <v>0.77835345506789644</v>
          </cell>
          <cell r="AE68">
            <v>0.73666155018262491</v>
          </cell>
          <cell r="AF68">
            <v>0.73547405530461607</v>
          </cell>
          <cell r="AH68">
            <v>0.70928834448848754</v>
          </cell>
          <cell r="AI68">
            <v>0.75644312589117346</v>
          </cell>
          <cell r="AJ68">
            <v>0.7909537083363114</v>
          </cell>
          <cell r="AK68">
            <v>0.78197149505526475</v>
          </cell>
          <cell r="AL68">
            <v>0.7579526566894047</v>
          </cell>
          <cell r="AN68">
            <v>0.78118902298053361</v>
          </cell>
          <cell r="AO68">
            <v>0.83165587983880818</v>
          </cell>
          <cell r="AP68">
            <v>0.79363183848157803</v>
          </cell>
          <cell r="AQ68">
            <v>0.76925090272949515</v>
          </cell>
          <cell r="AR68">
            <v>0.7927575126034766</v>
          </cell>
          <cell r="AT68">
            <v>0.87472254598895249</v>
          </cell>
          <cell r="AU68">
            <v>0.81963088200520218</v>
          </cell>
          <cell r="AV68">
            <v>0.80723875231910946</v>
          </cell>
          <cell r="AW68">
            <v>0.8041313453386415</v>
          </cell>
          <cell r="AX68">
            <v>0.82540346445545909</v>
          </cell>
          <cell r="AZ68">
            <v>0.81756530526279392</v>
          </cell>
          <cell r="BA68">
            <v>0.81550430002312013</v>
          </cell>
          <cell r="BB68">
            <v>0.85364654528292416</v>
          </cell>
          <cell r="BC68">
            <v>0.8161094747163713</v>
          </cell>
          <cell r="BD68">
            <v>0.82540346445545898</v>
          </cell>
          <cell r="BF68">
            <v>0.80962485344121549</v>
          </cell>
          <cell r="BG68">
            <v>0.81338327545324185</v>
          </cell>
          <cell r="BH68">
            <v>0.85651346285966845</v>
          </cell>
          <cell r="BI68">
            <v>0.82364976630667586</v>
          </cell>
          <cell r="BJ68">
            <v>0.82540346445545898</v>
          </cell>
        </row>
        <row r="69">
          <cell r="A69" t="str">
            <v>Payout Ratio (AFFO)</v>
          </cell>
          <cell r="B69">
            <v>0.92447091670544446</v>
          </cell>
          <cell r="D69">
            <v>0.93946019011075255</v>
          </cell>
          <cell r="E69">
            <v>0.90949900596421462</v>
          </cell>
          <cell r="F69">
            <v>0.86667065453515091</v>
          </cell>
          <cell r="G69">
            <v>0.83948799219797632</v>
          </cell>
          <cell r="H69">
            <v>0.88711650974813838</v>
          </cell>
          <cell r="J69">
            <v>0.87485060984746321</v>
          </cell>
          <cell r="K69">
            <v>0.85981652591001378</v>
          </cell>
          <cell r="L69">
            <v>0.86328947368421061</v>
          </cell>
          <cell r="M69">
            <v>0.87279362635447222</v>
          </cell>
          <cell r="N69">
            <v>0.86764181603876545</v>
          </cell>
          <cell r="P69">
            <v>0.86505859319581202</v>
          </cell>
          <cell r="Q69">
            <v>0.85820112438510188</v>
          </cell>
          <cell r="R69">
            <v>0.83324341944421809</v>
          </cell>
          <cell r="S69">
            <v>0.7880868191972884</v>
          </cell>
          <cell r="T69">
            <v>0.83503047994355695</v>
          </cell>
          <cell r="V69">
            <v>0.83055247502525531</v>
          </cell>
          <cell r="W69">
            <v>0.81728875548605162</v>
          </cell>
          <cell r="X69">
            <v>0.81616998818828379</v>
          </cell>
          <cell r="Y69">
            <v>0.8297481977606217</v>
          </cell>
          <cell r="Z69">
            <v>0.82338487766914903</v>
          </cell>
          <cell r="AB69">
            <v>0.91257684885711954</v>
          </cell>
          <cell r="AC69">
            <v>0.96507389725851178</v>
          </cell>
          <cell r="AD69">
            <v>0.99667858520518671</v>
          </cell>
          <cell r="AE69">
            <v>0.94327427407322395</v>
          </cell>
          <cell r="AF69">
            <v>0.95341206001639967</v>
          </cell>
          <cell r="AH69">
            <v>0.94172653284251695</v>
          </cell>
          <cell r="AI69">
            <v>0.99683779852103294</v>
          </cell>
          <cell r="AJ69">
            <v>1.0465842817061253</v>
          </cell>
          <cell r="AK69">
            <v>1.0725870543551115</v>
          </cell>
          <cell r="AL69">
            <v>1.0119239799991804</v>
          </cell>
          <cell r="AN69">
            <v>1.1658000966050235</v>
          </cell>
          <cell r="AO69">
            <v>1.246372753559533</v>
          </cell>
          <cell r="AP69">
            <v>1.1155007029130022</v>
          </cell>
          <cell r="AQ69">
            <v>1.2148404349520066</v>
          </cell>
          <cell r="AR69">
            <v>1.183530003045234</v>
          </cell>
          <cell r="AT69">
            <v>1.4829588899866832</v>
          </cell>
          <cell r="AU69">
            <v>1.3217735661989016</v>
          </cell>
          <cell r="AV69">
            <v>1.2366991757265686</v>
          </cell>
          <cell r="AW69">
            <v>1.2319385920202595</v>
          </cell>
          <cell r="AX69">
            <v>1.3109511948134602</v>
          </cell>
          <cell r="AZ69">
            <v>1.252519575176994</v>
          </cell>
          <cell r="BA69">
            <v>1.2493620911318462</v>
          </cell>
          <cell r="BB69">
            <v>1.3077964553613193</v>
          </cell>
          <cell r="BC69">
            <v>1.250289225814323</v>
          </cell>
          <cell r="BD69">
            <v>1.2645186066080922</v>
          </cell>
          <cell r="BF69">
            <v>1.062501101133541</v>
          </cell>
          <cell r="BG69">
            <v>1.0674334194897888</v>
          </cell>
          <cell r="BH69">
            <v>1.1240347842041336</v>
          </cell>
          <cell r="BI69">
            <v>1.0809065210011706</v>
          </cell>
          <cell r="BJ69">
            <v>1.0831878401755619</v>
          </cell>
        </row>
        <row r="71">
          <cell r="A71" t="str">
            <v>Weighted Average Basic Shares Outstanding</v>
          </cell>
          <cell r="T71">
            <v>63408</v>
          </cell>
          <cell r="Z71">
            <v>63754</v>
          </cell>
          <cell r="AF71">
            <v>64151</v>
          </cell>
          <cell r="AL71">
            <v>63553</v>
          </cell>
          <cell r="AN71">
            <v>64813</v>
          </cell>
          <cell r="AO71">
            <v>65454</v>
          </cell>
          <cell r="AP71">
            <v>65485</v>
          </cell>
          <cell r="AQ71">
            <v>65736</v>
          </cell>
          <cell r="AR71">
            <v>65372</v>
          </cell>
          <cell r="AT71">
            <v>66258</v>
          </cell>
          <cell r="AU71">
            <v>66587</v>
          </cell>
          <cell r="AV71">
            <v>67067</v>
          </cell>
          <cell r="AW71">
            <v>67065</v>
          </cell>
          <cell r="AX71">
            <v>66744.25</v>
          </cell>
          <cell r="AZ71">
            <v>67165</v>
          </cell>
          <cell r="BA71">
            <v>67265</v>
          </cell>
          <cell r="BB71">
            <v>67365</v>
          </cell>
          <cell r="BC71">
            <v>67465</v>
          </cell>
          <cell r="BD71">
            <v>67315</v>
          </cell>
          <cell r="BF71">
            <v>67565</v>
          </cell>
          <cell r="BG71">
            <v>67665</v>
          </cell>
          <cell r="BH71">
            <v>67765</v>
          </cell>
          <cell r="BI71">
            <v>67865</v>
          </cell>
          <cell r="BJ71">
            <v>67715</v>
          </cell>
          <cell r="BM71" t="str">
            <v>mstag:averageBasicSharesOutstanding</v>
          </cell>
          <cell r="BN71">
            <v>3</v>
          </cell>
          <cell r="BO71" t="str">
            <v>ms_eqr_gcim_Decimal:ms_eqr_gcim_decimal</v>
          </cell>
          <cell r="BP71" t="b">
            <v>0</v>
          </cell>
          <cell r="BQ71" t="b">
            <v>0</v>
          </cell>
        </row>
        <row r="72">
          <cell r="A72" t="str">
            <v>Diluted Weighted Avg. Common Shares</v>
          </cell>
          <cell r="B72">
            <v>28039</v>
          </cell>
          <cell r="D72">
            <v>47834</v>
          </cell>
          <cell r="E72">
            <v>62248</v>
          </cell>
          <cell r="F72">
            <v>62470</v>
          </cell>
          <cell r="G72">
            <v>62479</v>
          </cell>
          <cell r="H72">
            <v>58813</v>
          </cell>
          <cell r="J72">
            <v>62501</v>
          </cell>
          <cell r="K72">
            <v>63136</v>
          </cell>
          <cell r="L72">
            <v>63417</v>
          </cell>
          <cell r="M72">
            <v>63358</v>
          </cell>
          <cell r="N72">
            <v>63072</v>
          </cell>
          <cell r="P72">
            <v>63414</v>
          </cell>
          <cell r="Q72">
            <v>63507</v>
          </cell>
          <cell r="R72">
            <v>63798</v>
          </cell>
          <cell r="S72">
            <v>63827</v>
          </cell>
          <cell r="T72">
            <v>63598</v>
          </cell>
          <cell r="V72">
            <v>63899</v>
          </cell>
          <cell r="W72">
            <v>63964</v>
          </cell>
          <cell r="X72">
            <v>63761</v>
          </cell>
          <cell r="Y72">
            <v>64254</v>
          </cell>
          <cell r="Z72">
            <v>63969.5</v>
          </cell>
          <cell r="AB72">
            <v>64683</v>
          </cell>
          <cell r="AC72">
            <v>65106</v>
          </cell>
          <cell r="AD72">
            <v>64850</v>
          </cell>
          <cell r="AE72">
            <v>63382</v>
          </cell>
          <cell r="AF72">
            <v>64351</v>
          </cell>
          <cell r="AH72">
            <v>63126</v>
          </cell>
          <cell r="AI72">
            <v>63436</v>
          </cell>
          <cell r="AJ72">
            <v>64050</v>
          </cell>
          <cell r="AK72">
            <v>64856</v>
          </cell>
          <cell r="AL72">
            <v>63867</v>
          </cell>
          <cell r="AN72">
            <v>65228</v>
          </cell>
          <cell r="AO72">
            <v>65759</v>
          </cell>
          <cell r="AP72">
            <v>65892</v>
          </cell>
          <cell r="AQ72">
            <v>66247</v>
          </cell>
          <cell r="AR72">
            <v>65740</v>
          </cell>
          <cell r="AT72">
            <v>66637</v>
          </cell>
          <cell r="AU72">
            <v>66923</v>
          </cell>
          <cell r="AV72">
            <v>67222</v>
          </cell>
          <cell r="AW72">
            <v>67092.527199999997</v>
          </cell>
          <cell r="AX72">
            <v>66968.631800000003</v>
          </cell>
          <cell r="AZ72">
            <v>67192.567200000005</v>
          </cell>
          <cell r="BA72">
            <v>67292.607199999999</v>
          </cell>
          <cell r="BB72">
            <v>67392.647200000007</v>
          </cell>
          <cell r="BC72">
            <v>67492.6872</v>
          </cell>
          <cell r="BD72">
            <v>67342.627200000003</v>
          </cell>
          <cell r="BF72">
            <v>67592.727199999994</v>
          </cell>
          <cell r="BG72">
            <v>67692.767200000002</v>
          </cell>
          <cell r="BH72">
            <v>67792.807199999996</v>
          </cell>
          <cell r="BI72">
            <v>67892.847200000004</v>
          </cell>
          <cell r="BJ72">
            <v>67742.787200000006</v>
          </cell>
          <cell r="BM72" t="str">
            <v>mstag:averageDilutedSharesOutstanding</v>
          </cell>
          <cell r="BN72">
            <v>3</v>
          </cell>
          <cell r="BO72" t="str">
            <v>ms_eqr_gcim_Decimal:ms_eqr_gcim_decimal</v>
          </cell>
          <cell r="BP72" t="b">
            <v>0</v>
          </cell>
          <cell r="BQ72" t="b">
            <v>0</v>
          </cell>
        </row>
        <row r="73">
          <cell r="A73" t="str">
            <v>Diluted Wght. Avg. Shares &amp; OP Units</v>
          </cell>
          <cell r="B73">
            <v>31042</v>
          </cell>
          <cell r="D73">
            <v>51299</v>
          </cell>
          <cell r="E73">
            <v>65354</v>
          </cell>
          <cell r="F73">
            <v>65543</v>
          </cell>
          <cell r="G73">
            <v>65584</v>
          </cell>
          <cell r="H73">
            <v>61999</v>
          </cell>
          <cell r="J73">
            <v>65602</v>
          </cell>
          <cell r="K73">
            <v>65661</v>
          </cell>
          <cell r="L73">
            <v>65610</v>
          </cell>
          <cell r="M73">
            <v>67515</v>
          </cell>
          <cell r="N73">
            <v>65588</v>
          </cell>
          <cell r="P73">
            <v>65564</v>
          </cell>
          <cell r="Q73">
            <v>65657</v>
          </cell>
          <cell r="R73">
            <v>65966</v>
          </cell>
          <cell r="S73">
            <v>66001</v>
          </cell>
          <cell r="T73">
            <v>65759</v>
          </cell>
          <cell r="V73">
            <v>66066</v>
          </cell>
          <cell r="W73">
            <v>66127</v>
          </cell>
          <cell r="X73">
            <v>66278</v>
          </cell>
          <cell r="Y73">
            <v>66241</v>
          </cell>
          <cell r="Z73">
            <v>66132</v>
          </cell>
          <cell r="AB73">
            <v>66488</v>
          </cell>
          <cell r="AC73">
            <v>66850</v>
          </cell>
          <cell r="AD73">
            <v>66513</v>
          </cell>
          <cell r="AE73">
            <v>65099</v>
          </cell>
          <cell r="AF73">
            <v>66098</v>
          </cell>
          <cell r="AH73">
            <v>64843</v>
          </cell>
          <cell r="AI73">
            <v>65132</v>
          </cell>
          <cell r="AJ73">
            <v>65740</v>
          </cell>
          <cell r="AK73">
            <v>66545</v>
          </cell>
          <cell r="AL73">
            <v>65513</v>
          </cell>
          <cell r="AN73">
            <v>66910</v>
          </cell>
          <cell r="AO73">
            <v>67430</v>
          </cell>
          <cell r="AP73">
            <v>67564</v>
          </cell>
          <cell r="AQ73">
            <v>67918</v>
          </cell>
          <cell r="AR73">
            <v>67415</v>
          </cell>
          <cell r="AT73">
            <v>68360</v>
          </cell>
          <cell r="AU73">
            <v>68638</v>
          </cell>
          <cell r="AV73">
            <v>68927</v>
          </cell>
          <cell r="AW73">
            <v>68795.527199999997</v>
          </cell>
          <cell r="AX73">
            <v>68680.131800000003</v>
          </cell>
          <cell r="AZ73">
            <v>68895.567200000005</v>
          </cell>
          <cell r="BA73">
            <v>68995.607199999999</v>
          </cell>
          <cell r="BB73">
            <v>69095.647200000007</v>
          </cell>
          <cell r="BC73">
            <v>69195.6872</v>
          </cell>
          <cell r="BD73">
            <v>69045.627200000003</v>
          </cell>
          <cell r="BF73">
            <v>69295.727199999994</v>
          </cell>
          <cell r="BG73">
            <v>69395.767200000002</v>
          </cell>
          <cell r="BH73">
            <v>69495.807199999996</v>
          </cell>
          <cell r="BI73">
            <v>69595.847200000004</v>
          </cell>
          <cell r="BJ73">
            <v>69445.787200000006</v>
          </cell>
          <cell r="BM73" t="str">
            <v>mstag:averageDilutedSharesOutstandingForFfo</v>
          </cell>
          <cell r="BN73">
            <v>3</v>
          </cell>
          <cell r="BO73" t="str">
            <v>ms_eqr_gcim_Decimal:ms_eqr_gcim_decimal</v>
          </cell>
          <cell r="BP73" t="b">
            <v>0</v>
          </cell>
          <cell r="BQ73" t="b">
            <v>0</v>
          </cell>
        </row>
        <row r="74">
          <cell r="A74" t="str">
            <v>Common Shares Outstanding (End)</v>
          </cell>
          <cell r="D74">
            <v>55041</v>
          </cell>
          <cell r="E74">
            <v>62359</v>
          </cell>
          <cell r="F74">
            <v>62475</v>
          </cell>
          <cell r="G74">
            <v>62408</v>
          </cell>
          <cell r="H74">
            <v>62408</v>
          </cell>
          <cell r="J74">
            <v>62408</v>
          </cell>
          <cell r="K74">
            <v>63296</v>
          </cell>
          <cell r="L74">
            <v>63350</v>
          </cell>
          <cell r="M74">
            <v>63359</v>
          </cell>
          <cell r="N74">
            <v>63359</v>
          </cell>
          <cell r="P74">
            <v>63316</v>
          </cell>
          <cell r="Q74">
            <v>63316</v>
          </cell>
          <cell r="R74">
            <v>63507</v>
          </cell>
          <cell r="S74">
            <v>63647</v>
          </cell>
          <cell r="T74">
            <v>63647</v>
          </cell>
          <cell r="V74">
            <v>63658</v>
          </cell>
          <cell r="W74">
            <v>63663</v>
          </cell>
          <cell r="X74">
            <v>63776</v>
          </cell>
          <cell r="Y74">
            <v>64098</v>
          </cell>
          <cell r="Z74">
            <v>64098</v>
          </cell>
          <cell r="AB74">
            <v>64405</v>
          </cell>
          <cell r="AC74">
            <v>64651</v>
          </cell>
          <cell r="AD74">
            <v>64503</v>
          </cell>
          <cell r="AE74">
            <v>62984</v>
          </cell>
          <cell r="AF74">
            <v>62984</v>
          </cell>
          <cell r="AH74">
            <v>63067</v>
          </cell>
          <cell r="AI74">
            <v>63336</v>
          </cell>
          <cell r="AJ74">
            <v>64212</v>
          </cell>
          <cell r="AK74">
            <v>64856</v>
          </cell>
          <cell r="AL74">
            <v>64856</v>
          </cell>
          <cell r="AN74">
            <v>65505</v>
          </cell>
          <cell r="AO74">
            <v>65508</v>
          </cell>
          <cell r="AP74">
            <v>65581</v>
          </cell>
          <cell r="AQ74">
            <v>66326</v>
          </cell>
          <cell r="AR74">
            <v>66326</v>
          </cell>
          <cell r="AT74">
            <v>66695</v>
          </cell>
          <cell r="AU74">
            <v>67017</v>
          </cell>
          <cell r="AV74">
            <v>67015</v>
          </cell>
          <cell r="AW74">
            <v>67115</v>
          </cell>
          <cell r="AX74">
            <v>67115</v>
          </cell>
          <cell r="AZ74">
            <v>67215</v>
          </cell>
          <cell r="BA74">
            <v>67315</v>
          </cell>
          <cell r="BB74">
            <v>67415</v>
          </cell>
          <cell r="BC74">
            <v>67515</v>
          </cell>
          <cell r="BD74">
            <v>67515</v>
          </cell>
          <cell r="BF74">
            <v>67615</v>
          </cell>
          <cell r="BG74">
            <v>67715</v>
          </cell>
          <cell r="BH74">
            <v>67815</v>
          </cell>
          <cell r="BI74">
            <v>67915</v>
          </cell>
          <cell r="BJ74">
            <v>67915</v>
          </cell>
          <cell r="BM74" t="str">
            <v>mstag:periodEndBasicSharesOutstanding</v>
          </cell>
          <cell r="BN74">
            <v>3</v>
          </cell>
          <cell r="BO74" t="str">
            <v>ms_eqr_gcim_Decimal:ms_eqr_gcim_decimal</v>
          </cell>
          <cell r="BP74" t="b">
            <v>0</v>
          </cell>
          <cell r="BQ74" t="b">
            <v>0</v>
          </cell>
        </row>
        <row r="75">
          <cell r="A75" t="str">
            <v>Operating Partnership Units (End)</v>
          </cell>
          <cell r="D75">
            <v>3286</v>
          </cell>
          <cell r="E75">
            <v>3090</v>
          </cell>
          <cell r="F75">
            <v>3089</v>
          </cell>
          <cell r="G75">
            <v>3101</v>
          </cell>
          <cell r="H75">
            <v>3101</v>
          </cell>
          <cell r="J75">
            <v>3101</v>
          </cell>
          <cell r="K75">
            <v>2213</v>
          </cell>
          <cell r="L75">
            <v>2159</v>
          </cell>
          <cell r="M75">
            <v>2150</v>
          </cell>
          <cell r="N75">
            <v>2150</v>
          </cell>
          <cell r="P75">
            <v>2150</v>
          </cell>
          <cell r="Q75">
            <v>2150</v>
          </cell>
          <cell r="R75">
            <v>2174</v>
          </cell>
          <cell r="S75">
            <v>2174</v>
          </cell>
          <cell r="T75">
            <v>2174</v>
          </cell>
          <cell r="V75">
            <v>2163</v>
          </cell>
          <cell r="W75">
            <v>2163</v>
          </cell>
          <cell r="X75">
            <v>2145</v>
          </cell>
          <cell r="Y75">
            <v>1839</v>
          </cell>
          <cell r="Z75">
            <v>1839</v>
          </cell>
          <cell r="AB75">
            <v>1749</v>
          </cell>
          <cell r="AC75">
            <v>1730</v>
          </cell>
          <cell r="AD75">
            <v>1717</v>
          </cell>
          <cell r="AE75">
            <v>1717</v>
          </cell>
          <cell r="AF75">
            <v>1717</v>
          </cell>
          <cell r="AH75">
            <v>1717</v>
          </cell>
          <cell r="AI75">
            <v>1695</v>
          </cell>
          <cell r="AJ75">
            <v>1690</v>
          </cell>
          <cell r="AK75">
            <v>1688</v>
          </cell>
          <cell r="AL75">
            <v>1688</v>
          </cell>
          <cell r="AN75">
            <v>1672</v>
          </cell>
          <cell r="AO75">
            <v>1672</v>
          </cell>
          <cell r="AP75">
            <v>1672</v>
          </cell>
          <cell r="AQ75">
            <v>1672</v>
          </cell>
          <cell r="AR75">
            <v>1672</v>
          </cell>
          <cell r="AT75">
            <v>1722</v>
          </cell>
          <cell r="AU75">
            <v>1706</v>
          </cell>
          <cell r="AV75">
            <v>1703</v>
          </cell>
          <cell r="AW75">
            <v>1703</v>
          </cell>
          <cell r="AX75">
            <v>1703</v>
          </cell>
          <cell r="AZ75">
            <v>1703</v>
          </cell>
          <cell r="BA75">
            <v>1703</v>
          </cell>
          <cell r="BB75">
            <v>1703</v>
          </cell>
          <cell r="BC75">
            <v>1703</v>
          </cell>
          <cell r="BD75">
            <v>1703</v>
          </cell>
          <cell r="BF75">
            <v>1703</v>
          </cell>
          <cell r="BG75">
            <v>1703</v>
          </cell>
          <cell r="BH75">
            <v>1703</v>
          </cell>
          <cell r="BI75">
            <v>1703</v>
          </cell>
          <cell r="BJ75">
            <v>1703</v>
          </cell>
          <cell r="BM75" t="str">
            <v>mstag:opUnitsOutstanding</v>
          </cell>
          <cell r="BN75">
            <v>3</v>
          </cell>
          <cell r="BO75" t="str">
            <v>ms_eqr_gcim_Decimal:ms_eqr_gcim_decimal</v>
          </cell>
          <cell r="BP75" t="b">
            <v>0</v>
          </cell>
          <cell r="BQ75" t="b">
            <v>0</v>
          </cell>
        </row>
        <row r="76">
          <cell r="A76" t="str">
            <v>Common and OP Units (End)</v>
          </cell>
          <cell r="D76">
            <v>58327</v>
          </cell>
          <cell r="E76">
            <v>65449</v>
          </cell>
          <cell r="F76">
            <v>65564</v>
          </cell>
          <cell r="G76">
            <v>65509</v>
          </cell>
          <cell r="H76">
            <v>65509</v>
          </cell>
          <cell r="J76">
            <v>65509</v>
          </cell>
          <cell r="K76">
            <v>65509</v>
          </cell>
          <cell r="L76">
            <v>65509</v>
          </cell>
          <cell r="M76">
            <v>65509</v>
          </cell>
          <cell r="N76">
            <v>65509</v>
          </cell>
          <cell r="P76">
            <v>65466</v>
          </cell>
          <cell r="Q76">
            <v>65466</v>
          </cell>
          <cell r="R76">
            <v>65681</v>
          </cell>
          <cell r="S76">
            <v>65821</v>
          </cell>
          <cell r="T76">
            <v>65821</v>
          </cell>
          <cell r="V76">
            <v>65821</v>
          </cell>
          <cell r="W76">
            <v>65826</v>
          </cell>
          <cell r="X76">
            <v>65921</v>
          </cell>
          <cell r="Y76">
            <v>65937</v>
          </cell>
          <cell r="Z76">
            <v>65937</v>
          </cell>
          <cell r="AB76">
            <v>66154</v>
          </cell>
          <cell r="AC76">
            <v>66381</v>
          </cell>
          <cell r="AD76">
            <v>66220</v>
          </cell>
          <cell r="AE76">
            <v>64701</v>
          </cell>
          <cell r="AF76">
            <v>64701</v>
          </cell>
          <cell r="AH76">
            <v>64784</v>
          </cell>
          <cell r="AI76">
            <v>65031</v>
          </cell>
          <cell r="AJ76">
            <v>65902</v>
          </cell>
          <cell r="AK76">
            <v>66544</v>
          </cell>
          <cell r="AL76">
            <v>66544</v>
          </cell>
          <cell r="AN76">
            <v>67177</v>
          </cell>
          <cell r="AO76">
            <v>67180</v>
          </cell>
          <cell r="AP76">
            <v>67253</v>
          </cell>
          <cell r="AQ76">
            <v>67998</v>
          </cell>
          <cell r="AR76">
            <v>67998</v>
          </cell>
          <cell r="AT76">
            <v>68417</v>
          </cell>
          <cell r="AU76">
            <v>68723</v>
          </cell>
          <cell r="AV76">
            <v>68718</v>
          </cell>
          <cell r="AW76">
            <v>68818</v>
          </cell>
          <cell r="AX76">
            <v>68818</v>
          </cell>
          <cell r="AZ76">
            <v>68918</v>
          </cell>
          <cell r="BA76">
            <v>69018</v>
          </cell>
          <cell r="BB76">
            <v>69118</v>
          </cell>
          <cell r="BC76">
            <v>69218</v>
          </cell>
          <cell r="BD76">
            <v>69218</v>
          </cell>
          <cell r="BF76">
            <v>69318</v>
          </cell>
          <cell r="BG76">
            <v>69418</v>
          </cell>
          <cell r="BH76">
            <v>69518</v>
          </cell>
          <cell r="BI76">
            <v>69618</v>
          </cell>
          <cell r="BJ76">
            <v>69618</v>
          </cell>
        </row>
        <row r="78">
          <cell r="A78" t="str">
            <v>Common Dividends</v>
          </cell>
          <cell r="AB78">
            <v>32524</v>
          </cell>
          <cell r="AC78">
            <v>32649</v>
          </cell>
          <cell r="AD78">
            <v>32589</v>
          </cell>
          <cell r="AE78">
            <v>31807</v>
          </cell>
          <cell r="AF78">
            <v>129555</v>
          </cell>
          <cell r="AH78">
            <v>31849</v>
          </cell>
          <cell r="AI78">
            <v>31985</v>
          </cell>
          <cell r="AJ78">
            <v>32427</v>
          </cell>
          <cell r="AK78">
            <v>32535</v>
          </cell>
          <cell r="AL78">
            <v>128796</v>
          </cell>
          <cell r="AN78">
            <v>33080</v>
          </cell>
          <cell r="AO78">
            <v>33083</v>
          </cell>
          <cell r="AP78">
            <v>33118</v>
          </cell>
          <cell r="AQ78">
            <v>33494</v>
          </cell>
          <cell r="AR78">
            <v>132775</v>
          </cell>
          <cell r="AT78">
            <v>33681</v>
          </cell>
          <cell r="AU78">
            <v>33844</v>
          </cell>
          <cell r="AV78">
            <v>33845</v>
          </cell>
          <cell r="AW78">
            <v>33845</v>
          </cell>
          <cell r="AX78">
            <v>135215</v>
          </cell>
          <cell r="AZ78">
            <v>33845</v>
          </cell>
          <cell r="BA78">
            <v>33845</v>
          </cell>
          <cell r="BB78">
            <v>33845</v>
          </cell>
          <cell r="BC78">
            <v>33845</v>
          </cell>
          <cell r="BD78">
            <v>135380</v>
          </cell>
          <cell r="BF78">
            <v>33845</v>
          </cell>
          <cell r="BG78">
            <v>33845</v>
          </cell>
          <cell r="BH78">
            <v>33845</v>
          </cell>
          <cell r="BI78">
            <v>33845</v>
          </cell>
          <cell r="BJ78">
            <v>135380</v>
          </cell>
          <cell r="BM78" t="str">
            <v>mstag:commonDividends</v>
          </cell>
          <cell r="BN78">
            <v>3</v>
          </cell>
          <cell r="BO78" t="str">
            <v>ISO4217:USD</v>
          </cell>
          <cell r="BP78" t="b">
            <v>0</v>
          </cell>
          <cell r="BQ78" t="b">
            <v>0</v>
          </cell>
        </row>
        <row r="80">
          <cell r="A80" t="str">
            <v>Share Price</v>
          </cell>
          <cell r="AB80">
            <v>28.400000000000002</v>
          </cell>
          <cell r="AC80">
            <v>28.45</v>
          </cell>
          <cell r="AD80">
            <v>23.650000000000002</v>
          </cell>
          <cell r="AE80">
            <v>22.150000000000002</v>
          </cell>
          <cell r="AH80">
            <v>22.68</v>
          </cell>
          <cell r="AI80">
            <v>25.95</v>
          </cell>
          <cell r="AJ80">
            <v>27.92</v>
          </cell>
          <cell r="AK80">
            <v>30.34</v>
          </cell>
          <cell r="AN80">
            <v>32.33</v>
          </cell>
          <cell r="AO80">
            <v>29.41</v>
          </cell>
          <cell r="AP80">
            <v>32.58</v>
          </cell>
          <cell r="AQ80">
            <v>37.72</v>
          </cell>
          <cell r="AT80">
            <v>33.85</v>
          </cell>
          <cell r="AU80">
            <v>35.980000000000004</v>
          </cell>
          <cell r="AV80">
            <v>41.17</v>
          </cell>
          <cell r="AW80">
            <v>41.17</v>
          </cell>
          <cell r="AZ80">
            <v>41.17</v>
          </cell>
          <cell r="BA80">
            <v>41.17</v>
          </cell>
          <cell r="BB80">
            <v>41.17</v>
          </cell>
          <cell r="BC80">
            <v>41.17</v>
          </cell>
          <cell r="BF80">
            <v>41.17</v>
          </cell>
          <cell r="BG80">
            <v>41.17</v>
          </cell>
          <cell r="BH80">
            <v>41.17</v>
          </cell>
          <cell r="BI80">
            <v>41.17</v>
          </cell>
        </row>
        <row r="81">
          <cell r="A81" t="str">
            <v>Market Value of Common Units</v>
          </cell>
          <cell r="AB81">
            <v>49671.600000000006</v>
          </cell>
          <cell r="AC81">
            <v>49218.5</v>
          </cell>
          <cell r="AD81">
            <v>40607.050000000003</v>
          </cell>
          <cell r="AE81">
            <v>38031.550000000003</v>
          </cell>
          <cell r="AH81">
            <v>38941.56</v>
          </cell>
          <cell r="AI81">
            <v>43985.25</v>
          </cell>
          <cell r="AJ81">
            <v>47184.800000000003</v>
          </cell>
          <cell r="AK81">
            <v>51213.919999999998</v>
          </cell>
          <cell r="AN81">
            <v>54055.759999999995</v>
          </cell>
          <cell r="AO81">
            <v>49173.52</v>
          </cell>
          <cell r="AP81">
            <v>54473.759999999995</v>
          </cell>
          <cell r="AQ81">
            <v>63067.839999999997</v>
          </cell>
          <cell r="AT81">
            <v>58289.700000000004</v>
          </cell>
          <cell r="AU81">
            <v>61381.880000000005</v>
          </cell>
          <cell r="AV81">
            <v>70112.510000000009</v>
          </cell>
          <cell r="AW81">
            <v>70112.510000000009</v>
          </cell>
          <cell r="AZ81">
            <v>70112.510000000009</v>
          </cell>
          <cell r="BA81">
            <v>70112.510000000009</v>
          </cell>
          <cell r="BB81">
            <v>70112.510000000009</v>
          </cell>
          <cell r="BC81">
            <v>70112.510000000009</v>
          </cell>
          <cell r="BF81">
            <v>70112.510000000009</v>
          </cell>
          <cell r="BG81">
            <v>70112.510000000009</v>
          </cell>
          <cell r="BH81">
            <v>70112.510000000009</v>
          </cell>
          <cell r="BI81">
            <v>70112.510000000009</v>
          </cell>
          <cell r="BM81" t="str">
            <v>mstag:marketValueOfMinorityInterestsInShareholdersEquity</v>
          </cell>
          <cell r="BN81">
            <v>3</v>
          </cell>
          <cell r="BO81" t="str">
            <v>ISO4217:USD</v>
          </cell>
          <cell r="BP81" t="b">
            <v>0</v>
          </cell>
          <cell r="BQ81" t="b">
            <v>0</v>
          </cell>
        </row>
        <row r="82">
          <cell r="A82" t="str">
            <v>Preferred Units</v>
          </cell>
          <cell r="AB82">
            <v>50000</v>
          </cell>
          <cell r="AC82">
            <v>50000</v>
          </cell>
          <cell r="AD82">
            <v>50000</v>
          </cell>
          <cell r="AE82">
            <v>50000</v>
          </cell>
          <cell r="AH82">
            <v>50000</v>
          </cell>
          <cell r="AI82">
            <v>50000</v>
          </cell>
          <cell r="AJ82">
            <v>50000</v>
          </cell>
          <cell r="AK82">
            <v>50000</v>
          </cell>
          <cell r="AN82">
            <v>50000</v>
          </cell>
          <cell r="AO82">
            <v>50000</v>
          </cell>
          <cell r="AP82">
            <v>0</v>
          </cell>
          <cell r="AQ82">
            <v>0</v>
          </cell>
          <cell r="AT82">
            <v>0</v>
          </cell>
          <cell r="AU82">
            <v>0</v>
          </cell>
          <cell r="AV82">
            <v>0</v>
          </cell>
          <cell r="AW82">
            <v>0</v>
          </cell>
          <cell r="AZ82">
            <v>0</v>
          </cell>
          <cell r="BA82">
            <v>0</v>
          </cell>
          <cell r="BB82">
            <v>0</v>
          </cell>
          <cell r="BC82">
            <v>0</v>
          </cell>
          <cell r="BF82">
            <v>0</v>
          </cell>
          <cell r="BG82">
            <v>0</v>
          </cell>
          <cell r="BH82">
            <v>0</v>
          </cell>
          <cell r="BI82">
            <v>0</v>
          </cell>
          <cell r="BL82" t="str">
            <v>`</v>
          </cell>
          <cell r="BM82" t="str">
            <v>mstag:marketValueOfMinorityInterestsInShareholdersEquity</v>
          </cell>
          <cell r="BN82">
            <v>3</v>
          </cell>
          <cell r="BO82" t="str">
            <v>ISO4217:USD</v>
          </cell>
          <cell r="BP82" t="b">
            <v>0</v>
          </cell>
          <cell r="BQ82" t="b">
            <v>0</v>
          </cell>
        </row>
        <row r="84">
          <cell r="A84" t="str">
            <v>Common Shares and Units (End)</v>
          </cell>
          <cell r="AB84">
            <v>66154</v>
          </cell>
          <cell r="AC84">
            <v>66381</v>
          </cell>
          <cell r="AD84">
            <v>66220</v>
          </cell>
          <cell r="AE84">
            <v>64701</v>
          </cell>
          <cell r="AF84">
            <v>64701</v>
          </cell>
          <cell r="AH84">
            <v>64784</v>
          </cell>
          <cell r="AI84">
            <v>65031</v>
          </cell>
          <cell r="AJ84">
            <v>65902</v>
          </cell>
          <cell r="AK84">
            <v>66544</v>
          </cell>
          <cell r="AL84">
            <v>66544</v>
          </cell>
          <cell r="AN84">
            <v>67177</v>
          </cell>
          <cell r="AO84">
            <v>67180</v>
          </cell>
          <cell r="AP84">
            <v>67253</v>
          </cell>
          <cell r="AQ84">
            <v>67998</v>
          </cell>
          <cell r="AR84">
            <v>67998</v>
          </cell>
          <cell r="AT84">
            <v>66695</v>
          </cell>
          <cell r="AU84">
            <v>68723</v>
          </cell>
          <cell r="AV84">
            <v>68718</v>
          </cell>
          <cell r="AW84">
            <v>68818</v>
          </cell>
          <cell r="AX84">
            <v>68818</v>
          </cell>
          <cell r="AZ84">
            <v>68918</v>
          </cell>
          <cell r="BA84">
            <v>69018</v>
          </cell>
          <cell r="BB84">
            <v>69118</v>
          </cell>
          <cell r="BC84">
            <v>69218</v>
          </cell>
          <cell r="BD84">
            <v>69218</v>
          </cell>
          <cell r="BF84">
            <v>69318</v>
          </cell>
          <cell r="BG84">
            <v>69418</v>
          </cell>
          <cell r="BH84">
            <v>69518</v>
          </cell>
          <cell r="BI84">
            <v>69618</v>
          </cell>
          <cell r="BJ84">
            <v>69618</v>
          </cell>
        </row>
        <row r="85">
          <cell r="A85" t="str">
            <v>Statutory Tax Rate</v>
          </cell>
          <cell r="D85">
            <v>0</v>
          </cell>
          <cell r="E85">
            <v>0</v>
          </cell>
          <cell r="F85">
            <v>0</v>
          </cell>
          <cell r="G85">
            <v>0</v>
          </cell>
          <cell r="H85">
            <v>0</v>
          </cell>
          <cell r="J85">
            <v>0</v>
          </cell>
          <cell r="K85">
            <v>0</v>
          </cell>
          <cell r="L85">
            <v>0</v>
          </cell>
          <cell r="M85">
            <v>0</v>
          </cell>
          <cell r="N85">
            <v>0</v>
          </cell>
          <cell r="P85">
            <v>0</v>
          </cell>
          <cell r="Q85">
            <v>0</v>
          </cell>
          <cell r="R85">
            <v>0</v>
          </cell>
          <cell r="S85">
            <v>0</v>
          </cell>
          <cell r="T85">
            <v>0</v>
          </cell>
          <cell r="V85">
            <v>0</v>
          </cell>
          <cell r="W85">
            <v>0</v>
          </cell>
          <cell r="X85">
            <v>0</v>
          </cell>
          <cell r="Y85">
            <v>0</v>
          </cell>
          <cell r="Z85">
            <v>0</v>
          </cell>
          <cell r="AB85">
            <v>0</v>
          </cell>
          <cell r="AC85">
            <v>0</v>
          </cell>
          <cell r="AD85">
            <v>0</v>
          </cell>
          <cell r="AE85">
            <v>0</v>
          </cell>
          <cell r="AF85">
            <v>0</v>
          </cell>
          <cell r="AH85">
            <v>0</v>
          </cell>
          <cell r="AI85">
            <v>0</v>
          </cell>
          <cell r="AJ85">
            <v>0</v>
          </cell>
          <cell r="AK85">
            <v>0</v>
          </cell>
          <cell r="AL85">
            <v>0</v>
          </cell>
          <cell r="AN85">
            <v>0</v>
          </cell>
          <cell r="AO85">
            <v>0</v>
          </cell>
          <cell r="AP85">
            <v>0</v>
          </cell>
          <cell r="AQ85">
            <v>0</v>
          </cell>
          <cell r="AR85">
            <v>0</v>
          </cell>
          <cell r="AT85">
            <v>0</v>
          </cell>
          <cell r="AU85">
            <v>0</v>
          </cell>
          <cell r="AV85">
            <v>0</v>
          </cell>
          <cell r="AW85">
            <v>0</v>
          </cell>
          <cell r="AX85">
            <v>0</v>
          </cell>
          <cell r="AZ85">
            <v>0</v>
          </cell>
          <cell r="BA85">
            <v>0</v>
          </cell>
          <cell r="BB85">
            <v>0</v>
          </cell>
          <cell r="BC85">
            <v>0</v>
          </cell>
          <cell r="BD85">
            <v>0</v>
          </cell>
          <cell r="BF85">
            <v>0</v>
          </cell>
          <cell r="BG85">
            <v>0</v>
          </cell>
          <cell r="BH85">
            <v>0</v>
          </cell>
          <cell r="BI85">
            <v>0</v>
          </cell>
          <cell r="BJ85">
            <v>0</v>
          </cell>
          <cell r="BM85" t="str">
            <v>mstag:statutoryTaxRate</v>
          </cell>
          <cell r="BN85">
            <v>0</v>
          </cell>
          <cell r="BO85" t="str">
            <v>ms_eqr_gcim_Decimal:ms_eqr_gcim_decimal</v>
          </cell>
          <cell r="BP85" t="b">
            <v>0</v>
          </cell>
          <cell r="BQ85" t="b">
            <v>0</v>
          </cell>
        </row>
        <row r="86">
          <cell r="A86" t="str">
            <v>Tax Expense</v>
          </cell>
          <cell r="AB86">
            <v>0</v>
          </cell>
          <cell r="AC86">
            <v>0</v>
          </cell>
          <cell r="AD86">
            <v>0</v>
          </cell>
          <cell r="AE86">
            <v>0</v>
          </cell>
          <cell r="AF86">
            <v>0</v>
          </cell>
          <cell r="AH86">
            <v>0</v>
          </cell>
          <cell r="AI86">
            <v>0</v>
          </cell>
          <cell r="AJ86">
            <v>0</v>
          </cell>
          <cell r="AK86">
            <v>0</v>
          </cell>
          <cell r="AL86">
            <v>0</v>
          </cell>
          <cell r="AN86">
            <v>0</v>
          </cell>
          <cell r="AO86">
            <v>0</v>
          </cell>
          <cell r="AP86">
            <v>0</v>
          </cell>
          <cell r="AQ86">
            <v>0</v>
          </cell>
          <cell r="AR86">
            <v>0</v>
          </cell>
          <cell r="AT86">
            <v>0</v>
          </cell>
          <cell r="AU86">
            <v>0</v>
          </cell>
          <cell r="AV86">
            <v>0</v>
          </cell>
          <cell r="AW86">
            <v>0</v>
          </cell>
          <cell r="AX86">
            <v>0</v>
          </cell>
          <cell r="AZ86">
            <v>0</v>
          </cell>
          <cell r="BA86">
            <v>0</v>
          </cell>
          <cell r="BB86">
            <v>0</v>
          </cell>
          <cell r="BC86">
            <v>0</v>
          </cell>
          <cell r="BD86">
            <v>0</v>
          </cell>
          <cell r="BF86">
            <v>0</v>
          </cell>
          <cell r="BG86">
            <v>0</v>
          </cell>
          <cell r="BH86">
            <v>0</v>
          </cell>
          <cell r="BI86">
            <v>0</v>
          </cell>
          <cell r="BJ86">
            <v>0</v>
          </cell>
          <cell r="BM86" t="str">
            <v>mstag:taxExpenseIncome</v>
          </cell>
          <cell r="BN86">
            <v>3</v>
          </cell>
          <cell r="BO86" t="str">
            <v>ISO4217:USD</v>
          </cell>
          <cell r="BP86" t="b">
            <v>0</v>
          </cell>
          <cell r="BQ86" t="b">
            <v>0</v>
          </cell>
        </row>
        <row r="87">
          <cell r="A87" t="str">
            <v>A = Actual; E = Morgan Stanley Estimate</v>
          </cell>
        </row>
        <row r="90">
          <cell r="AB90" t="str">
            <v>2002-Q1</v>
          </cell>
          <cell r="AC90" t="str">
            <v>2002-Q2</v>
          </cell>
          <cell r="AD90" t="str">
            <v>2002-Q3</v>
          </cell>
          <cell r="AE90" t="str">
            <v>2002-Q4</v>
          </cell>
          <cell r="AF90" t="str">
            <v>2002-FY</v>
          </cell>
          <cell r="AH90" t="str">
            <v>2003-Q1</v>
          </cell>
          <cell r="AI90" t="str">
            <v>2003-Q2</v>
          </cell>
          <cell r="AJ90" t="str">
            <v>2003-Q3</v>
          </cell>
          <cell r="AK90" t="str">
            <v>2003-Q4</v>
          </cell>
          <cell r="AL90" t="str">
            <v>2003-FY</v>
          </cell>
          <cell r="AN90" t="str">
            <v>2004-Q1</v>
          </cell>
          <cell r="AO90" t="str">
            <v>2004-Q2</v>
          </cell>
          <cell r="AP90" t="str">
            <v>2004-Q3</v>
          </cell>
          <cell r="AQ90" t="str">
            <v>2004-Q4</v>
          </cell>
          <cell r="AR90" t="str">
            <v>2004-FY</v>
          </cell>
          <cell r="AT90" t="str">
            <v>2005-Q1</v>
          </cell>
          <cell r="AU90" t="str">
            <v>2005-Q2</v>
          </cell>
          <cell r="AV90" t="str">
            <v>2005-Q3</v>
          </cell>
          <cell r="AW90" t="str">
            <v>2005-Q4</v>
          </cell>
          <cell r="AX90" t="str">
            <v>2005-FY</v>
          </cell>
          <cell r="AZ90" t="str">
            <v>2006-Q1</v>
          </cell>
          <cell r="BA90" t="str">
            <v>2006-Q2</v>
          </cell>
          <cell r="BB90" t="str">
            <v>2006-Q3</v>
          </cell>
          <cell r="BC90" t="str">
            <v>2006-Q4</v>
          </cell>
          <cell r="BD90" t="str">
            <v>2006-FY</v>
          </cell>
          <cell r="BF90" t="str">
            <v>2007-Q1</v>
          </cell>
          <cell r="BG90" t="str">
            <v>2007-Q2</v>
          </cell>
          <cell r="BH90" t="str">
            <v>2007-Q3</v>
          </cell>
          <cell r="BI90" t="str">
            <v>2007-Q4</v>
          </cell>
          <cell r="BJ90" t="str">
            <v>2007-FY</v>
          </cell>
        </row>
        <row r="92">
          <cell r="A92" t="str">
            <v>Expected NOI excluding future A&amp;D</v>
          </cell>
          <cell r="AN92">
            <v>70382</v>
          </cell>
          <cell r="AO92">
            <v>71235</v>
          </cell>
          <cell r="AP92">
            <v>69447</v>
          </cell>
          <cell r="AQ92">
            <v>71584</v>
          </cell>
          <cell r="AR92">
            <v>282648</v>
          </cell>
          <cell r="AT92">
            <v>68571</v>
          </cell>
          <cell r="AU92">
            <v>72783</v>
          </cell>
          <cell r="AV92">
            <v>74828</v>
          </cell>
          <cell r="AW92">
            <v>76045.938081452477</v>
          </cell>
          <cell r="AX92">
            <v>292227.93808145245</v>
          </cell>
          <cell r="AZ92">
            <v>76377.121700565389</v>
          </cell>
          <cell r="BA92">
            <v>76656.170173321982</v>
          </cell>
          <cell r="BB92">
            <v>74763.305225254298</v>
          </cell>
          <cell r="BC92">
            <v>76642.573644441072</v>
          </cell>
          <cell r="BD92">
            <v>304439.17074358277</v>
          </cell>
          <cell r="BF92">
            <v>79458.384371250781</v>
          </cell>
          <cell r="BG92">
            <v>79451.789906099293</v>
          </cell>
          <cell r="BH92">
            <v>77109.349825357916</v>
          </cell>
          <cell r="BI92">
            <v>78801.53719182231</v>
          </cell>
          <cell r="BJ92">
            <v>314821.06129453029</v>
          </cell>
        </row>
        <row r="93">
          <cell r="AB93">
            <v>4</v>
          </cell>
          <cell r="AC93">
            <v>3</v>
          </cell>
          <cell r="AD93">
            <v>2</v>
          </cell>
          <cell r="AE93">
            <v>1</v>
          </cell>
        </row>
        <row r="94">
          <cell r="AB94">
            <v>63658</v>
          </cell>
          <cell r="AC94">
            <v>63663</v>
          </cell>
          <cell r="AD94">
            <v>63776</v>
          </cell>
          <cell r="AE94">
            <v>64098</v>
          </cell>
        </row>
        <row r="95">
          <cell r="AB95">
            <v>2163</v>
          </cell>
          <cell r="AC95">
            <v>2163</v>
          </cell>
          <cell r="AD95">
            <v>2145</v>
          </cell>
          <cell r="AE95">
            <v>1839</v>
          </cell>
        </row>
        <row r="96">
          <cell r="AB96">
            <v>63647</v>
          </cell>
          <cell r="AC96">
            <v>63507</v>
          </cell>
          <cell r="AD96">
            <v>63316</v>
          </cell>
          <cell r="AE96">
            <v>63316</v>
          </cell>
        </row>
        <row r="97">
          <cell r="AB97">
            <v>2174</v>
          </cell>
          <cell r="AC97">
            <v>2174</v>
          </cell>
          <cell r="AD97">
            <v>2150</v>
          </cell>
          <cell r="AE97">
            <v>2150</v>
          </cell>
        </row>
        <row r="98">
          <cell r="AB98">
            <v>62408</v>
          </cell>
          <cell r="AC98">
            <v>63296</v>
          </cell>
          <cell r="AD98">
            <v>63350</v>
          </cell>
          <cell r="AE98">
            <v>63359</v>
          </cell>
        </row>
        <row r="99">
          <cell r="AB99">
            <v>3101</v>
          </cell>
          <cell r="AC99">
            <v>2213</v>
          </cell>
          <cell r="AD99">
            <v>2159</v>
          </cell>
          <cell r="AE99">
            <v>2150</v>
          </cell>
        </row>
      </sheetData>
      <sheetData sheetId="11" refreshError="1"/>
      <sheetData sheetId="12" refreshError="1"/>
      <sheetData sheetId="13" refreshError="1"/>
      <sheetData sheetId="14" refreshError="1"/>
      <sheetData sheetId="15" refreshError="1"/>
      <sheetData sheetId="16" refreshError="1">
        <row r="1">
          <cell r="A1" t="str">
            <v>Arden Realty</v>
          </cell>
          <cell r="I1" t="str">
            <v>Gregory Whyte</v>
          </cell>
        </row>
        <row r="2">
          <cell r="A2" t="str">
            <v>Quarterly Earnings Variance Analysis</v>
          </cell>
          <cell r="I2" t="str">
            <v>Morgan Stanley REIT Research Team</v>
          </cell>
        </row>
        <row r="3">
          <cell r="A3" t="str">
            <v>($ in Thousands, Except per Share Amounts)</v>
          </cell>
          <cell r="I3" t="str">
            <v>(212) 761-6331  Gregory.Whyte@morganstanley.com</v>
          </cell>
        </row>
        <row r="6">
          <cell r="B6" t="str">
            <v>MS</v>
          </cell>
          <cell r="C6" t="str">
            <v>Reported</v>
          </cell>
          <cell r="E6" t="str">
            <v>Per Share</v>
          </cell>
        </row>
        <row r="7">
          <cell r="A7" t="str">
            <v>Year Ends December 31</v>
          </cell>
          <cell r="B7" t="str">
            <v>3Q05E</v>
          </cell>
          <cell r="C7" t="str">
            <v>3Q05A</v>
          </cell>
          <cell r="D7" t="str">
            <v>Variance</v>
          </cell>
          <cell r="E7" t="str">
            <v>Impact</v>
          </cell>
          <cell r="G7" t="str">
            <v>Comments</v>
          </cell>
          <cell r="H7" t="str">
            <v>3Q04A</v>
          </cell>
          <cell r="I7" t="str">
            <v>2Q05A</v>
          </cell>
        </row>
        <row r="9">
          <cell r="A9" t="str">
            <v xml:space="preserve">  Rental Income</v>
          </cell>
          <cell r="B9">
            <v>97730.468193299981</v>
          </cell>
          <cell r="C9">
            <v>98174</v>
          </cell>
          <cell r="D9">
            <v>443.53180670001893</v>
          </cell>
          <cell r="E9">
            <v>6.4348050357627478E-3</v>
          </cell>
          <cell r="H9">
            <v>89348</v>
          </cell>
          <cell r="I9">
            <v>97052</v>
          </cell>
        </row>
        <row r="11">
          <cell r="A11" t="str">
            <v xml:space="preserve">  Tenant Reimbursements</v>
          </cell>
          <cell r="B11">
            <v>5914.1502399404353</v>
          </cell>
          <cell r="C11">
            <v>5522</v>
          </cell>
          <cell r="D11">
            <v>-392.15023994043531</v>
          </cell>
          <cell r="E11">
            <v>-5.689355984453629E-3</v>
          </cell>
          <cell r="H11">
            <v>5582</v>
          </cell>
          <cell r="I11">
            <v>4371</v>
          </cell>
        </row>
        <row r="12">
          <cell r="A12" t="str">
            <v xml:space="preserve">  Parking, Net of Expenses</v>
          </cell>
          <cell r="B12">
            <v>6547.9413689510993</v>
          </cell>
          <cell r="C12">
            <v>7409</v>
          </cell>
          <cell r="D12">
            <v>861.05863104890068</v>
          </cell>
          <cell r="E12">
            <v>1.2492327114902732E-2</v>
          </cell>
          <cell r="H12">
            <v>6273</v>
          </cell>
          <cell r="I12">
            <v>6740</v>
          </cell>
        </row>
        <row r="13">
          <cell r="A13" t="str">
            <v xml:space="preserve">  Other Rental Operations</v>
          </cell>
          <cell r="B13">
            <v>1710.2831933827499</v>
          </cell>
          <cell r="C13">
            <v>3494</v>
          </cell>
          <cell r="D13">
            <v>1783.7168066172501</v>
          </cell>
          <cell r="E13">
            <v>2.5878346752611459E-2</v>
          </cell>
          <cell r="H13">
            <v>3313</v>
          </cell>
          <cell r="I13">
            <v>1565</v>
          </cell>
        </row>
        <row r="14">
          <cell r="A14" t="str">
            <v xml:space="preserve">  Property Expenses</v>
          </cell>
          <cell r="B14">
            <v>39427.668266269568</v>
          </cell>
          <cell r="C14">
            <v>39771</v>
          </cell>
          <cell r="D14">
            <v>343.33173373043246</v>
          </cell>
          <cell r="E14">
            <v>-4.9810920790174023E-3</v>
          </cell>
          <cell r="H14">
            <v>35069</v>
          </cell>
          <cell r="I14">
            <v>36945</v>
          </cell>
        </row>
        <row r="15">
          <cell r="A15" t="str">
            <v xml:space="preserve">  Acquisition &amp; Development NOI</v>
          </cell>
          <cell r="B15">
            <v>-1198.05105</v>
          </cell>
          <cell r="C15">
            <v>0</v>
          </cell>
          <cell r="D15">
            <v>1198.05105</v>
          </cell>
          <cell r="E15">
            <v>1.7381447763575957E-2</v>
          </cell>
          <cell r="H15">
            <v>0</v>
          </cell>
          <cell r="I15">
            <v>0</v>
          </cell>
        </row>
        <row r="16">
          <cell r="A16" t="str">
            <v xml:space="preserve">         Net Operating Income</v>
          </cell>
          <cell r="B16">
            <v>71277.123679304714</v>
          </cell>
          <cell r="C16">
            <v>74828</v>
          </cell>
          <cell r="D16">
            <v>3550.8763206952863</v>
          </cell>
          <cell r="E16">
            <v>5.1516478603381641E-2</v>
          </cell>
          <cell r="H16">
            <v>69447</v>
          </cell>
          <cell r="I16">
            <v>72783</v>
          </cell>
        </row>
        <row r="18">
          <cell r="A18" t="str">
            <v xml:space="preserve">  General and Administrative</v>
          </cell>
          <cell r="B18">
            <v>7273.6847947123279</v>
          </cell>
          <cell r="C18">
            <v>7101</v>
          </cell>
          <cell r="D18">
            <v>-172.68479471232786</v>
          </cell>
          <cell r="E18">
            <v>2.5053287494353135E-3</v>
          </cell>
          <cell r="H18">
            <v>4823</v>
          </cell>
          <cell r="I18">
            <v>7560</v>
          </cell>
        </row>
        <row r="20">
          <cell r="A20" t="str">
            <v>EBITDA</v>
          </cell>
          <cell r="B20">
            <v>64003.438884592382</v>
          </cell>
          <cell r="C20">
            <v>67727</v>
          </cell>
          <cell r="D20">
            <v>3723.5611154076178</v>
          </cell>
          <cell r="E20">
            <v>5.4021807352817003E-2</v>
          </cell>
          <cell r="H20">
            <v>64624</v>
          </cell>
          <cell r="I20">
            <v>65223</v>
          </cell>
        </row>
        <row r="22">
          <cell r="A22" t="str">
            <v xml:space="preserve">  Interest Expense</v>
          </cell>
          <cell r="B22">
            <v>24407.103103504869</v>
          </cell>
          <cell r="C22">
            <v>25030</v>
          </cell>
          <cell r="D22">
            <v>622.89689649513093</v>
          </cell>
          <cell r="E22">
            <v>-9.0370521928290933E-3</v>
          </cell>
          <cell r="H22">
            <v>21517</v>
          </cell>
          <cell r="I22">
            <v>24913</v>
          </cell>
        </row>
        <row r="23">
          <cell r="A23" t="str">
            <v xml:space="preserve">  Depreciation and Amort.</v>
          </cell>
          <cell r="B23">
            <v>35190.401517302067</v>
          </cell>
          <cell r="C23">
            <v>34331</v>
          </cell>
          <cell r="D23">
            <v>-859.40151730206708</v>
          </cell>
          <cell r="E23">
            <v>1.2468285538353142E-2</v>
          </cell>
          <cell r="H23">
            <v>30907</v>
          </cell>
          <cell r="I23">
            <v>35880</v>
          </cell>
        </row>
        <row r="24">
          <cell r="A24" t="str">
            <v xml:space="preserve">  Interest &amp; Other Income </v>
          </cell>
          <cell r="B24">
            <v>-874.52387845539624</v>
          </cell>
          <cell r="C24">
            <v>-567</v>
          </cell>
          <cell r="D24">
            <v>307.52387845539624</v>
          </cell>
          <cell r="E24">
            <v>4.4615880345205252E-3</v>
          </cell>
          <cell r="H24">
            <v>-178</v>
          </cell>
          <cell r="I24">
            <v>-893</v>
          </cell>
        </row>
        <row r="25">
          <cell r="A25" t="str">
            <v xml:space="preserve">  Gain on Property Dispositions</v>
          </cell>
          <cell r="B25">
            <v>15000</v>
          </cell>
          <cell r="C25">
            <v>33923</v>
          </cell>
          <cell r="D25">
            <v>18923</v>
          </cell>
          <cell r="E25">
            <v>0.27453682881889535</v>
          </cell>
          <cell r="H25">
            <v>937</v>
          </cell>
          <cell r="I25">
            <v>4319</v>
          </cell>
        </row>
        <row r="26">
          <cell r="A26" t="str">
            <v>Income Bef. Min. Interest</v>
          </cell>
          <cell r="B26">
            <v>18531.410385330055</v>
          </cell>
          <cell r="C26">
            <v>41722</v>
          </cell>
          <cell r="D26">
            <v>23190.589614669945</v>
          </cell>
          <cell r="E26">
            <v>0.33645145755175687</v>
          </cell>
          <cell r="H26">
            <v>12959</v>
          </cell>
          <cell r="I26">
            <v>7856</v>
          </cell>
        </row>
        <row r="27">
          <cell r="A27" t="str">
            <v xml:space="preserve">  Minority Interest In Earnings</v>
          </cell>
          <cell r="B27">
            <v>-87.158594829261219</v>
          </cell>
          <cell r="C27">
            <v>-201</v>
          </cell>
          <cell r="D27">
            <v>-113.84140517073878</v>
          </cell>
          <cell r="E27">
            <v>-1.6516228063130382E-3</v>
          </cell>
          <cell r="H27">
            <v>-2415</v>
          </cell>
          <cell r="I27">
            <v>-89</v>
          </cell>
        </row>
        <row r="28">
          <cell r="A28" t="str">
            <v xml:space="preserve">  Preferred Unit Dividend</v>
          </cell>
          <cell r="B28">
            <v>0</v>
          </cell>
          <cell r="C28">
            <v>0</v>
          </cell>
          <cell r="D28">
            <v>0</v>
          </cell>
          <cell r="E28">
            <v>0</v>
          </cell>
          <cell r="H28">
            <v>0</v>
          </cell>
          <cell r="I28">
            <v>0</v>
          </cell>
        </row>
        <row r="29">
          <cell r="A29" t="str">
            <v xml:space="preserve">Net Income </v>
          </cell>
          <cell r="B29">
            <v>18444.251790500795</v>
          </cell>
          <cell r="C29">
            <v>41521</v>
          </cell>
          <cell r="D29">
            <v>23076.748209499205</v>
          </cell>
          <cell r="E29">
            <v>0.33479983474544378</v>
          </cell>
          <cell r="H29">
            <v>10544</v>
          </cell>
          <cell r="I29">
            <v>7767</v>
          </cell>
        </row>
        <row r="30">
          <cell r="A30" t="str">
            <v xml:space="preserve">  Extraordinary Gains/(Losses)</v>
          </cell>
          <cell r="B30">
            <v>0</v>
          </cell>
          <cell r="C30">
            <v>0</v>
          </cell>
          <cell r="D30">
            <v>0</v>
          </cell>
          <cell r="E30">
            <v>0</v>
          </cell>
          <cell r="H30">
            <v>0</v>
          </cell>
          <cell r="I30">
            <v>0</v>
          </cell>
        </row>
        <row r="31">
          <cell r="A31" t="str">
            <v>Net Income</v>
          </cell>
          <cell r="B31">
            <v>21126.251790500795</v>
          </cell>
          <cell r="C31">
            <v>41601</v>
          </cell>
          <cell r="D31">
            <v>20474.748209499205</v>
          </cell>
          <cell r="E31">
            <v>0.29704975132385286</v>
          </cell>
          <cell r="H31">
            <v>11176</v>
          </cell>
          <cell r="I31">
            <v>10449</v>
          </cell>
        </row>
        <row r="33">
          <cell r="A33" t="str">
            <v xml:space="preserve"> Depreciation and Amortization</v>
          </cell>
          <cell r="B33">
            <v>35190.401517302067</v>
          </cell>
          <cell r="C33">
            <v>34331</v>
          </cell>
          <cell r="D33">
            <v>-859.40151730206708</v>
          </cell>
          <cell r="E33">
            <v>1.2468285538353142E-2</v>
          </cell>
          <cell r="H33">
            <v>32490</v>
          </cell>
          <cell r="I33">
            <v>35880</v>
          </cell>
        </row>
        <row r="34">
          <cell r="A34" t="str">
            <v xml:space="preserve"> Depreciation and minority interest from disc. ops</v>
          </cell>
          <cell r="B34">
            <v>0</v>
          </cell>
          <cell r="C34">
            <v>910</v>
          </cell>
          <cell r="D34">
            <v>910</v>
          </cell>
          <cell r="E34">
            <v>-1.3202373525614056E-2</v>
          </cell>
          <cell r="H34">
            <v>0</v>
          </cell>
          <cell r="I34">
            <v>191</v>
          </cell>
        </row>
        <row r="35">
          <cell r="A35" t="str">
            <v xml:space="preserve"> (Gain) Loss on sale of discontinued properties</v>
          </cell>
          <cell r="B35">
            <v>-15000</v>
          </cell>
          <cell r="C35">
            <v>-33923</v>
          </cell>
          <cell r="D35">
            <v>-18923</v>
          </cell>
          <cell r="E35">
            <v>0.27453682881889535</v>
          </cell>
          <cell r="H35">
            <v>-937</v>
          </cell>
          <cell r="I35">
            <v>-4319</v>
          </cell>
        </row>
        <row r="36">
          <cell r="A36" t="str">
            <v xml:space="preserve"> Income allocated to Preferred Operating Partnership Units</v>
          </cell>
          <cell r="B36">
            <v>0</v>
          </cell>
          <cell r="C36">
            <v>0</v>
          </cell>
          <cell r="D36">
            <v>0</v>
          </cell>
          <cell r="E36">
            <v>0</v>
          </cell>
          <cell r="H36">
            <v>-1078</v>
          </cell>
          <cell r="I36">
            <v>0</v>
          </cell>
        </row>
        <row r="37">
          <cell r="A37" t="str">
            <v xml:space="preserve"> Other Adjustments</v>
          </cell>
          <cell r="B37">
            <v>0</v>
          </cell>
          <cell r="C37">
            <v>0</v>
          </cell>
          <cell r="D37">
            <v>0</v>
          </cell>
          <cell r="E37">
            <v>0</v>
          </cell>
          <cell r="H37">
            <v>-1074</v>
          </cell>
          <cell r="I37">
            <v>0</v>
          </cell>
        </row>
        <row r="38">
          <cell r="A38" t="str">
            <v xml:space="preserve"> Min. Int. in Income/(Loss)</v>
          </cell>
          <cell r="B38">
            <v>87.158594829261219</v>
          </cell>
          <cell r="C38">
            <v>201</v>
          </cell>
          <cell r="D38">
            <v>113.84140517073878</v>
          </cell>
          <cell r="E38">
            <v>1.6516228063130382E-3</v>
          </cell>
          <cell r="H38">
            <v>2415</v>
          </cell>
          <cell r="I38">
            <v>89</v>
          </cell>
        </row>
        <row r="39">
          <cell r="A39" t="str">
            <v>Funds From Operations</v>
          </cell>
          <cell r="B39">
            <v>41403.811902632122</v>
          </cell>
          <cell r="C39">
            <v>43120</v>
          </cell>
          <cell r="D39">
            <v>1716.1880973678781</v>
          </cell>
          <cell r="E39">
            <v>2.4898633298531463E-2</v>
          </cell>
          <cell r="H39">
            <v>42992</v>
          </cell>
          <cell r="I39">
            <v>42290</v>
          </cell>
        </row>
        <row r="41">
          <cell r="A41" t="str">
            <v xml:space="preserve"> Capex, Tenant Improvements &amp; LC's </v>
          </cell>
          <cell r="B41">
            <v>-14753.228696163713</v>
          </cell>
          <cell r="C41">
            <v>-14629</v>
          </cell>
          <cell r="D41">
            <v>124.22869616371281</v>
          </cell>
          <cell r="E41">
            <v>1.8023226915970928E-3</v>
          </cell>
          <cell r="H41">
            <v>-12390</v>
          </cell>
          <cell r="I41">
            <v>-15069</v>
          </cell>
        </row>
        <row r="42">
          <cell r="A42" t="str">
            <v xml:space="preserve"> Straight-lining Adjustment</v>
          </cell>
          <cell r="B42">
            <v>-976.10783795044279</v>
          </cell>
          <cell r="C42">
            <v>-345</v>
          </cell>
          <cell r="D42">
            <v>631.10783795044279</v>
          </cell>
          <cell r="E42">
            <v>-9.1561773753455512E-3</v>
          </cell>
          <cell r="H42">
            <v>-15</v>
          </cell>
          <cell r="I42">
            <v>-997</v>
          </cell>
        </row>
        <row r="43">
          <cell r="A43" t="str">
            <v>Adjusted Funds From Operations</v>
          </cell>
          <cell r="B43">
            <v>25674.475368517964</v>
          </cell>
          <cell r="C43">
            <v>28146</v>
          </cell>
          <cell r="D43">
            <v>2471.5246314820361</v>
          </cell>
          <cell r="E43">
            <v>3.5857133365474143E-2</v>
          </cell>
          <cell r="H43">
            <v>30587</v>
          </cell>
          <cell r="I43">
            <v>26224</v>
          </cell>
        </row>
        <row r="45">
          <cell r="A45" t="str">
            <v>Diluted GAAP EPS before gains</v>
          </cell>
          <cell r="B45">
            <v>5.1334379442275917E-2</v>
          </cell>
          <cell r="C45">
            <v>0.11302847282139776</v>
          </cell>
          <cell r="D45">
            <v>6.1694093379121843E-2</v>
          </cell>
          <cell r="H45">
            <v>0.14579918654768409</v>
          </cell>
          <cell r="I45">
            <v>5.1521898301032529E-2</v>
          </cell>
        </row>
        <row r="46">
          <cell r="A46" t="str">
            <v xml:space="preserve">Diluted EPS before extraordinary </v>
          </cell>
          <cell r="B46">
            <v>0.27489982659042944</v>
          </cell>
          <cell r="C46">
            <v>0.61766981047871228</v>
          </cell>
          <cell r="D46">
            <v>0.34276998388828284</v>
          </cell>
          <cell r="H46">
            <v>0.16001942572694713</v>
          </cell>
          <cell r="I46">
            <v>0.11605875409052194</v>
          </cell>
        </row>
        <row r="47">
          <cell r="A47" t="str">
            <v xml:space="preserve">Diluted EPS after extraordinary </v>
          </cell>
          <cell r="B47">
            <v>0.27489982659042944</v>
          </cell>
          <cell r="C47">
            <v>0.61766981047871228</v>
          </cell>
          <cell r="D47">
            <v>0.34276998388828284</v>
          </cell>
          <cell r="H47">
            <v>0.16001942572694713</v>
          </cell>
          <cell r="I47">
            <v>0.11605875409052194</v>
          </cell>
        </row>
        <row r="49">
          <cell r="A49" t="str">
            <v>FFO Per Share</v>
          </cell>
          <cell r="B49">
            <v>0.60360297129230756</v>
          </cell>
          <cell r="C49">
            <v>0.62558939167525063</v>
          </cell>
          <cell r="D49">
            <v>2.1986420382943073E-2</v>
          </cell>
          <cell r="H49">
            <v>0.63631519744242493</v>
          </cell>
          <cell r="I49">
            <v>0.61613100614819782</v>
          </cell>
        </row>
        <row r="51">
          <cell r="A51" t="str">
            <v>AFFO Per Share</v>
          </cell>
          <cell r="B51">
            <v>0.37429378858286766</v>
          </cell>
          <cell r="C51">
            <v>0.40834506071641014</v>
          </cell>
          <cell r="D51">
            <v>3.4051272133542476E-2</v>
          </cell>
          <cell r="H51">
            <v>0.45271150316736725</v>
          </cell>
          <cell r="I51">
            <v>0.38206241440601418</v>
          </cell>
        </row>
        <row r="52">
          <cell r="A52" t="str">
            <v>NOI Per Share</v>
          </cell>
          <cell r="B52">
            <v>1.0391092428681079</v>
          </cell>
          <cell r="C52">
            <v>1.0856123144776357</v>
          </cell>
          <cell r="D52">
            <v>4.6503071609527824E-2</v>
          </cell>
          <cell r="H52">
            <v>1.0278698715292167</v>
          </cell>
          <cell r="I52">
            <v>1.0603892887321891</v>
          </cell>
        </row>
        <row r="53">
          <cell r="A53" t="str">
            <v>EBITDA Per Share</v>
          </cell>
          <cell r="B53">
            <v>0.93307026837327567</v>
          </cell>
          <cell r="C53">
            <v>0.98259027666951992</v>
          </cell>
          <cell r="D53">
            <v>4.9520008296244256E-2</v>
          </cell>
          <cell r="H53">
            <v>0.95648570244508913</v>
          </cell>
          <cell r="I53">
            <v>0.95024621929543407</v>
          </cell>
        </row>
        <row r="55">
          <cell r="A55" t="str">
            <v>Dividends Per Share</v>
          </cell>
          <cell r="B55">
            <v>0.505</v>
          </cell>
          <cell r="C55">
            <v>0.505</v>
          </cell>
          <cell r="H55">
            <v>0.505</v>
          </cell>
          <cell r="I55">
            <v>0.505</v>
          </cell>
        </row>
        <row r="57">
          <cell r="A57" t="str">
            <v>Payout Ratio (Net Income)</v>
          </cell>
          <cell r="B57">
            <v>1.8370328066899604</v>
          </cell>
          <cell r="C57">
            <v>0.81758893090243501</v>
          </cell>
          <cell r="H57">
            <v>3.1558668437025794</v>
          </cell>
          <cell r="I57">
            <v>4.3512443671945409</v>
          </cell>
        </row>
        <row r="58">
          <cell r="A58" t="str">
            <v>Payout Ratio (FFO)</v>
          </cell>
          <cell r="B58">
            <v>0.83664266747859173</v>
          </cell>
          <cell r="C58">
            <v>0.80723875231910946</v>
          </cell>
          <cell r="H58">
            <v>0.79363183848157803</v>
          </cell>
          <cell r="I58">
            <v>0.81963088200520218</v>
          </cell>
        </row>
        <row r="59">
          <cell r="A59" t="str">
            <v>Payout Ratio (AFFO)</v>
          </cell>
          <cell r="B59">
            <v>1.3492075353748338</v>
          </cell>
          <cell r="C59">
            <v>1.2366991757265686</v>
          </cell>
          <cell r="H59">
            <v>1.1155007029130022</v>
          </cell>
          <cell r="I59">
            <v>1.3217735661989016</v>
          </cell>
        </row>
        <row r="61">
          <cell r="A61" t="str">
            <v>Diluted Weighted Avg. Common Shares</v>
          </cell>
          <cell r="B61">
            <v>67094.446800000005</v>
          </cell>
          <cell r="C61">
            <v>67222</v>
          </cell>
          <cell r="H61">
            <v>65892</v>
          </cell>
          <cell r="I61">
            <v>66923</v>
          </cell>
        </row>
        <row r="62">
          <cell r="A62" t="str">
            <v>Diluted Wght. Avg. Shares &amp; OP Units</v>
          </cell>
          <cell r="B62">
            <v>68594.446800000005</v>
          </cell>
          <cell r="C62">
            <v>68927</v>
          </cell>
          <cell r="H62">
            <v>67564</v>
          </cell>
          <cell r="I62">
            <v>68638</v>
          </cell>
        </row>
        <row r="64">
          <cell r="A64" t="str">
            <v>A = Actual; E = Morgan Stanley Estimate</v>
          </cell>
        </row>
        <row r="66">
          <cell r="A66" t="str">
            <v>Gregory Whyte</v>
          </cell>
          <cell r="I66" t="str">
            <v>(212) 761-6331</v>
          </cell>
        </row>
        <row r="67">
          <cell r="A67" t="str">
            <v>Morgan Stanley  REIT Research</v>
          </cell>
          <cell r="I67" t="str">
            <v>gregory.whyte@morganstanley.com</v>
          </cell>
        </row>
      </sheetData>
      <sheetData sheetId="17" refreshError="1"/>
      <sheetData sheetId="18" refreshError="1">
        <row r="1">
          <cell r="A1" t="str">
            <v>ARI</v>
          </cell>
          <cell r="C1">
            <v>35885</v>
          </cell>
          <cell r="D1">
            <v>35976</v>
          </cell>
          <cell r="E1">
            <v>36068</v>
          </cell>
          <cell r="F1">
            <v>36160</v>
          </cell>
          <cell r="G1">
            <v>36250</v>
          </cell>
          <cell r="H1">
            <v>36341</v>
          </cell>
          <cell r="I1">
            <v>36433</v>
          </cell>
          <cell r="J1">
            <v>36525</v>
          </cell>
          <cell r="K1">
            <v>36616</v>
          </cell>
          <cell r="L1">
            <v>36707</v>
          </cell>
          <cell r="M1">
            <v>36799</v>
          </cell>
          <cell r="N1">
            <v>36891</v>
          </cell>
          <cell r="O1">
            <v>36981</v>
          </cell>
          <cell r="P1">
            <v>37072</v>
          </cell>
          <cell r="Q1">
            <v>37164</v>
          </cell>
          <cell r="R1">
            <v>37256</v>
          </cell>
          <cell r="S1">
            <v>37346</v>
          </cell>
          <cell r="T1">
            <v>37437</v>
          </cell>
          <cell r="U1">
            <v>37529</v>
          </cell>
          <cell r="V1">
            <v>37621</v>
          </cell>
          <cell r="W1">
            <v>37711</v>
          </cell>
          <cell r="X1">
            <v>37802</v>
          </cell>
          <cell r="Y1">
            <v>37894</v>
          </cell>
          <cell r="Z1">
            <v>37986</v>
          </cell>
          <cell r="AA1">
            <v>38077</v>
          </cell>
          <cell r="AB1">
            <v>38168</v>
          </cell>
          <cell r="AC1">
            <v>38260</v>
          </cell>
          <cell r="AD1">
            <v>38352</v>
          </cell>
          <cell r="AE1">
            <v>38442</v>
          </cell>
          <cell r="AF1">
            <v>38533</v>
          </cell>
          <cell r="AG1">
            <v>38625</v>
          </cell>
          <cell r="AH1">
            <v>38681</v>
          </cell>
          <cell r="AN1" t="str">
            <v>ElementName</v>
          </cell>
          <cell r="AO1" t="str">
            <v>ScaleOverride</v>
          </cell>
          <cell r="AP1" t="str">
            <v>UnitOverride</v>
          </cell>
          <cell r="AQ1" t="str">
            <v>ReverseSign</v>
          </cell>
          <cell r="AR1" t="str">
            <v>IsDrivingAssumption</v>
          </cell>
          <cell r="AS1" t="str">
            <v>SegmentID</v>
          </cell>
          <cell r="BE1">
            <v>32</v>
          </cell>
        </row>
        <row r="3">
          <cell r="C3" t="str">
            <v>1Q98A</v>
          </cell>
          <cell r="D3" t="str">
            <v>2Q98A</v>
          </cell>
          <cell r="E3" t="str">
            <v>3Q98A</v>
          </cell>
          <cell r="F3" t="str">
            <v>4Q98A</v>
          </cell>
          <cell r="G3" t="str">
            <v>1Q99A</v>
          </cell>
          <cell r="H3" t="str">
            <v>2Q99A</v>
          </cell>
          <cell r="I3" t="str">
            <v>3Q99A</v>
          </cell>
          <cell r="J3" t="str">
            <v>4Q99A</v>
          </cell>
          <cell r="K3" t="str">
            <v>1Q00A</v>
          </cell>
          <cell r="L3" t="str">
            <v>2Q00A</v>
          </cell>
          <cell r="M3" t="str">
            <v>3Q00A</v>
          </cell>
          <cell r="N3" t="str">
            <v>4Q00A</v>
          </cell>
          <cell r="O3" t="str">
            <v>1Q01A</v>
          </cell>
          <cell r="P3" t="str">
            <v>2Q01A</v>
          </cell>
          <cell r="Q3" t="str">
            <v>3Q01A</v>
          </cell>
          <cell r="R3" t="str">
            <v>4Q01A</v>
          </cell>
          <cell r="S3" t="str">
            <v>1Q02A</v>
          </cell>
          <cell r="T3" t="str">
            <v>2Q02A</v>
          </cell>
          <cell r="U3" t="str">
            <v>3Q02A</v>
          </cell>
          <cell r="V3" t="str">
            <v>4Q02A</v>
          </cell>
          <cell r="W3" t="str">
            <v>1Q03A</v>
          </cell>
          <cell r="X3" t="str">
            <v>2Q03A</v>
          </cell>
          <cell r="Y3" t="str">
            <v>3Q03A</v>
          </cell>
          <cell r="Z3" t="str">
            <v>4Q03A</v>
          </cell>
          <cell r="AA3" t="str">
            <v>1Q04A</v>
          </cell>
          <cell r="AB3" t="str">
            <v>2Q04A</v>
          </cell>
          <cell r="AC3" t="str">
            <v>3Q04A</v>
          </cell>
          <cell r="AD3" t="str">
            <v>4Q04A</v>
          </cell>
          <cell r="AE3" t="str">
            <v>1Q05A</v>
          </cell>
          <cell r="AF3" t="str">
            <v>2Q05A</v>
          </cell>
          <cell r="AG3" t="str">
            <v>3Q05A</v>
          </cell>
          <cell r="AH3" t="str">
            <v>Current</v>
          </cell>
        </row>
        <row r="5">
          <cell r="A5" t="str">
            <v>NOI Calculation</v>
          </cell>
        </row>
        <row r="6">
          <cell r="B6" t="str">
            <v xml:space="preserve">  Rental Income</v>
          </cell>
          <cell r="C6">
            <v>194756</v>
          </cell>
          <cell r="D6">
            <v>254088</v>
          </cell>
          <cell r="E6">
            <v>274436</v>
          </cell>
          <cell r="F6">
            <v>278588</v>
          </cell>
          <cell r="G6">
            <v>278040</v>
          </cell>
          <cell r="H6">
            <v>289324</v>
          </cell>
          <cell r="I6">
            <v>296772</v>
          </cell>
          <cell r="J6">
            <v>306616</v>
          </cell>
          <cell r="K6">
            <v>310052</v>
          </cell>
          <cell r="L6">
            <v>320012</v>
          </cell>
          <cell r="M6">
            <v>336840</v>
          </cell>
          <cell r="N6">
            <v>346936</v>
          </cell>
          <cell r="O6">
            <v>349868</v>
          </cell>
          <cell r="P6">
            <v>349496</v>
          </cell>
          <cell r="Q6">
            <v>359876</v>
          </cell>
          <cell r="R6">
            <v>363248</v>
          </cell>
          <cell r="S6">
            <v>355944</v>
          </cell>
          <cell r="T6">
            <v>356452</v>
          </cell>
          <cell r="U6">
            <v>361404</v>
          </cell>
          <cell r="V6">
            <v>365116</v>
          </cell>
          <cell r="W6">
            <v>363348</v>
          </cell>
          <cell r="X6">
            <v>363460</v>
          </cell>
          <cell r="Y6">
            <v>358484</v>
          </cell>
          <cell r="Z6">
            <v>361824</v>
          </cell>
          <cell r="AA6">
            <v>365696</v>
          </cell>
          <cell r="AB6">
            <v>365640</v>
          </cell>
          <cell r="AC6">
            <v>357392</v>
          </cell>
          <cell r="AD6">
            <v>364488</v>
          </cell>
          <cell r="AE6">
            <v>355712</v>
          </cell>
          <cell r="AF6">
            <v>388208</v>
          </cell>
          <cell r="AG6">
            <v>392696</v>
          </cell>
          <cell r="AH6">
            <v>399923.97183492105</v>
          </cell>
        </row>
        <row r="7">
          <cell r="B7" t="str">
            <v>Other Rental Income - Includes Lease Termination</v>
          </cell>
          <cell r="C7">
            <v>6148</v>
          </cell>
          <cell r="D7">
            <v>7700</v>
          </cell>
          <cell r="E7">
            <v>10664</v>
          </cell>
          <cell r="F7">
            <v>10976</v>
          </cell>
          <cell r="G7">
            <v>12708</v>
          </cell>
          <cell r="H7">
            <v>15748</v>
          </cell>
          <cell r="I7">
            <v>16600</v>
          </cell>
          <cell r="J7">
            <v>22616</v>
          </cell>
          <cell r="K7">
            <v>18404</v>
          </cell>
          <cell r="L7">
            <v>16880</v>
          </cell>
          <cell r="M7">
            <v>22424</v>
          </cell>
          <cell r="N7">
            <v>27936</v>
          </cell>
          <cell r="O7">
            <v>19196</v>
          </cell>
          <cell r="P7">
            <v>18784</v>
          </cell>
          <cell r="Q7">
            <v>17300</v>
          </cell>
          <cell r="R7">
            <v>17304</v>
          </cell>
          <cell r="S7">
            <v>4712</v>
          </cell>
          <cell r="T7">
            <v>7168</v>
          </cell>
          <cell r="U7">
            <v>11208</v>
          </cell>
          <cell r="V7">
            <v>10108</v>
          </cell>
          <cell r="W7">
            <v>5140</v>
          </cell>
          <cell r="X7">
            <v>11128</v>
          </cell>
          <cell r="Y7">
            <v>9988</v>
          </cell>
          <cell r="Z7">
            <v>9640</v>
          </cell>
          <cell r="AA7">
            <v>10408</v>
          </cell>
          <cell r="AB7">
            <v>12068</v>
          </cell>
          <cell r="AC7">
            <v>13252</v>
          </cell>
          <cell r="AD7">
            <v>12408</v>
          </cell>
          <cell r="AE7">
            <v>8624</v>
          </cell>
          <cell r="AF7">
            <v>6260</v>
          </cell>
          <cell r="AG7">
            <v>13976</v>
          </cell>
          <cell r="AH7">
            <v>9398.7835493587372</v>
          </cell>
        </row>
        <row r="8">
          <cell r="B8" t="str">
            <v xml:space="preserve">  Tenant Reimbursements</v>
          </cell>
          <cell r="C8">
            <v>7532</v>
          </cell>
          <cell r="D8">
            <v>8696</v>
          </cell>
          <cell r="E8">
            <v>8844</v>
          </cell>
          <cell r="F8">
            <v>12948</v>
          </cell>
          <cell r="G8">
            <v>13868</v>
          </cell>
          <cell r="H8">
            <v>11476</v>
          </cell>
          <cell r="I8">
            <v>18216</v>
          </cell>
          <cell r="J8">
            <v>11892</v>
          </cell>
          <cell r="K8">
            <v>14368</v>
          </cell>
          <cell r="L8">
            <v>16872</v>
          </cell>
          <cell r="M8">
            <v>17612</v>
          </cell>
          <cell r="N8">
            <v>16632</v>
          </cell>
          <cell r="O8">
            <v>22200</v>
          </cell>
          <cell r="P8">
            <v>21408</v>
          </cell>
          <cell r="Q8">
            <v>23076</v>
          </cell>
          <cell r="R8">
            <v>24244</v>
          </cell>
          <cell r="S8">
            <v>27800</v>
          </cell>
          <cell r="T8">
            <v>25388</v>
          </cell>
          <cell r="U8">
            <v>23220</v>
          </cell>
          <cell r="V8">
            <v>23624</v>
          </cell>
          <cell r="W8">
            <v>28140</v>
          </cell>
          <cell r="X8">
            <v>23996</v>
          </cell>
          <cell r="Y8">
            <v>28324</v>
          </cell>
          <cell r="Z8">
            <v>25616</v>
          </cell>
          <cell r="AA8">
            <v>19012</v>
          </cell>
          <cell r="AB8">
            <v>19400</v>
          </cell>
          <cell r="AC8">
            <v>22328</v>
          </cell>
          <cell r="AD8">
            <v>21252</v>
          </cell>
          <cell r="AE8">
            <v>20356</v>
          </cell>
          <cell r="AF8">
            <v>17484</v>
          </cell>
          <cell r="AG8">
            <v>22088</v>
          </cell>
          <cell r="AH8">
            <v>21507.823056550762</v>
          </cell>
        </row>
        <row r="9">
          <cell r="B9" t="str">
            <v xml:space="preserve">  Parking, Net of Expenses</v>
          </cell>
          <cell r="C9">
            <v>10600</v>
          </cell>
          <cell r="D9">
            <v>11528</v>
          </cell>
          <cell r="E9">
            <v>13008</v>
          </cell>
          <cell r="F9">
            <v>13756</v>
          </cell>
          <cell r="G9">
            <v>12728</v>
          </cell>
          <cell r="H9">
            <v>14300</v>
          </cell>
          <cell r="I9">
            <v>15304</v>
          </cell>
          <cell r="J9">
            <v>15204</v>
          </cell>
          <cell r="K9">
            <v>15888</v>
          </cell>
          <cell r="L9">
            <v>17660</v>
          </cell>
          <cell r="M9">
            <v>19248</v>
          </cell>
          <cell r="N9">
            <v>20596</v>
          </cell>
          <cell r="O9">
            <v>21220</v>
          </cell>
          <cell r="P9">
            <v>22232</v>
          </cell>
          <cell r="Q9">
            <v>23072</v>
          </cell>
          <cell r="R9">
            <v>21576</v>
          </cell>
          <cell r="S9">
            <v>20600</v>
          </cell>
          <cell r="T9">
            <v>21532</v>
          </cell>
          <cell r="U9">
            <v>21680</v>
          </cell>
          <cell r="V9">
            <v>21684</v>
          </cell>
          <cell r="W9">
            <v>20476</v>
          </cell>
          <cell r="X9">
            <v>22100</v>
          </cell>
          <cell r="Y9">
            <v>22636</v>
          </cell>
          <cell r="Z9">
            <v>23108</v>
          </cell>
          <cell r="AA9">
            <v>22800</v>
          </cell>
          <cell r="AB9">
            <v>24484</v>
          </cell>
          <cell r="AC9">
            <v>25092</v>
          </cell>
          <cell r="AD9">
            <v>24128</v>
          </cell>
          <cell r="AE9">
            <v>23788</v>
          </cell>
          <cell r="AF9">
            <v>26960</v>
          </cell>
          <cell r="AG9">
            <v>29636</v>
          </cell>
          <cell r="AH9">
            <v>27994.678028444476</v>
          </cell>
        </row>
        <row r="10">
          <cell r="B10" t="str">
            <v>Lease Termination Fees</v>
          </cell>
          <cell r="C10">
            <v>2000</v>
          </cell>
          <cell r="D10">
            <v>2000</v>
          </cell>
          <cell r="E10">
            <v>2000</v>
          </cell>
          <cell r="F10">
            <v>2000</v>
          </cell>
          <cell r="G10">
            <v>2000</v>
          </cell>
          <cell r="H10">
            <v>2000</v>
          </cell>
          <cell r="I10">
            <v>2000</v>
          </cell>
          <cell r="J10">
            <v>2000</v>
          </cell>
          <cell r="K10">
            <v>2000</v>
          </cell>
          <cell r="L10">
            <v>2000</v>
          </cell>
          <cell r="M10">
            <v>2000</v>
          </cell>
          <cell r="N10">
            <v>2000</v>
          </cell>
          <cell r="O10">
            <v>2000</v>
          </cell>
          <cell r="P10">
            <v>2000</v>
          </cell>
          <cell r="Q10">
            <v>2000</v>
          </cell>
          <cell r="R10">
            <v>2000</v>
          </cell>
          <cell r="S10">
            <v>2400</v>
          </cell>
          <cell r="T10">
            <v>5600</v>
          </cell>
          <cell r="U10">
            <v>8000</v>
          </cell>
          <cell r="V10">
            <v>9200</v>
          </cell>
          <cell r="W10">
            <v>1200</v>
          </cell>
          <cell r="X10">
            <v>4400</v>
          </cell>
          <cell r="Y10">
            <v>4800</v>
          </cell>
          <cell r="Z10">
            <v>2400</v>
          </cell>
          <cell r="AA10">
            <v>4800</v>
          </cell>
          <cell r="AB10">
            <v>5200</v>
          </cell>
          <cell r="AC10">
            <v>5200</v>
          </cell>
          <cell r="AD10">
            <v>5200</v>
          </cell>
          <cell r="AE10">
            <v>4000</v>
          </cell>
          <cell r="AF10">
            <v>1200</v>
          </cell>
          <cell r="AG10">
            <v>7600</v>
          </cell>
          <cell r="AH10">
            <v>3000</v>
          </cell>
        </row>
        <row r="11">
          <cell r="B11" t="str">
            <v>Repairs and Maintenance</v>
          </cell>
          <cell r="C11">
            <v>0</v>
          </cell>
          <cell r="D11">
            <v>0</v>
          </cell>
          <cell r="E11">
            <v>0</v>
          </cell>
          <cell r="F11">
            <v>0</v>
          </cell>
          <cell r="G11">
            <v>30680</v>
          </cell>
          <cell r="H11">
            <v>33020</v>
          </cell>
          <cell r="I11">
            <v>33020</v>
          </cell>
          <cell r="J11">
            <v>34888</v>
          </cell>
          <cell r="K11">
            <v>33608</v>
          </cell>
          <cell r="L11">
            <v>35580</v>
          </cell>
          <cell r="M11">
            <v>34672</v>
          </cell>
          <cell r="N11">
            <v>37700</v>
          </cell>
          <cell r="O11">
            <v>36032</v>
          </cell>
          <cell r="P11">
            <v>36912</v>
          </cell>
          <cell r="Q11">
            <v>35568</v>
          </cell>
          <cell r="R11">
            <v>38348</v>
          </cell>
          <cell r="S11">
            <v>37780</v>
          </cell>
          <cell r="T11">
            <v>38416</v>
          </cell>
          <cell r="U11">
            <v>39616</v>
          </cell>
          <cell r="V11">
            <v>43576</v>
          </cell>
          <cell r="W11">
            <v>41684</v>
          </cell>
          <cell r="X11">
            <v>44392</v>
          </cell>
          <cell r="Y11">
            <v>43180</v>
          </cell>
          <cell r="Z11">
            <v>45316</v>
          </cell>
          <cell r="AA11">
            <v>45364</v>
          </cell>
          <cell r="AB11">
            <v>46116</v>
          </cell>
          <cell r="AC11">
            <v>45348</v>
          </cell>
          <cell r="AD11">
            <v>45344</v>
          </cell>
          <cell r="AE11">
            <v>47044</v>
          </cell>
          <cell r="AF11">
            <v>50776</v>
          </cell>
          <cell r="AG11">
            <v>53172</v>
          </cell>
          <cell r="AH11">
            <v>52789.964282209585</v>
          </cell>
        </row>
        <row r="12">
          <cell r="B12" t="str">
            <v>Utilities</v>
          </cell>
          <cell r="C12">
            <v>0</v>
          </cell>
          <cell r="D12">
            <v>0</v>
          </cell>
          <cell r="E12">
            <v>0</v>
          </cell>
          <cell r="F12">
            <v>0</v>
          </cell>
          <cell r="G12">
            <v>25364</v>
          </cell>
          <cell r="H12">
            <v>26152</v>
          </cell>
          <cell r="I12">
            <v>34432</v>
          </cell>
          <cell r="J12">
            <v>27272</v>
          </cell>
          <cell r="K12">
            <v>24440</v>
          </cell>
          <cell r="L12">
            <v>26104</v>
          </cell>
          <cell r="M12">
            <v>38280</v>
          </cell>
          <cell r="N12">
            <v>30664</v>
          </cell>
          <cell r="O12">
            <v>29568</v>
          </cell>
          <cell r="P12">
            <v>29464</v>
          </cell>
          <cell r="Q12">
            <v>42056</v>
          </cell>
          <cell r="R12">
            <v>34488</v>
          </cell>
          <cell r="S12">
            <v>31392</v>
          </cell>
          <cell r="T12">
            <v>32036</v>
          </cell>
          <cell r="U12">
            <v>42936</v>
          </cell>
          <cell r="V12">
            <v>37588</v>
          </cell>
          <cell r="W12">
            <v>32132</v>
          </cell>
          <cell r="X12">
            <v>32372</v>
          </cell>
          <cell r="Y12">
            <v>42888</v>
          </cell>
          <cell r="Z12">
            <v>30784</v>
          </cell>
          <cell r="AA12">
            <v>30268</v>
          </cell>
          <cell r="AB12">
            <v>32332</v>
          </cell>
          <cell r="AC12">
            <v>39436</v>
          </cell>
          <cell r="AD12">
            <v>32936</v>
          </cell>
          <cell r="AE12">
            <v>29488</v>
          </cell>
          <cell r="AF12">
            <v>32304</v>
          </cell>
          <cell r="AG12">
            <v>43744</v>
          </cell>
          <cell r="AH12">
            <v>37616.003682801413</v>
          </cell>
        </row>
        <row r="13">
          <cell r="B13" t="str">
            <v>Real Estate taxes</v>
          </cell>
          <cell r="C13">
            <v>0</v>
          </cell>
          <cell r="D13">
            <v>0</v>
          </cell>
          <cell r="E13">
            <v>0</v>
          </cell>
          <cell r="F13">
            <v>0</v>
          </cell>
          <cell r="G13">
            <v>22988</v>
          </cell>
          <cell r="H13">
            <v>22676</v>
          </cell>
          <cell r="I13">
            <v>23060</v>
          </cell>
          <cell r="J13">
            <v>23944</v>
          </cell>
          <cell r="K13">
            <v>25056</v>
          </cell>
          <cell r="L13">
            <v>25312</v>
          </cell>
          <cell r="M13">
            <v>27428</v>
          </cell>
          <cell r="N13">
            <v>29436</v>
          </cell>
          <cell r="O13">
            <v>29656</v>
          </cell>
          <cell r="P13">
            <v>29088</v>
          </cell>
          <cell r="Q13">
            <v>29232</v>
          </cell>
          <cell r="R13">
            <v>29640</v>
          </cell>
          <cell r="S13">
            <v>29512</v>
          </cell>
          <cell r="T13">
            <v>28936</v>
          </cell>
          <cell r="U13">
            <v>30664</v>
          </cell>
          <cell r="V13">
            <v>31636</v>
          </cell>
          <cell r="W13">
            <v>30032</v>
          </cell>
          <cell r="X13">
            <v>29044</v>
          </cell>
          <cell r="Y13">
            <v>28980</v>
          </cell>
          <cell r="Z13">
            <v>31468</v>
          </cell>
          <cell r="AA13">
            <v>32084</v>
          </cell>
          <cell r="AB13">
            <v>31500</v>
          </cell>
          <cell r="AC13">
            <v>30396</v>
          </cell>
          <cell r="AD13">
            <v>31032</v>
          </cell>
          <cell r="AE13">
            <v>32004</v>
          </cell>
          <cell r="AF13">
            <v>34640</v>
          </cell>
          <cell r="AG13">
            <v>33340</v>
          </cell>
          <cell r="AH13">
            <v>35240.525387558402</v>
          </cell>
        </row>
        <row r="14">
          <cell r="B14" t="str">
            <v>Insurance</v>
          </cell>
          <cell r="C14">
            <v>0</v>
          </cell>
          <cell r="D14">
            <v>0</v>
          </cell>
          <cell r="E14">
            <v>0</v>
          </cell>
          <cell r="F14">
            <v>0</v>
          </cell>
          <cell r="G14">
            <v>3928</v>
          </cell>
          <cell r="H14">
            <v>3952</v>
          </cell>
          <cell r="I14">
            <v>3968</v>
          </cell>
          <cell r="J14">
            <v>4124</v>
          </cell>
          <cell r="K14">
            <v>4164</v>
          </cell>
          <cell r="L14">
            <v>4172</v>
          </cell>
          <cell r="M14">
            <v>4224</v>
          </cell>
          <cell r="N14">
            <v>4252</v>
          </cell>
          <cell r="O14">
            <v>4864</v>
          </cell>
          <cell r="P14">
            <v>5980</v>
          </cell>
          <cell r="Q14">
            <v>6000</v>
          </cell>
          <cell r="R14">
            <v>6064</v>
          </cell>
          <cell r="S14">
            <v>6640</v>
          </cell>
          <cell r="T14">
            <v>8416</v>
          </cell>
          <cell r="U14">
            <v>8748</v>
          </cell>
          <cell r="V14">
            <v>8840</v>
          </cell>
          <cell r="W14">
            <v>8500</v>
          </cell>
          <cell r="X14">
            <v>8320</v>
          </cell>
          <cell r="Y14">
            <v>8664</v>
          </cell>
          <cell r="Z14">
            <v>8580</v>
          </cell>
          <cell r="AA14">
            <v>8244</v>
          </cell>
          <cell r="AB14">
            <v>7976</v>
          </cell>
          <cell r="AC14">
            <v>7512</v>
          </cell>
          <cell r="AD14">
            <v>7332</v>
          </cell>
          <cell r="AE14">
            <v>6800</v>
          </cell>
          <cell r="AF14">
            <v>7380</v>
          </cell>
          <cell r="AG14">
            <v>7312</v>
          </cell>
          <cell r="AH14">
            <v>7446.5848444011226</v>
          </cell>
        </row>
        <row r="15">
          <cell r="B15" t="str">
            <v>Ground rent</v>
          </cell>
          <cell r="C15">
            <v>0</v>
          </cell>
          <cell r="D15">
            <v>0</v>
          </cell>
          <cell r="E15">
            <v>0</v>
          </cell>
          <cell r="F15">
            <v>0</v>
          </cell>
          <cell r="G15">
            <v>724</v>
          </cell>
          <cell r="H15">
            <v>1252</v>
          </cell>
          <cell r="I15">
            <v>796</v>
          </cell>
          <cell r="J15">
            <v>792</v>
          </cell>
          <cell r="K15">
            <v>792</v>
          </cell>
          <cell r="L15">
            <v>2384</v>
          </cell>
          <cell r="M15">
            <v>888</v>
          </cell>
          <cell r="N15">
            <v>792</v>
          </cell>
          <cell r="O15">
            <v>4604</v>
          </cell>
          <cell r="P15">
            <v>932</v>
          </cell>
          <cell r="Q15">
            <v>960</v>
          </cell>
          <cell r="R15">
            <v>1044</v>
          </cell>
          <cell r="S15">
            <v>272</v>
          </cell>
          <cell r="T15">
            <v>1080</v>
          </cell>
          <cell r="U15">
            <v>1112</v>
          </cell>
          <cell r="V15">
            <v>1116</v>
          </cell>
          <cell r="W15">
            <v>168</v>
          </cell>
          <cell r="X15">
            <v>1288</v>
          </cell>
          <cell r="Y15">
            <v>1304</v>
          </cell>
          <cell r="Z15">
            <v>1084</v>
          </cell>
          <cell r="AA15">
            <v>500</v>
          </cell>
          <cell r="AB15">
            <v>828</v>
          </cell>
          <cell r="AC15">
            <v>828</v>
          </cell>
          <cell r="AD15">
            <v>828</v>
          </cell>
          <cell r="AE15">
            <v>1212</v>
          </cell>
          <cell r="AF15">
            <v>1336</v>
          </cell>
          <cell r="AG15">
            <v>1268</v>
          </cell>
          <cell r="AH15">
            <v>1291.3388378966933</v>
          </cell>
        </row>
        <row r="16">
          <cell r="B16" t="str">
            <v>Property administrative</v>
          </cell>
          <cell r="C16">
            <v>66952</v>
          </cell>
          <cell r="D16">
            <v>86172</v>
          </cell>
          <cell r="E16">
            <v>96288</v>
          </cell>
          <cell r="F16">
            <v>96868</v>
          </cell>
          <cell r="G16">
            <v>10356</v>
          </cell>
          <cell r="H16">
            <v>10724</v>
          </cell>
          <cell r="I16">
            <v>11700</v>
          </cell>
          <cell r="J16">
            <v>15324</v>
          </cell>
          <cell r="K16">
            <v>13328</v>
          </cell>
          <cell r="L16">
            <v>13332</v>
          </cell>
          <cell r="M16">
            <v>12572</v>
          </cell>
          <cell r="N16">
            <v>14488</v>
          </cell>
          <cell r="O16">
            <v>14644</v>
          </cell>
          <cell r="P16">
            <v>14720</v>
          </cell>
          <cell r="Q16">
            <v>14248</v>
          </cell>
          <cell r="R16">
            <v>16192</v>
          </cell>
          <cell r="S16">
            <v>15308</v>
          </cell>
          <cell r="T16">
            <v>14788</v>
          </cell>
          <cell r="U16">
            <v>16664</v>
          </cell>
          <cell r="V16">
            <v>16216</v>
          </cell>
          <cell r="W16">
            <v>16552</v>
          </cell>
          <cell r="X16">
            <v>19040</v>
          </cell>
          <cell r="Y16">
            <v>16004</v>
          </cell>
          <cell r="Z16">
            <v>16292</v>
          </cell>
          <cell r="AA16">
            <v>19928</v>
          </cell>
          <cell r="AB16">
            <v>17900</v>
          </cell>
          <cell r="AC16">
            <v>16756</v>
          </cell>
          <cell r="AD16">
            <v>18468</v>
          </cell>
          <cell r="AE16">
            <v>17648</v>
          </cell>
          <cell r="AF16">
            <v>21344</v>
          </cell>
          <cell r="AG16">
            <v>20248</v>
          </cell>
          <cell r="AH16">
            <v>20598.304253813643</v>
          </cell>
        </row>
        <row r="18">
          <cell r="B18" t="str">
            <v>Partial Period NOI</v>
          </cell>
          <cell r="C18">
            <v>34776</v>
          </cell>
          <cell r="D18">
            <v>8829</v>
          </cell>
          <cell r="E18">
            <v>2983.5</v>
          </cell>
          <cell r="F18">
            <v>0</v>
          </cell>
          <cell r="G18">
            <v>2250</v>
          </cell>
          <cell r="H18">
            <v>5125.5</v>
          </cell>
          <cell r="I18">
            <v>0</v>
          </cell>
          <cell r="J18">
            <v>0</v>
          </cell>
          <cell r="K18">
            <v>0</v>
          </cell>
          <cell r="L18">
            <v>7723.9049999999997</v>
          </cell>
          <cell r="M18">
            <v>1758.75</v>
          </cell>
          <cell r="N18">
            <v>-2520</v>
          </cell>
          <cell r="O18">
            <v>0</v>
          </cell>
          <cell r="P18">
            <v>2475.0020000000004</v>
          </cell>
          <cell r="Q18">
            <v>1834.8500000000004</v>
          </cell>
          <cell r="R18">
            <v>-1957</v>
          </cell>
          <cell r="S18">
            <v>-690</v>
          </cell>
          <cell r="T18">
            <v>2416.2999999999997</v>
          </cell>
          <cell r="U18">
            <v>13500</v>
          </cell>
          <cell r="V18">
            <v>-230</v>
          </cell>
          <cell r="W18">
            <v>-1617.5</v>
          </cell>
          <cell r="X18">
            <v>-2420</v>
          </cell>
          <cell r="Y18">
            <v>0</v>
          </cell>
          <cell r="Z18">
            <v>3151.5</v>
          </cell>
          <cell r="AA18">
            <v>-3477.5</v>
          </cell>
          <cell r="AB18">
            <v>0</v>
          </cell>
          <cell r="AC18">
            <v>-346.875</v>
          </cell>
          <cell r="AD18">
            <v>6668.6799999999994</v>
          </cell>
          <cell r="AE18">
            <v>6948.125</v>
          </cell>
          <cell r="AF18">
            <v>4701.4758000000002</v>
          </cell>
          <cell r="AG18">
            <v>-3702.2399999999993</v>
          </cell>
          <cell r="AH18">
            <v>-3702.2399999999993</v>
          </cell>
        </row>
        <row r="20">
          <cell r="B20" t="str">
            <v>Growth Rate (historicals)</v>
          </cell>
          <cell r="C20">
            <v>5.1299999999999998E-2</v>
          </cell>
          <cell r="D20">
            <v>7.2000000000000008E-2</v>
          </cell>
          <cell r="E20">
            <v>9.9000000000000005E-2</v>
          </cell>
          <cell r="F20">
            <v>8.8000000000000009E-2</v>
          </cell>
          <cell r="G20">
            <v>8.6999999999999994E-2</v>
          </cell>
          <cell r="H20">
            <v>8.6999999999999994E-2</v>
          </cell>
          <cell r="I20">
            <v>8.8000000000000009E-2</v>
          </cell>
          <cell r="J20">
            <v>0.06</v>
          </cell>
          <cell r="K20">
            <v>6.6000000000000003E-2</v>
          </cell>
          <cell r="L20">
            <v>6.4000000000000001E-2</v>
          </cell>
          <cell r="M20">
            <v>5.0999999999999997E-2</v>
          </cell>
          <cell r="N20">
            <v>2.7000000000000003E-2</v>
          </cell>
          <cell r="O20">
            <v>-0.03</v>
          </cell>
          <cell r="P20">
            <v>-3.3000000000000002E-2</v>
          </cell>
          <cell r="Q20">
            <v>-7.2000000000000008E-2</v>
          </cell>
          <cell r="R20">
            <v>-5.7000000000000002E-2</v>
          </cell>
          <cell r="S20">
            <v>2.4E-2</v>
          </cell>
          <cell r="T20">
            <v>0.01</v>
          </cell>
          <cell r="U20">
            <v>9.0000000000000011E-3</v>
          </cell>
          <cell r="V20">
            <v>1.4999999999999999E-2</v>
          </cell>
          <cell r="W20">
            <v>-1.3000000000000001E-2</v>
          </cell>
          <cell r="X20">
            <v>2E-3</v>
          </cell>
          <cell r="Y20">
            <v>4.0000000000000001E-3</v>
          </cell>
          <cell r="Z20">
            <v>1E-3</v>
          </cell>
          <cell r="AA20">
            <v>3.0000000000000001E-3</v>
          </cell>
          <cell r="AB20">
            <v>5.0000000000000001E-3</v>
          </cell>
          <cell r="AC20">
            <v>1.6E-2</v>
          </cell>
          <cell r="AD20">
            <v>2.0577007716293005E-2</v>
          </cell>
          <cell r="AE20">
            <v>9.3881013044938122E-2</v>
          </cell>
          <cell r="AF20">
            <v>4.3881228979774978E-2</v>
          </cell>
          <cell r="AG20">
            <v>1.5136496968361168E-2</v>
          </cell>
        </row>
        <row r="21">
          <cell r="B21" t="str">
            <v>Forward 4Q Property NOI</v>
          </cell>
          <cell r="C21">
            <v>194343.31799999997</v>
          </cell>
          <cell r="D21">
            <v>217261.16800000001</v>
          </cell>
          <cell r="E21">
            <v>232600.60250000001</v>
          </cell>
          <cell r="F21">
            <v>236531.20000000001</v>
          </cell>
          <cell r="G21">
            <v>243003.198</v>
          </cell>
          <cell r="H21">
            <v>256746.6825</v>
          </cell>
          <cell r="I21">
            <v>258852.60800000001</v>
          </cell>
          <cell r="J21">
            <v>262863.04000000004</v>
          </cell>
          <cell r="K21">
            <v>272175.38400000002</v>
          </cell>
          <cell r="L21">
            <v>287560.79492000007</v>
          </cell>
          <cell r="M21">
            <v>291987.50624999998</v>
          </cell>
          <cell r="N21">
            <v>298084.696</v>
          </cell>
          <cell r="O21">
            <v>282382.52</v>
          </cell>
          <cell r="P21">
            <v>285554.13493399997</v>
          </cell>
          <cell r="Q21">
            <v>273848.02079999994</v>
          </cell>
          <cell r="R21">
            <v>279730.57699999999</v>
          </cell>
          <cell r="S21">
            <v>291903.48800000001</v>
          </cell>
          <cell r="T21">
            <v>286521.14299999998</v>
          </cell>
          <cell r="U21">
            <v>285821.44799999997</v>
          </cell>
          <cell r="V21">
            <v>276211.94999999995</v>
          </cell>
          <cell r="W21">
            <v>281510.65950000001</v>
          </cell>
          <cell r="X21">
            <v>279966.81599999999</v>
          </cell>
          <cell r="Y21">
            <v>274706.44799999997</v>
          </cell>
          <cell r="Z21">
            <v>287702.91549999994</v>
          </cell>
          <cell r="AA21">
            <v>274070.25149999995</v>
          </cell>
          <cell r="AB21">
            <v>281138.69999999995</v>
          </cell>
          <cell r="AC21">
            <v>276596.98300000001</v>
          </cell>
          <cell r="AD21">
            <v>293726.83912114525</v>
          </cell>
          <cell r="AE21">
            <v>303258.95774360094</v>
          </cell>
          <cell r="AF21">
            <v>307562.35481668683</v>
          </cell>
          <cell r="AG21">
            <v>292369.21885909844</v>
          </cell>
          <cell r="AH21">
            <v>297140.29518059414</v>
          </cell>
        </row>
        <row r="24">
          <cell r="A24" t="str">
            <v>Enterprise Value</v>
          </cell>
          <cell r="B24" t="str">
            <v>4Q03A</v>
          </cell>
          <cell r="C24">
            <v>30.34</v>
          </cell>
        </row>
        <row r="25">
          <cell r="A25" t="str">
            <v>1Q04A</v>
          </cell>
          <cell r="B25" t="str">
            <v>1Q04A</v>
          </cell>
          <cell r="C25">
            <v>578350</v>
          </cell>
          <cell r="D25">
            <v>745792</v>
          </cell>
          <cell r="E25">
            <v>819037</v>
          </cell>
          <cell r="F25">
            <v>840477</v>
          </cell>
          <cell r="G25">
            <v>870309</v>
          </cell>
          <cell r="H25">
            <v>968791</v>
          </cell>
          <cell r="I25">
            <v>977088</v>
          </cell>
          <cell r="J25">
            <v>1029656</v>
          </cell>
          <cell r="K25">
            <v>1083100</v>
          </cell>
          <cell r="L25">
            <v>1120330</v>
          </cell>
          <cell r="M25">
            <v>1155531</v>
          </cell>
          <cell r="N25">
            <v>1177769</v>
          </cell>
          <cell r="O25">
            <v>1212139</v>
          </cell>
          <cell r="P25">
            <v>1216566</v>
          </cell>
          <cell r="Q25">
            <v>1236005</v>
          </cell>
          <cell r="R25">
            <v>1251483</v>
          </cell>
          <cell r="S25">
            <v>1233857</v>
          </cell>
          <cell r="T25">
            <v>1233303</v>
          </cell>
          <cell r="U25">
            <v>1368950</v>
          </cell>
          <cell r="V25">
            <v>1402304</v>
          </cell>
          <cell r="W25">
            <v>1388651</v>
          </cell>
          <cell r="X25">
            <v>1349819</v>
          </cell>
          <cell r="Y25">
            <v>1340262</v>
          </cell>
          <cell r="Z25">
            <v>1349781</v>
          </cell>
          <cell r="AA25">
            <v>1285382</v>
          </cell>
          <cell r="AB25">
            <v>1290981</v>
          </cell>
          <cell r="AC25">
            <v>1343795</v>
          </cell>
          <cell r="AD25">
            <v>1326084</v>
          </cell>
          <cell r="AE25">
            <v>1550365</v>
          </cell>
          <cell r="AF25">
            <v>1643916</v>
          </cell>
          <cell r="AG25">
            <v>1600531</v>
          </cell>
          <cell r="AH25">
            <v>1600531</v>
          </cell>
        </row>
        <row r="26">
          <cell r="A26" t="str">
            <v>2Q04A</v>
          </cell>
          <cell r="B26" t="str">
            <v>2Q04A</v>
          </cell>
          <cell r="C26">
            <v>0</v>
          </cell>
          <cell r="D26">
            <v>0</v>
          </cell>
          <cell r="E26">
            <v>0</v>
          </cell>
          <cell r="F26">
            <v>0</v>
          </cell>
          <cell r="G26">
            <v>0</v>
          </cell>
          <cell r="H26">
            <v>0</v>
          </cell>
          <cell r="I26">
            <v>50000</v>
          </cell>
          <cell r="J26">
            <v>50000</v>
          </cell>
          <cell r="K26">
            <v>50000</v>
          </cell>
          <cell r="L26">
            <v>50000</v>
          </cell>
          <cell r="M26">
            <v>50000</v>
          </cell>
          <cell r="N26">
            <v>50000</v>
          </cell>
          <cell r="O26">
            <v>50000</v>
          </cell>
          <cell r="P26">
            <v>50000</v>
          </cell>
          <cell r="Q26">
            <v>50000</v>
          </cell>
          <cell r="R26">
            <v>50000</v>
          </cell>
          <cell r="S26">
            <v>50000</v>
          </cell>
          <cell r="T26">
            <v>50000</v>
          </cell>
          <cell r="U26">
            <v>50000</v>
          </cell>
          <cell r="V26">
            <v>50000</v>
          </cell>
          <cell r="W26">
            <v>50000</v>
          </cell>
          <cell r="X26">
            <v>50000</v>
          </cell>
          <cell r="Y26">
            <v>50000</v>
          </cell>
          <cell r="Z26">
            <v>50000</v>
          </cell>
          <cell r="AA26">
            <v>50000</v>
          </cell>
          <cell r="AB26">
            <v>50000</v>
          </cell>
          <cell r="AC26">
            <v>0</v>
          </cell>
          <cell r="AD26">
            <v>0</v>
          </cell>
          <cell r="AE26">
            <v>0</v>
          </cell>
          <cell r="AF26">
            <v>0</v>
          </cell>
          <cell r="AG26">
            <v>0</v>
          </cell>
          <cell r="AH26">
            <v>0</v>
          </cell>
        </row>
        <row r="27">
          <cell r="A27" t="str">
            <v>3Q04A</v>
          </cell>
          <cell r="B27" t="str">
            <v>3Q04A</v>
          </cell>
          <cell r="C27">
            <v>-973</v>
          </cell>
          <cell r="D27">
            <v>-10598</v>
          </cell>
          <cell r="E27">
            <v>-9922</v>
          </cell>
          <cell r="F27">
            <v>-19215</v>
          </cell>
          <cell r="G27">
            <v>-16845</v>
          </cell>
          <cell r="H27">
            <v>-22558</v>
          </cell>
          <cell r="I27">
            <v>-34304</v>
          </cell>
          <cell r="J27">
            <v>-33257</v>
          </cell>
          <cell r="K27">
            <v>-2007</v>
          </cell>
          <cell r="L27">
            <v>-4049</v>
          </cell>
          <cell r="M27">
            <v>2390</v>
          </cell>
          <cell r="N27">
            <v>-1892</v>
          </cell>
          <cell r="O27">
            <v>-3564</v>
          </cell>
          <cell r="P27">
            <v>-8458</v>
          </cell>
          <cell r="Q27">
            <v>-13676</v>
          </cell>
          <cell r="R27">
            <v>-31790</v>
          </cell>
          <cell r="S27">
            <v>-623</v>
          </cell>
          <cell r="T27">
            <v>-9395</v>
          </cell>
          <cell r="U27">
            <v>11986</v>
          </cell>
          <cell r="V27">
            <v>17225</v>
          </cell>
          <cell r="W27">
            <v>-103396</v>
          </cell>
          <cell r="X27">
            <v>-68125</v>
          </cell>
          <cell r="Y27">
            <v>-64115</v>
          </cell>
          <cell r="Z27">
            <v>-47612</v>
          </cell>
          <cell r="AA27">
            <v>3589</v>
          </cell>
          <cell r="AB27">
            <v>-8013</v>
          </cell>
          <cell r="AC27">
            <v>-82901</v>
          </cell>
          <cell r="AD27">
            <v>-15807</v>
          </cell>
          <cell r="AE27">
            <v>-125952</v>
          </cell>
          <cell r="AF27">
            <v>-76328</v>
          </cell>
          <cell r="AG27">
            <v>21560</v>
          </cell>
          <cell r="AH27">
            <v>21560</v>
          </cell>
        </row>
        <row r="28">
          <cell r="A28" t="str">
            <v>4Q04A</v>
          </cell>
          <cell r="B28" t="str">
            <v>4Q04A</v>
          </cell>
          <cell r="C28">
            <v>577377</v>
          </cell>
          <cell r="D28">
            <v>735194</v>
          </cell>
          <cell r="E28">
            <v>809115</v>
          </cell>
          <cell r="F28">
            <v>821262</v>
          </cell>
          <cell r="G28">
            <v>853464</v>
          </cell>
          <cell r="H28">
            <v>946233</v>
          </cell>
          <cell r="I28">
            <v>992784</v>
          </cell>
          <cell r="J28">
            <v>1046399</v>
          </cell>
          <cell r="K28">
            <v>1131093</v>
          </cell>
          <cell r="L28">
            <v>1166281</v>
          </cell>
          <cell r="M28">
            <v>1207921</v>
          </cell>
          <cell r="N28">
            <v>1225877</v>
          </cell>
          <cell r="O28">
            <v>1258575</v>
          </cell>
          <cell r="P28">
            <v>1258108</v>
          </cell>
          <cell r="Q28">
            <v>1272329</v>
          </cell>
          <cell r="R28">
            <v>1269693</v>
          </cell>
          <cell r="S28">
            <v>1283234</v>
          </cell>
          <cell r="T28">
            <v>1273908</v>
          </cell>
          <cell r="U28">
            <v>1430936</v>
          </cell>
          <cell r="V28">
            <v>1469529</v>
          </cell>
          <cell r="W28">
            <v>1335255</v>
          </cell>
          <cell r="X28">
            <v>1331694</v>
          </cell>
          <cell r="Y28">
            <v>1326147</v>
          </cell>
          <cell r="Z28">
            <v>1352169</v>
          </cell>
          <cell r="AA28">
            <v>1338971</v>
          </cell>
          <cell r="AB28">
            <v>1332968</v>
          </cell>
          <cell r="AC28">
            <v>1260894</v>
          </cell>
          <cell r="AD28">
            <v>1310277</v>
          </cell>
          <cell r="AE28">
            <v>1424413</v>
          </cell>
          <cell r="AF28">
            <v>1567588</v>
          </cell>
          <cell r="AG28">
            <v>1622091</v>
          </cell>
          <cell r="AH28">
            <v>1622091</v>
          </cell>
        </row>
        <row r="29">
          <cell r="A29" t="str">
            <v>1Q05A</v>
          </cell>
          <cell r="B29" t="str">
            <v>1Q05A</v>
          </cell>
          <cell r="C29">
            <v>33.85</v>
          </cell>
        </row>
        <row r="30">
          <cell r="A30" t="str">
            <v>2Q05A</v>
          </cell>
          <cell r="B30" t="str">
            <v>2Q05A</v>
          </cell>
          <cell r="C30">
            <v>35.980000000000004</v>
          </cell>
        </row>
        <row r="31">
          <cell r="A31" t="str">
            <v>3Q05A</v>
          </cell>
          <cell r="B31" t="str">
            <v>3Q05A</v>
          </cell>
          <cell r="C31">
            <v>28.5</v>
          </cell>
          <cell r="D31">
            <v>25.875</v>
          </cell>
          <cell r="E31">
            <v>22.3125</v>
          </cell>
          <cell r="F31">
            <v>23.1875</v>
          </cell>
          <cell r="G31">
            <v>22.25</v>
          </cell>
          <cell r="H31">
            <v>24.625</v>
          </cell>
          <cell r="I31">
            <v>21.75</v>
          </cell>
          <cell r="J31">
            <v>20.0625</v>
          </cell>
          <cell r="K31">
            <v>20.875</v>
          </cell>
          <cell r="L31">
            <v>23.5</v>
          </cell>
          <cell r="M31">
            <v>26.8125</v>
          </cell>
          <cell r="N31">
            <v>25.125</v>
          </cell>
          <cell r="O31">
            <v>23.6</v>
          </cell>
          <cell r="P31">
            <v>26.700000000000003</v>
          </cell>
          <cell r="Q31">
            <v>25.57</v>
          </cell>
          <cell r="R31">
            <v>26.5</v>
          </cell>
          <cell r="S31">
            <v>28.400000000000002</v>
          </cell>
          <cell r="T31">
            <v>28.45</v>
          </cell>
          <cell r="U31">
            <v>23.650000000000002</v>
          </cell>
          <cell r="V31">
            <v>22.150000000000002</v>
          </cell>
          <cell r="W31">
            <v>22.68</v>
          </cell>
          <cell r="X31">
            <v>25.95</v>
          </cell>
          <cell r="Y31">
            <v>27.92</v>
          </cell>
          <cell r="Z31">
            <v>30.34</v>
          </cell>
          <cell r="AA31">
            <v>32.33</v>
          </cell>
          <cell r="AB31">
            <v>29.41</v>
          </cell>
          <cell r="AC31">
            <v>32.58</v>
          </cell>
          <cell r="AD31">
            <v>37.72</v>
          </cell>
          <cell r="AE31">
            <v>33.85</v>
          </cell>
          <cell r="AF31">
            <v>35.980000000000004</v>
          </cell>
          <cell r="AG31">
            <v>41.17</v>
          </cell>
          <cell r="AH31">
            <v>45.71</v>
          </cell>
        </row>
        <row r="32">
          <cell r="A32" t="str">
            <v>Current</v>
          </cell>
          <cell r="B32" t="str">
            <v>Current</v>
          </cell>
          <cell r="C32">
            <v>58327</v>
          </cell>
          <cell r="D32">
            <v>65449</v>
          </cell>
          <cell r="E32">
            <v>65564</v>
          </cell>
          <cell r="F32">
            <v>65509</v>
          </cell>
          <cell r="G32">
            <v>65509</v>
          </cell>
          <cell r="H32">
            <v>65509</v>
          </cell>
          <cell r="I32">
            <v>65509</v>
          </cell>
          <cell r="J32">
            <v>65509</v>
          </cell>
          <cell r="K32">
            <v>65466</v>
          </cell>
          <cell r="L32">
            <v>65466</v>
          </cell>
          <cell r="M32">
            <v>65681</v>
          </cell>
          <cell r="N32">
            <v>65821</v>
          </cell>
          <cell r="O32">
            <v>65821</v>
          </cell>
          <cell r="P32">
            <v>65826</v>
          </cell>
          <cell r="Q32">
            <v>65921</v>
          </cell>
          <cell r="R32">
            <v>65937</v>
          </cell>
          <cell r="S32">
            <v>66154</v>
          </cell>
          <cell r="T32">
            <v>66381</v>
          </cell>
          <cell r="U32">
            <v>66220</v>
          </cell>
          <cell r="V32">
            <v>64701</v>
          </cell>
          <cell r="W32">
            <v>64784</v>
          </cell>
          <cell r="X32">
            <v>65031</v>
          </cell>
          <cell r="Y32">
            <v>65902</v>
          </cell>
          <cell r="Z32">
            <v>66544</v>
          </cell>
          <cell r="AA32">
            <v>67177</v>
          </cell>
          <cell r="AB32">
            <v>67180</v>
          </cell>
          <cell r="AC32">
            <v>67253</v>
          </cell>
          <cell r="AD32">
            <v>67998</v>
          </cell>
          <cell r="AE32">
            <v>68417</v>
          </cell>
          <cell r="AF32">
            <v>68723</v>
          </cell>
          <cell r="AG32">
            <v>68718</v>
          </cell>
          <cell r="AH32">
            <v>68718</v>
          </cell>
        </row>
        <row r="33">
          <cell r="B33" t="str">
            <v>Equity Value</v>
          </cell>
          <cell r="C33">
            <v>1662319.5</v>
          </cell>
          <cell r="D33">
            <v>1693492.875</v>
          </cell>
          <cell r="E33">
            <v>1462896.75</v>
          </cell>
          <cell r="F33">
            <v>1518989.9375</v>
          </cell>
          <cell r="G33">
            <v>1457575.25</v>
          </cell>
          <cell r="H33">
            <v>1613159.125</v>
          </cell>
          <cell r="I33">
            <v>1424820.75</v>
          </cell>
          <cell r="J33">
            <v>1314274.3125</v>
          </cell>
          <cell r="K33">
            <v>1366602.75</v>
          </cell>
          <cell r="L33">
            <v>1538451</v>
          </cell>
          <cell r="M33">
            <v>1761071.8125</v>
          </cell>
          <cell r="N33">
            <v>1653752.625</v>
          </cell>
          <cell r="O33">
            <v>1553375.6</v>
          </cell>
          <cell r="P33">
            <v>1757554.2000000002</v>
          </cell>
          <cell r="Q33">
            <v>1685599.97</v>
          </cell>
          <cell r="R33">
            <v>1747330.5</v>
          </cell>
          <cell r="S33">
            <v>1878773.6</v>
          </cell>
          <cell r="T33">
            <v>1888539.45</v>
          </cell>
          <cell r="U33">
            <v>1566103.0000000002</v>
          </cell>
          <cell r="V33">
            <v>1433127.1500000001</v>
          </cell>
          <cell r="W33">
            <v>1469301.1199999999</v>
          </cell>
          <cell r="X33">
            <v>1687554.45</v>
          </cell>
          <cell r="Y33">
            <v>1839983.84</v>
          </cell>
          <cell r="Z33">
            <v>2018944.96</v>
          </cell>
          <cell r="AA33">
            <v>2171832.4099999997</v>
          </cell>
          <cell r="AB33">
            <v>1975763.8</v>
          </cell>
          <cell r="AC33">
            <v>2191102.7399999998</v>
          </cell>
          <cell r="AD33">
            <v>2564884.56</v>
          </cell>
          <cell r="AE33">
            <v>2315915.4500000002</v>
          </cell>
          <cell r="AF33">
            <v>2472653.5400000005</v>
          </cell>
          <cell r="AG33">
            <v>2829120.06</v>
          </cell>
          <cell r="AH33">
            <v>3141099.7800000003</v>
          </cell>
        </row>
        <row r="35">
          <cell r="B35" t="str">
            <v>Subtotal Implied Ent. Val.</v>
          </cell>
          <cell r="C35">
            <v>2239696.5</v>
          </cell>
          <cell r="D35">
            <v>2428686.875</v>
          </cell>
          <cell r="E35">
            <v>2272011.75</v>
          </cell>
          <cell r="F35">
            <v>2340251.9375</v>
          </cell>
          <cell r="G35">
            <v>2311039.25</v>
          </cell>
          <cell r="H35">
            <v>2559392.125</v>
          </cell>
          <cell r="I35">
            <v>2417604.75</v>
          </cell>
          <cell r="J35">
            <v>2360673.3125</v>
          </cell>
          <cell r="K35">
            <v>2497695.75</v>
          </cell>
          <cell r="L35">
            <v>2704732</v>
          </cell>
          <cell r="M35">
            <v>2968992.8125</v>
          </cell>
          <cell r="N35">
            <v>2879629.625</v>
          </cell>
          <cell r="O35">
            <v>2811950.6</v>
          </cell>
          <cell r="P35">
            <v>3015662.2</v>
          </cell>
          <cell r="Q35">
            <v>2957928.9699999997</v>
          </cell>
          <cell r="R35">
            <v>3017023.5</v>
          </cell>
          <cell r="S35">
            <v>3162007.6</v>
          </cell>
          <cell r="T35">
            <v>3162447.45</v>
          </cell>
          <cell r="U35">
            <v>2997039</v>
          </cell>
          <cell r="V35">
            <v>2902656.1500000004</v>
          </cell>
          <cell r="W35">
            <v>2804556.12</v>
          </cell>
          <cell r="X35">
            <v>3019248.45</v>
          </cell>
          <cell r="Y35">
            <v>3166130.84</v>
          </cell>
          <cell r="Z35">
            <v>3371113.96</v>
          </cell>
          <cell r="AA35">
            <v>3510803.4099999997</v>
          </cell>
          <cell r="AB35">
            <v>3308731.8</v>
          </cell>
          <cell r="AC35">
            <v>3451996.7399999998</v>
          </cell>
          <cell r="AD35">
            <v>3875161.56</v>
          </cell>
          <cell r="AE35">
            <v>3740328.45</v>
          </cell>
          <cell r="AF35">
            <v>4040241.5400000005</v>
          </cell>
          <cell r="AG35">
            <v>4451211.0600000005</v>
          </cell>
          <cell r="AH35">
            <v>4763190.78</v>
          </cell>
        </row>
        <row r="37">
          <cell r="A37" t="str">
            <v>Adjustments to NOI/EV</v>
          </cell>
        </row>
        <row r="38">
          <cell r="B38" t="str">
            <v>BV Properties Under Development</v>
          </cell>
          <cell r="C38">
            <v>0</v>
          </cell>
          <cell r="D38">
            <v>0</v>
          </cell>
          <cell r="E38">
            <v>0</v>
          </cell>
          <cell r="F38">
            <v>0</v>
          </cell>
          <cell r="G38">
            <v>0</v>
          </cell>
          <cell r="H38">
            <v>177696</v>
          </cell>
          <cell r="I38">
            <v>170413</v>
          </cell>
          <cell r="J38">
            <v>183349</v>
          </cell>
          <cell r="K38">
            <v>210514</v>
          </cell>
          <cell r="L38">
            <v>220116</v>
          </cell>
          <cell r="M38">
            <v>104253</v>
          </cell>
          <cell r="N38">
            <v>93384</v>
          </cell>
          <cell r="O38">
            <v>117626</v>
          </cell>
          <cell r="P38">
            <v>138071</v>
          </cell>
          <cell r="Q38">
            <v>160616</v>
          </cell>
          <cell r="R38">
            <v>133012</v>
          </cell>
          <cell r="S38">
            <v>125854</v>
          </cell>
          <cell r="T38">
            <v>131187</v>
          </cell>
          <cell r="U38">
            <v>137605</v>
          </cell>
          <cell r="V38">
            <v>65296</v>
          </cell>
          <cell r="W38">
            <v>66915</v>
          </cell>
          <cell r="X38">
            <v>69286</v>
          </cell>
          <cell r="Y38">
            <v>71659</v>
          </cell>
          <cell r="Z38">
            <v>75627</v>
          </cell>
          <cell r="AA38">
            <v>77778</v>
          </cell>
          <cell r="AB38">
            <v>8769</v>
          </cell>
          <cell r="AC38">
            <v>10829</v>
          </cell>
          <cell r="AD38">
            <v>16295</v>
          </cell>
          <cell r="AE38">
            <v>0</v>
          </cell>
          <cell r="AF38">
            <v>0</v>
          </cell>
          <cell r="AG38">
            <v>0</v>
          </cell>
          <cell r="AH38">
            <v>0</v>
          </cell>
        </row>
        <row r="39">
          <cell r="B39" t="str">
            <v>Premium</v>
          </cell>
          <cell r="C39">
            <v>0.15</v>
          </cell>
          <cell r="D39">
            <v>0.15</v>
          </cell>
          <cell r="E39">
            <v>0.15</v>
          </cell>
          <cell r="F39">
            <v>0.15</v>
          </cell>
          <cell r="G39">
            <v>0.15</v>
          </cell>
          <cell r="H39">
            <v>0.15</v>
          </cell>
          <cell r="I39">
            <v>0.15</v>
          </cell>
          <cell r="J39">
            <v>0.15</v>
          </cell>
          <cell r="K39">
            <v>0.15</v>
          </cell>
          <cell r="L39">
            <v>0.15</v>
          </cell>
          <cell r="M39">
            <v>0.15</v>
          </cell>
          <cell r="N39">
            <v>0.15</v>
          </cell>
          <cell r="O39">
            <v>0.15</v>
          </cell>
          <cell r="P39">
            <v>0.15</v>
          </cell>
          <cell r="Q39">
            <v>0.15</v>
          </cell>
          <cell r="R39">
            <v>0.15</v>
          </cell>
          <cell r="S39">
            <v>0.15</v>
          </cell>
          <cell r="T39">
            <v>0.15</v>
          </cell>
          <cell r="U39">
            <v>0.15</v>
          </cell>
          <cell r="V39">
            <v>0.15</v>
          </cell>
          <cell r="W39">
            <v>0.15</v>
          </cell>
          <cell r="X39">
            <v>0.15</v>
          </cell>
          <cell r="Y39">
            <v>0.15</v>
          </cell>
          <cell r="Z39">
            <v>0.15</v>
          </cell>
          <cell r="AA39">
            <v>0.15</v>
          </cell>
          <cell r="AB39">
            <v>0.15</v>
          </cell>
          <cell r="AC39">
            <v>0.15</v>
          </cell>
          <cell r="AD39">
            <v>0.15</v>
          </cell>
          <cell r="AE39">
            <v>0.15</v>
          </cell>
          <cell r="AF39">
            <v>0.15</v>
          </cell>
          <cell r="AG39">
            <v>0.15</v>
          </cell>
          <cell r="AH39">
            <v>0.15</v>
          </cell>
        </row>
        <row r="40">
          <cell r="B40" t="str">
            <v>Value of Prop Under Development</v>
          </cell>
          <cell r="C40">
            <v>0</v>
          </cell>
          <cell r="D40">
            <v>0</v>
          </cell>
          <cell r="E40">
            <v>0</v>
          </cell>
          <cell r="F40">
            <v>0</v>
          </cell>
          <cell r="G40">
            <v>0</v>
          </cell>
          <cell r="H40">
            <v>204350.4</v>
          </cell>
          <cell r="I40">
            <v>195974.94999999998</v>
          </cell>
          <cell r="J40">
            <v>210851.34999999998</v>
          </cell>
          <cell r="K40">
            <v>242091.09999999998</v>
          </cell>
          <cell r="L40">
            <v>253133.4</v>
          </cell>
          <cell r="M40">
            <v>119890.95</v>
          </cell>
          <cell r="N40">
            <v>107391.59999999999</v>
          </cell>
          <cell r="O40">
            <v>135269.9</v>
          </cell>
          <cell r="P40">
            <v>158781.65</v>
          </cell>
          <cell r="Q40">
            <v>184708.4</v>
          </cell>
          <cell r="R40">
            <v>152963.79999999999</v>
          </cell>
          <cell r="S40">
            <v>144732.09999999998</v>
          </cell>
          <cell r="T40">
            <v>150865.04999999999</v>
          </cell>
          <cell r="U40">
            <v>158245.75</v>
          </cell>
          <cell r="V40">
            <v>75090.399999999994</v>
          </cell>
          <cell r="W40">
            <v>76952.25</v>
          </cell>
          <cell r="X40">
            <v>79678.899999999994</v>
          </cell>
          <cell r="Y40">
            <v>82407.849999999991</v>
          </cell>
          <cell r="Z40">
            <v>86971.049999999988</v>
          </cell>
          <cell r="AA40">
            <v>89444.7</v>
          </cell>
          <cell r="AB40">
            <v>10084.349999999999</v>
          </cell>
          <cell r="AC40">
            <v>12453.349999999999</v>
          </cell>
          <cell r="AD40">
            <v>18739.25</v>
          </cell>
          <cell r="AE40">
            <v>0</v>
          </cell>
          <cell r="AF40">
            <v>0</v>
          </cell>
          <cell r="AG40">
            <v>0</v>
          </cell>
          <cell r="AH40">
            <v>0</v>
          </cell>
        </row>
        <row r="41">
          <cell r="B41" t="str">
            <v>Land Value</v>
          </cell>
          <cell r="C41">
            <v>0</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19859</v>
          </cell>
          <cell r="T41">
            <v>20365</v>
          </cell>
          <cell r="U41">
            <v>23765</v>
          </cell>
          <cell r="V41">
            <v>23731</v>
          </cell>
          <cell r="W41">
            <v>23765</v>
          </cell>
          <cell r="X41">
            <v>23789</v>
          </cell>
          <cell r="Y41">
            <v>23701</v>
          </cell>
          <cell r="Z41">
            <v>23723</v>
          </cell>
          <cell r="AA41">
            <v>23731</v>
          </cell>
          <cell r="AB41">
            <v>23749</v>
          </cell>
          <cell r="AC41">
            <v>23829</v>
          </cell>
          <cell r="AD41">
            <v>23795</v>
          </cell>
          <cell r="AE41">
            <v>23795</v>
          </cell>
          <cell r="AF41">
            <v>23795</v>
          </cell>
          <cell r="AG41">
            <v>24355</v>
          </cell>
          <cell r="AH41">
            <v>24355</v>
          </cell>
        </row>
        <row r="43">
          <cell r="B43" t="str">
            <v>Other Income</v>
          </cell>
          <cell r="C43">
            <v>5832</v>
          </cell>
          <cell r="D43">
            <v>-2780</v>
          </cell>
          <cell r="E43">
            <v>2720</v>
          </cell>
          <cell r="F43">
            <v>2728</v>
          </cell>
          <cell r="G43">
            <v>2680</v>
          </cell>
          <cell r="H43">
            <v>2684</v>
          </cell>
          <cell r="I43">
            <v>3004</v>
          </cell>
          <cell r="J43">
            <v>2920</v>
          </cell>
          <cell r="K43">
            <v>3420</v>
          </cell>
          <cell r="L43">
            <v>3080</v>
          </cell>
          <cell r="M43">
            <v>3792</v>
          </cell>
          <cell r="N43">
            <v>3816</v>
          </cell>
          <cell r="O43">
            <v>3444</v>
          </cell>
          <cell r="P43">
            <v>3056</v>
          </cell>
          <cell r="Q43">
            <v>2824</v>
          </cell>
          <cell r="R43">
            <v>2440</v>
          </cell>
          <cell r="S43">
            <v>2160</v>
          </cell>
          <cell r="T43">
            <v>2048</v>
          </cell>
          <cell r="U43">
            <v>2096</v>
          </cell>
          <cell r="V43">
            <v>3864</v>
          </cell>
          <cell r="W43">
            <v>528</v>
          </cell>
          <cell r="X43">
            <v>1512</v>
          </cell>
          <cell r="Y43">
            <v>484</v>
          </cell>
          <cell r="Z43">
            <v>412</v>
          </cell>
          <cell r="AA43">
            <v>3064</v>
          </cell>
          <cell r="AB43">
            <v>-1740</v>
          </cell>
          <cell r="AC43">
            <v>-712</v>
          </cell>
          <cell r="AD43">
            <v>-2640</v>
          </cell>
          <cell r="AE43">
            <v>-3232</v>
          </cell>
          <cell r="AF43">
            <v>-3572</v>
          </cell>
          <cell r="AG43">
            <v>-2268</v>
          </cell>
          <cell r="AH43">
            <v>-2268</v>
          </cell>
        </row>
        <row r="44">
          <cell r="B44" t="str">
            <v>Other Income Multiple</v>
          </cell>
          <cell r="C44">
            <v>5</v>
          </cell>
          <cell r="D44">
            <v>5</v>
          </cell>
          <cell r="E44">
            <v>5</v>
          </cell>
          <cell r="F44">
            <v>5</v>
          </cell>
          <cell r="G44">
            <v>5</v>
          </cell>
          <cell r="H44">
            <v>5</v>
          </cell>
          <cell r="I44">
            <v>5</v>
          </cell>
          <cell r="J44">
            <v>5</v>
          </cell>
          <cell r="K44">
            <v>5</v>
          </cell>
          <cell r="L44">
            <v>5</v>
          </cell>
          <cell r="M44">
            <v>5</v>
          </cell>
          <cell r="N44">
            <v>5</v>
          </cell>
          <cell r="O44">
            <v>5</v>
          </cell>
          <cell r="P44">
            <v>5</v>
          </cell>
          <cell r="Q44">
            <v>5</v>
          </cell>
          <cell r="R44">
            <v>5</v>
          </cell>
          <cell r="S44">
            <v>5</v>
          </cell>
          <cell r="T44">
            <v>5</v>
          </cell>
          <cell r="U44">
            <v>5</v>
          </cell>
          <cell r="V44">
            <v>5</v>
          </cell>
          <cell r="W44">
            <v>5</v>
          </cell>
          <cell r="X44">
            <v>5</v>
          </cell>
          <cell r="Y44">
            <v>5</v>
          </cell>
          <cell r="Z44">
            <v>5</v>
          </cell>
          <cell r="AA44">
            <v>5</v>
          </cell>
          <cell r="AB44">
            <v>5</v>
          </cell>
          <cell r="AC44">
            <v>5</v>
          </cell>
          <cell r="AD44">
            <v>5</v>
          </cell>
          <cell r="AE44">
            <v>5</v>
          </cell>
          <cell r="AF44">
            <v>5</v>
          </cell>
          <cell r="AG44">
            <v>5</v>
          </cell>
          <cell r="AH44">
            <v>5</v>
          </cell>
        </row>
        <row r="45">
          <cell r="B45" t="str">
            <v>Other Income Value</v>
          </cell>
          <cell r="C45">
            <v>29160</v>
          </cell>
          <cell r="D45">
            <v>-13900</v>
          </cell>
          <cell r="E45">
            <v>13600</v>
          </cell>
          <cell r="F45">
            <v>13640</v>
          </cell>
          <cell r="G45">
            <v>13400</v>
          </cell>
          <cell r="H45">
            <v>13420</v>
          </cell>
          <cell r="I45">
            <v>15020</v>
          </cell>
          <cell r="J45">
            <v>14600</v>
          </cell>
          <cell r="K45">
            <v>17100</v>
          </cell>
          <cell r="L45">
            <v>15400</v>
          </cell>
          <cell r="M45">
            <v>18960</v>
          </cell>
          <cell r="N45">
            <v>19080</v>
          </cell>
          <cell r="O45">
            <v>17220</v>
          </cell>
          <cell r="P45">
            <v>15280</v>
          </cell>
          <cell r="Q45">
            <v>14120</v>
          </cell>
          <cell r="R45">
            <v>12200</v>
          </cell>
          <cell r="S45">
            <v>10800</v>
          </cell>
          <cell r="T45">
            <v>10240</v>
          </cell>
          <cell r="U45">
            <v>10480</v>
          </cell>
          <cell r="V45">
            <v>19320</v>
          </cell>
          <cell r="W45">
            <v>2640</v>
          </cell>
          <cell r="X45">
            <v>7560</v>
          </cell>
          <cell r="Y45">
            <v>2420</v>
          </cell>
          <cell r="Z45">
            <v>2060</v>
          </cell>
          <cell r="AA45">
            <v>15320</v>
          </cell>
          <cell r="AB45">
            <v>-8700</v>
          </cell>
          <cell r="AC45">
            <v>-3560</v>
          </cell>
          <cell r="AD45">
            <v>-13200</v>
          </cell>
          <cell r="AE45">
            <v>-16160</v>
          </cell>
          <cell r="AF45">
            <v>-17860</v>
          </cell>
          <cell r="AG45">
            <v>-11340</v>
          </cell>
          <cell r="AH45">
            <v>-11340</v>
          </cell>
        </row>
        <row r="47">
          <cell r="B47" t="str">
            <v>Non-Office NOI</v>
          </cell>
          <cell r="C47">
            <v>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8">
          <cell r="B48" t="str">
            <v>Non-Office Cap Rate</v>
          </cell>
          <cell r="C48">
            <v>8.7499999999999994E-2</v>
          </cell>
          <cell r="D48">
            <v>8.7499999999999994E-2</v>
          </cell>
          <cell r="E48">
            <v>8.7499999999999994E-2</v>
          </cell>
          <cell r="F48">
            <v>8.7499999999999994E-2</v>
          </cell>
          <cell r="G48">
            <v>8.7499999999999994E-2</v>
          </cell>
          <cell r="H48">
            <v>8.7499999999999994E-2</v>
          </cell>
          <cell r="I48">
            <v>8.7499999999999994E-2</v>
          </cell>
          <cell r="J48">
            <v>8.7499999999999994E-2</v>
          </cell>
          <cell r="K48">
            <v>8.7499999999999994E-2</v>
          </cell>
          <cell r="L48">
            <v>8.7499999999999994E-2</v>
          </cell>
          <cell r="M48">
            <v>8.7499999999999994E-2</v>
          </cell>
          <cell r="N48">
            <v>8.7499999999999994E-2</v>
          </cell>
          <cell r="O48">
            <v>8.7499999999999994E-2</v>
          </cell>
          <cell r="P48">
            <v>8.7499999999999994E-2</v>
          </cell>
          <cell r="Q48">
            <v>8.7499999999999994E-2</v>
          </cell>
          <cell r="R48">
            <v>8.7499999999999994E-2</v>
          </cell>
          <cell r="S48">
            <v>8.7499999999999994E-2</v>
          </cell>
          <cell r="T48">
            <v>8.7499999999999994E-2</v>
          </cell>
          <cell r="U48">
            <v>8.7499999999999994E-2</v>
          </cell>
          <cell r="V48">
            <v>8.7499999999999994E-2</v>
          </cell>
          <cell r="W48">
            <v>8.7499999999999994E-2</v>
          </cell>
          <cell r="X48">
            <v>8.7499999999999994E-2</v>
          </cell>
          <cell r="Y48">
            <v>8.7499999999999994E-2</v>
          </cell>
          <cell r="Z48">
            <v>8.7499999999999994E-2</v>
          </cell>
          <cell r="AA48">
            <v>8.7499999999999994E-2</v>
          </cell>
          <cell r="AB48">
            <v>8.7499999999999994E-2</v>
          </cell>
          <cell r="AC48">
            <v>8.7499999999999994E-2</v>
          </cell>
          <cell r="AD48">
            <v>8.7499999999999994E-2</v>
          </cell>
          <cell r="AE48">
            <v>8.7499999999999994E-2</v>
          </cell>
          <cell r="AF48">
            <v>8.7499999999999994E-2</v>
          </cell>
          <cell r="AG48">
            <v>8.7499999999999994E-2</v>
          </cell>
          <cell r="AH48">
            <v>8.7499999999999994E-2</v>
          </cell>
        </row>
        <row r="49">
          <cell r="B49" t="str">
            <v>Non-Office Value</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1">
          <cell r="B51" t="str">
            <v>Subtotal NOI Adjustments</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B52" t="str">
            <v>Subtotal EV Adjustments</v>
          </cell>
          <cell r="C52">
            <v>29160</v>
          </cell>
          <cell r="D52">
            <v>-13900</v>
          </cell>
          <cell r="E52">
            <v>13600</v>
          </cell>
          <cell r="F52">
            <v>13640</v>
          </cell>
          <cell r="G52">
            <v>13400</v>
          </cell>
          <cell r="H52">
            <v>217770.4</v>
          </cell>
          <cell r="I52">
            <v>210994.94999999998</v>
          </cell>
          <cell r="J52">
            <v>225451.34999999998</v>
          </cell>
          <cell r="K52">
            <v>259191.09999999998</v>
          </cell>
          <cell r="L52">
            <v>268533.40000000002</v>
          </cell>
          <cell r="M52">
            <v>138850.95000000001</v>
          </cell>
          <cell r="N52">
            <v>126471.59999999999</v>
          </cell>
          <cell r="O52">
            <v>152489.9</v>
          </cell>
          <cell r="P52">
            <v>174061.65</v>
          </cell>
          <cell r="Q52">
            <v>198828.4</v>
          </cell>
          <cell r="R52">
            <v>165163.79999999999</v>
          </cell>
          <cell r="S52">
            <v>175391.09999999998</v>
          </cell>
          <cell r="T52">
            <v>181470.05</v>
          </cell>
          <cell r="U52">
            <v>192490.75</v>
          </cell>
          <cell r="V52">
            <v>118141.4</v>
          </cell>
          <cell r="W52">
            <v>103357.25</v>
          </cell>
          <cell r="X52">
            <v>111027.9</v>
          </cell>
          <cell r="Y52">
            <v>108528.84999999999</v>
          </cell>
          <cell r="Z52">
            <v>112754.04999999999</v>
          </cell>
          <cell r="AA52">
            <v>128495.7</v>
          </cell>
          <cell r="AB52">
            <v>25133.35</v>
          </cell>
          <cell r="AC52">
            <v>32722.35</v>
          </cell>
          <cell r="AD52">
            <v>29334.25</v>
          </cell>
          <cell r="AE52">
            <v>7635</v>
          </cell>
          <cell r="AF52">
            <v>5935</v>
          </cell>
          <cell r="AG52">
            <v>13015</v>
          </cell>
          <cell r="AH52">
            <v>13015</v>
          </cell>
        </row>
        <row r="54">
          <cell r="A54" t="str">
            <v>Office NOI</v>
          </cell>
          <cell r="C54">
            <v>194343.31799999997</v>
          </cell>
          <cell r="D54">
            <v>217261.16800000001</v>
          </cell>
          <cell r="E54">
            <v>232600.60250000001</v>
          </cell>
          <cell r="F54">
            <v>236531.20000000001</v>
          </cell>
          <cell r="G54">
            <v>243003.198</v>
          </cell>
          <cell r="H54">
            <v>256746.6825</v>
          </cell>
          <cell r="I54">
            <v>258852.60800000001</v>
          </cell>
          <cell r="J54">
            <v>262863.04000000004</v>
          </cell>
          <cell r="K54">
            <v>272175.38400000002</v>
          </cell>
          <cell r="L54">
            <v>287560.79492000007</v>
          </cell>
          <cell r="M54">
            <v>291987.50624999998</v>
          </cell>
          <cell r="N54">
            <v>298084.696</v>
          </cell>
          <cell r="O54">
            <v>282382.52</v>
          </cell>
          <cell r="P54">
            <v>285554.13493399997</v>
          </cell>
          <cell r="Q54">
            <v>273848.02079999994</v>
          </cell>
          <cell r="R54">
            <v>279730.57699999999</v>
          </cell>
          <cell r="S54">
            <v>291903.48800000001</v>
          </cell>
          <cell r="T54">
            <v>286521.14299999998</v>
          </cell>
          <cell r="U54">
            <v>285821.44799999997</v>
          </cell>
          <cell r="V54">
            <v>276211.94999999995</v>
          </cell>
          <cell r="W54">
            <v>281510.65950000001</v>
          </cell>
          <cell r="X54">
            <v>279966.81599999999</v>
          </cell>
          <cell r="Y54">
            <v>274706.44799999997</v>
          </cell>
          <cell r="Z54">
            <v>287702.91549999994</v>
          </cell>
          <cell r="AA54">
            <v>274070.25149999995</v>
          </cell>
          <cell r="AB54">
            <v>281138.69999999995</v>
          </cell>
          <cell r="AC54">
            <v>276596.98300000001</v>
          </cell>
          <cell r="AD54">
            <v>293726.83912114525</v>
          </cell>
          <cell r="AE54">
            <v>303258.95774360094</v>
          </cell>
          <cell r="AF54">
            <v>307562.35481668683</v>
          </cell>
          <cell r="AG54">
            <v>292369.21885909844</v>
          </cell>
          <cell r="AH54">
            <v>297140.29518059414</v>
          </cell>
        </row>
        <row r="55">
          <cell r="A55" t="str">
            <v>Implied Office Value</v>
          </cell>
          <cell r="C55">
            <v>2210536.5</v>
          </cell>
          <cell r="D55">
            <v>2442586.875</v>
          </cell>
          <cell r="E55">
            <v>2258411.75</v>
          </cell>
          <cell r="F55">
            <v>2326611.9375</v>
          </cell>
          <cell r="G55">
            <v>2297639.25</v>
          </cell>
          <cell r="H55">
            <v>2341621.7250000001</v>
          </cell>
          <cell r="I55">
            <v>2206609.7999999998</v>
          </cell>
          <cell r="J55">
            <v>2135221.9624999999</v>
          </cell>
          <cell r="K55">
            <v>2238504.65</v>
          </cell>
          <cell r="L55">
            <v>2436198.6</v>
          </cell>
          <cell r="M55">
            <v>2830141.8624999998</v>
          </cell>
          <cell r="N55">
            <v>2753158.0249999999</v>
          </cell>
          <cell r="O55">
            <v>2659460.7000000002</v>
          </cell>
          <cell r="P55">
            <v>2841600.5500000003</v>
          </cell>
          <cell r="Q55">
            <v>2759100.57</v>
          </cell>
          <cell r="R55">
            <v>2851859.7</v>
          </cell>
          <cell r="S55">
            <v>2986616.5</v>
          </cell>
          <cell r="T55">
            <v>2980977.4000000004</v>
          </cell>
          <cell r="U55">
            <v>2804548.25</v>
          </cell>
          <cell r="V55">
            <v>2784514.7500000005</v>
          </cell>
          <cell r="W55">
            <v>2701198.87</v>
          </cell>
          <cell r="X55">
            <v>2908220.5500000003</v>
          </cell>
          <cell r="Y55">
            <v>3057601.9899999998</v>
          </cell>
          <cell r="Z55">
            <v>3258359.91</v>
          </cell>
          <cell r="AA55">
            <v>3382307.7099999995</v>
          </cell>
          <cell r="AB55">
            <v>3283598.4499999997</v>
          </cell>
          <cell r="AC55">
            <v>3419274.3899999997</v>
          </cell>
          <cell r="AD55">
            <v>3845827.31</v>
          </cell>
          <cell r="AE55">
            <v>3732693.45</v>
          </cell>
          <cell r="AF55">
            <v>4034306.5400000005</v>
          </cell>
          <cell r="AG55">
            <v>4438196.0600000005</v>
          </cell>
          <cell r="AH55">
            <v>4750175.78</v>
          </cell>
        </row>
        <row r="56">
          <cell r="A56" t="str">
            <v>Implied Cap Rate</v>
          </cell>
          <cell r="C56">
            <v>8.7916810240409954E-2</v>
          </cell>
          <cell r="D56">
            <v>8.8947160988900348E-2</v>
          </cell>
          <cell r="E56">
            <v>0.10299300050134791</v>
          </cell>
          <cell r="F56">
            <v>0.10166336559510583</v>
          </cell>
          <cell r="G56">
            <v>0.10576211996726641</v>
          </cell>
          <cell r="H56">
            <v>0.10964481570993281</v>
          </cell>
          <cell r="I56">
            <v>0.1173078303196152</v>
          </cell>
          <cell r="J56">
            <v>0.12310806305693385</v>
          </cell>
          <cell r="K56">
            <v>0.12158803601323769</v>
          </cell>
          <cell r="L56">
            <v>0.11803668014586334</v>
          </cell>
          <cell r="M56">
            <v>0.10317062551488972</v>
          </cell>
          <cell r="N56">
            <v>0.1082701004785223</v>
          </cell>
          <cell r="O56">
            <v>0.1061803695764333</v>
          </cell>
          <cell r="P56">
            <v>0.10049059672866405</v>
          </cell>
          <cell r="Q56">
            <v>9.9252641885395274E-2</v>
          </cell>
          <cell r="R56">
            <v>9.8087075251282518E-2</v>
          </cell>
          <cell r="S56">
            <v>9.7737184536414376E-2</v>
          </cell>
          <cell r="T56">
            <v>9.6116509638751346E-2</v>
          </cell>
          <cell r="U56">
            <v>0.10191354276040712</v>
          </cell>
          <cell r="V56">
            <v>9.9195721624387126E-2</v>
          </cell>
          <cell r="W56">
            <v>0.10421693220240388</v>
          </cell>
          <cell r="X56">
            <v>9.6267394850779106E-2</v>
          </cell>
          <cell r="Y56">
            <v>8.9843756283007906E-2</v>
          </cell>
          <cell r="Z56">
            <v>8.8296849779249814E-2</v>
          </cell>
          <cell r="AA56">
            <v>8.103054925774332E-2</v>
          </cell>
          <cell r="AB56">
            <v>8.561908658471927E-2</v>
          </cell>
          <cell r="AC56">
            <v>8.0893473717387171E-2</v>
          </cell>
          <cell r="AD56">
            <v>7.6375462402430455E-2</v>
          </cell>
          <cell r="AE56">
            <v>8.1244002971527424E-2</v>
          </cell>
          <cell r="AF56">
            <v>7.6236734062525346E-2</v>
          </cell>
          <cell r="AG56">
            <v>6.5875687983711656E-2</v>
          </cell>
          <cell r="AH56">
            <v>6.2553536741032797E-2</v>
          </cell>
          <cell r="AN56" t="str">
            <v>mstag:impliedCapRateProperty</v>
          </cell>
          <cell r="AO56">
            <v>0</v>
          </cell>
          <cell r="AP56" t="str">
            <v>ms_eqr_gcim_Decimal:ms_eqr_gcim_decimal</v>
          </cell>
          <cell r="AQ56" t="b">
            <v>0</v>
          </cell>
          <cell r="AR56" t="b">
            <v>0</v>
          </cell>
        </row>
        <row r="58">
          <cell r="A58" t="str">
            <v>Total Square Footage</v>
          </cell>
          <cell r="C58">
            <v>16500000</v>
          </cell>
          <cell r="D58">
            <v>17457000</v>
          </cell>
          <cell r="E58">
            <v>17968000</v>
          </cell>
          <cell r="F58">
            <v>17968000</v>
          </cell>
          <cell r="G58">
            <v>18028000</v>
          </cell>
          <cell r="H58">
            <v>18391000</v>
          </cell>
          <cell r="I58">
            <v>18492000</v>
          </cell>
          <cell r="J58">
            <v>18492000</v>
          </cell>
          <cell r="K58">
            <v>18492000</v>
          </cell>
          <cell r="L58">
            <v>18492000</v>
          </cell>
          <cell r="M58">
            <v>18734000</v>
          </cell>
          <cell r="N58">
            <v>18658000</v>
          </cell>
          <cell r="O58">
            <v>18658000</v>
          </cell>
          <cell r="P58">
            <v>18402000</v>
          </cell>
          <cell r="Q58">
            <v>18271000</v>
          </cell>
          <cell r="R58">
            <v>18247000</v>
          </cell>
          <cell r="S58">
            <v>18183000</v>
          </cell>
          <cell r="T58">
            <v>18042000</v>
          </cell>
          <cell r="U58">
            <v>18845000</v>
          </cell>
          <cell r="V58">
            <v>19132000</v>
          </cell>
          <cell r="W58">
            <v>18992000</v>
          </cell>
          <cell r="X58">
            <v>18617000</v>
          </cell>
          <cell r="Y58">
            <v>18617000</v>
          </cell>
          <cell r="Z58">
            <v>18636000</v>
          </cell>
          <cell r="AA58">
            <v>18341000</v>
          </cell>
          <cell r="AB58">
            <v>18784760</v>
          </cell>
          <cell r="AC58">
            <v>18726161</v>
          </cell>
          <cell r="AD58">
            <v>18210000</v>
          </cell>
          <cell r="AE58">
            <v>18850000</v>
          </cell>
          <cell r="AF58">
            <v>19214000</v>
          </cell>
          <cell r="AG58">
            <v>18536000</v>
          </cell>
          <cell r="AH58">
            <v>18536000</v>
          </cell>
        </row>
        <row r="61">
          <cell r="B61" t="str">
            <v>Subtotal Office Square Footage</v>
          </cell>
          <cell r="C61">
            <v>16500000</v>
          </cell>
          <cell r="D61">
            <v>17457000</v>
          </cell>
          <cell r="E61">
            <v>17968000</v>
          </cell>
          <cell r="F61">
            <v>17968000</v>
          </cell>
          <cell r="G61">
            <v>18028000</v>
          </cell>
          <cell r="H61">
            <v>18391000</v>
          </cell>
          <cell r="I61">
            <v>18492000</v>
          </cell>
          <cell r="J61">
            <v>18492000</v>
          </cell>
          <cell r="K61">
            <v>18492000</v>
          </cell>
          <cell r="L61">
            <v>18492000</v>
          </cell>
          <cell r="M61">
            <v>18734000</v>
          </cell>
          <cell r="N61">
            <v>18658000</v>
          </cell>
          <cell r="O61">
            <v>18658000</v>
          </cell>
          <cell r="P61">
            <v>18402000</v>
          </cell>
          <cell r="Q61">
            <v>18271000</v>
          </cell>
          <cell r="R61">
            <v>18247000</v>
          </cell>
          <cell r="S61">
            <v>18183000</v>
          </cell>
          <cell r="T61">
            <v>18042000</v>
          </cell>
          <cell r="U61">
            <v>18845000</v>
          </cell>
          <cell r="V61">
            <v>19132000</v>
          </cell>
          <cell r="W61">
            <v>18992000</v>
          </cell>
          <cell r="X61">
            <v>18617000</v>
          </cell>
          <cell r="Y61">
            <v>18617000</v>
          </cell>
          <cell r="Z61">
            <v>18636000</v>
          </cell>
          <cell r="AA61">
            <v>18341000</v>
          </cell>
          <cell r="AB61">
            <v>18784760</v>
          </cell>
          <cell r="AC61">
            <v>18726161</v>
          </cell>
          <cell r="AD61">
            <v>18210000</v>
          </cell>
          <cell r="AE61">
            <v>18850000</v>
          </cell>
          <cell r="AF61">
            <v>19214000</v>
          </cell>
          <cell r="AG61">
            <v>18536000</v>
          </cell>
          <cell r="AH61">
            <v>18536000</v>
          </cell>
        </row>
        <row r="62">
          <cell r="A62" t="str">
            <v>Impled Office Value</v>
          </cell>
          <cell r="C62">
            <v>2210536.5</v>
          </cell>
          <cell r="D62">
            <v>2442586.875</v>
          </cell>
          <cell r="E62">
            <v>2258411.75</v>
          </cell>
          <cell r="F62">
            <v>2326611.9375</v>
          </cell>
          <cell r="G62">
            <v>2297639.25</v>
          </cell>
          <cell r="H62">
            <v>2341621.7250000001</v>
          </cell>
          <cell r="I62">
            <v>2206609.7999999998</v>
          </cell>
          <cell r="J62">
            <v>2135221.9624999999</v>
          </cell>
          <cell r="K62">
            <v>2238504.65</v>
          </cell>
          <cell r="L62">
            <v>2436198.6</v>
          </cell>
          <cell r="M62">
            <v>2830141.8624999998</v>
          </cell>
          <cell r="N62">
            <v>2753158.0249999999</v>
          </cell>
          <cell r="O62">
            <v>2659460.7000000002</v>
          </cell>
          <cell r="P62">
            <v>2841600.5500000003</v>
          </cell>
          <cell r="Q62">
            <v>2759100.57</v>
          </cell>
          <cell r="R62">
            <v>2851859.7</v>
          </cell>
          <cell r="S62">
            <v>2986616.5</v>
          </cell>
          <cell r="T62">
            <v>2980977.4000000004</v>
          </cell>
          <cell r="U62">
            <v>2804548.25</v>
          </cell>
          <cell r="V62">
            <v>2784514.7500000005</v>
          </cell>
          <cell r="W62">
            <v>2701198.87</v>
          </cell>
          <cell r="X62">
            <v>2908220.5500000003</v>
          </cell>
          <cell r="Y62">
            <v>3057601.9899999998</v>
          </cell>
          <cell r="Z62">
            <v>3258359.91</v>
          </cell>
          <cell r="AA62">
            <v>3382307.7099999995</v>
          </cell>
          <cell r="AB62">
            <v>3283598.4499999997</v>
          </cell>
          <cell r="AC62">
            <v>3419274.3899999997</v>
          </cell>
          <cell r="AD62">
            <v>3845827.31</v>
          </cell>
          <cell r="AE62">
            <v>3732693.45</v>
          </cell>
          <cell r="AF62">
            <v>4034306.5400000005</v>
          </cell>
          <cell r="AG62">
            <v>4438196.0600000005</v>
          </cell>
          <cell r="AH62">
            <v>4750175.78</v>
          </cell>
        </row>
        <row r="63">
          <cell r="A63" t="str">
            <v>Implied Office Price/SF</v>
          </cell>
          <cell r="C63">
            <v>133.97190909090909</v>
          </cell>
          <cell r="D63">
            <v>139.92019676920432</v>
          </cell>
          <cell r="E63">
            <v>125.69076970169191</v>
          </cell>
          <cell r="F63">
            <v>129.48641682435442</v>
          </cell>
          <cell r="G63">
            <v>127.44837197692479</v>
          </cell>
          <cell r="H63">
            <v>127.32432847588495</v>
          </cell>
          <cell r="I63">
            <v>119.3278066190785</v>
          </cell>
          <cell r="J63">
            <v>115.46733519900496</v>
          </cell>
          <cell r="K63">
            <v>121.05259842093878</v>
          </cell>
          <cell r="L63">
            <v>131.74338092147954</v>
          </cell>
          <cell r="M63">
            <v>151.06981223977795</v>
          </cell>
          <cell r="N63">
            <v>147.5591180726766</v>
          </cell>
          <cell r="O63">
            <v>142.53728695465753</v>
          </cell>
          <cell r="P63">
            <v>154.41802793174656</v>
          </cell>
          <cell r="Q63">
            <v>151.00982814295878</v>
          </cell>
          <cell r="R63">
            <v>156.29197676330355</v>
          </cell>
          <cell r="S63">
            <v>164.25323103998241</v>
          </cell>
          <cell r="T63">
            <v>165.22433211395634</v>
          </cell>
          <cell r="U63">
            <v>148.82187582913238</v>
          </cell>
          <cell r="V63">
            <v>145.54227210955469</v>
          </cell>
          <cell r="W63">
            <v>142.22824715669756</v>
          </cell>
          <cell r="X63">
            <v>156.2131680721921</v>
          </cell>
          <cell r="Y63">
            <v>164.23709459096523</v>
          </cell>
          <cell r="Z63">
            <v>174.84223599484869</v>
          </cell>
          <cell r="AA63">
            <v>184.41239354451773</v>
          </cell>
          <cell r="AB63">
            <v>174.8011925624815</v>
          </cell>
          <cell r="AC63">
            <v>182.5934525501516</v>
          </cell>
          <cell r="AD63">
            <v>211.19315266337176</v>
          </cell>
          <cell r="AE63">
            <v>198.02087267904511</v>
          </cell>
          <cell r="AF63">
            <v>209.96703133132095</v>
          </cell>
          <cell r="AG63">
            <v>239.43655912818301</v>
          </cell>
          <cell r="AH63">
            <v>256.26757552870095</v>
          </cell>
        </row>
        <row r="65">
          <cell r="B65" t="str">
            <v>Average In-Place Rent</v>
          </cell>
          <cell r="C65">
            <v>21.83</v>
          </cell>
          <cell r="D65">
            <v>21.83</v>
          </cell>
          <cell r="E65">
            <v>21.83</v>
          </cell>
          <cell r="F65">
            <v>21.83</v>
          </cell>
          <cell r="G65">
            <v>21.83</v>
          </cell>
          <cell r="H65">
            <v>21.83</v>
          </cell>
          <cell r="I65">
            <v>21.83</v>
          </cell>
          <cell r="J65">
            <v>21.83</v>
          </cell>
          <cell r="K65">
            <v>21.83</v>
          </cell>
          <cell r="L65">
            <v>21.83</v>
          </cell>
          <cell r="M65">
            <v>21.83</v>
          </cell>
          <cell r="N65">
            <v>21.83</v>
          </cell>
          <cell r="O65">
            <v>21.83</v>
          </cell>
          <cell r="P65">
            <v>21.83</v>
          </cell>
          <cell r="Q65">
            <v>21.83</v>
          </cell>
          <cell r="R65">
            <v>21.83</v>
          </cell>
          <cell r="S65">
            <v>21.83</v>
          </cell>
          <cell r="T65">
            <v>21.83</v>
          </cell>
          <cell r="U65">
            <v>21.83</v>
          </cell>
          <cell r="V65">
            <v>21.83</v>
          </cell>
          <cell r="W65">
            <v>21.83</v>
          </cell>
          <cell r="X65">
            <v>21.83</v>
          </cell>
          <cell r="Y65">
            <v>21.83</v>
          </cell>
          <cell r="Z65">
            <v>21.83</v>
          </cell>
          <cell r="AA65">
            <v>21.83</v>
          </cell>
          <cell r="AB65">
            <v>21.97</v>
          </cell>
          <cell r="AC65">
            <v>21.97</v>
          </cell>
          <cell r="AD65">
            <v>21.97</v>
          </cell>
          <cell r="AE65">
            <v>21.97</v>
          </cell>
          <cell r="AF65">
            <v>21.97</v>
          </cell>
          <cell r="AG65">
            <v>21.97</v>
          </cell>
          <cell r="AH65">
            <v>21.97</v>
          </cell>
        </row>
        <row r="66">
          <cell r="B66" t="str">
            <v>Office NOI / Office SF</v>
          </cell>
          <cell r="C66">
            <v>11.778382909090908</v>
          </cell>
          <cell r="D66">
            <v>12.445504267629032</v>
          </cell>
          <cell r="E66">
            <v>12.945269506901157</v>
          </cell>
          <cell r="F66">
            <v>13.164024933214604</v>
          </cell>
          <cell r="G66">
            <v>13.479210006656313</v>
          </cell>
          <cell r="H66">
            <v>13.960452531129356</v>
          </cell>
          <cell r="I66">
            <v>13.998086091282717</v>
          </cell>
          <cell r="J66">
            <v>14.214959982695222</v>
          </cell>
          <cell r="K66">
            <v>14.718547696301105</v>
          </cell>
          <cell r="L66">
            <v>15.550551315163318</v>
          </cell>
          <cell r="M66">
            <v>15.585967025194831</v>
          </cell>
          <cell r="N66">
            <v>15.976240540250831</v>
          </cell>
          <cell r="O66">
            <v>15.13466180726766</v>
          </cell>
          <cell r="P66">
            <v>15.517559772524724</v>
          </cell>
          <cell r="Q66">
            <v>14.988124393848171</v>
          </cell>
          <cell r="R66">
            <v>15.330222885953855</v>
          </cell>
          <cell r="S66">
            <v>16.053648352857063</v>
          </cell>
          <cell r="T66">
            <v>15.880786110187339</v>
          </cell>
          <cell r="U66">
            <v>15.166964605996284</v>
          </cell>
          <cell r="V66">
            <v>14.43717070876019</v>
          </cell>
          <cell r="W66">
            <v>14.822591591196293</v>
          </cell>
          <cell r="X66">
            <v>15.038234731696836</v>
          </cell>
          <cell r="Y66">
            <v>14.755677499059997</v>
          </cell>
          <cell r="Z66">
            <v>15.438018646705299</v>
          </cell>
          <cell r="AA66">
            <v>14.943037538847388</v>
          </cell>
          <cell r="AB66">
            <v>14.96631844111929</v>
          </cell>
          <cell r="AC66">
            <v>14.770618654832671</v>
          </cell>
          <cell r="AD66">
            <v>16.129974690892105</v>
          </cell>
          <cell r="AE66">
            <v>16.088008368360793</v>
          </cell>
          <cell r="AF66">
            <v>16.007200729503843</v>
          </cell>
          <cell r="AG66">
            <v>15.773048061021711</v>
          </cell>
          <cell r="AH66">
            <v>16.030443201369991</v>
          </cell>
        </row>
        <row r="67">
          <cell r="B67" t="str">
            <v>FFO Payout Ratio</v>
          </cell>
          <cell r="C67">
            <v>0.75184352863174786</v>
          </cell>
          <cell r="D67">
            <v>0.7275413486005089</v>
          </cell>
          <cell r="E67">
            <v>0.6917640850379454</v>
          </cell>
          <cell r="F67">
            <v>0.66873707210487976</v>
          </cell>
          <cell r="G67">
            <v>0.6981105770380468</v>
          </cell>
          <cell r="H67">
            <v>0.68273815921676761</v>
          </cell>
          <cell r="I67">
            <v>0.68576512037580739</v>
          </cell>
          <cell r="J67">
            <v>0.69520952887819332</v>
          </cell>
          <cell r="K67">
            <v>0.68610914819399127</v>
          </cell>
          <cell r="L67">
            <v>0.67516984011145764</v>
          </cell>
          <cell r="M67">
            <v>0.65623066555420062</v>
          </cell>
          <cell r="N67">
            <v>0.62956091407003223</v>
          </cell>
          <cell r="O67">
            <v>0.66014973120266729</v>
          </cell>
          <cell r="P67">
            <v>0.65333662667607617</v>
          </cell>
          <cell r="Q67">
            <v>0.6479822023583871</v>
          </cell>
          <cell r="R67">
            <v>0.65587799062398966</v>
          </cell>
          <cell r="S67">
            <v>0.71222535689285782</v>
          </cell>
          <cell r="T67">
            <v>0.72419877295349233</v>
          </cell>
          <cell r="U67">
            <v>0.77835345506789644</v>
          </cell>
          <cell r="V67">
            <v>0.73666155018262491</v>
          </cell>
          <cell r="W67">
            <v>0.70928834448848754</v>
          </cell>
          <cell r="X67">
            <v>0.75644312589117346</v>
          </cell>
          <cell r="Y67">
            <v>0.7909537083363114</v>
          </cell>
          <cell r="Z67">
            <v>0.78197149505526475</v>
          </cell>
          <cell r="AA67">
            <v>0.78118902298053361</v>
          </cell>
          <cell r="AB67">
            <v>0.83165587983880818</v>
          </cell>
          <cell r="AC67">
            <v>0.79363183848157803</v>
          </cell>
          <cell r="AD67">
            <v>0.76925090272949515</v>
          </cell>
          <cell r="AE67">
            <v>0.87472254598895249</v>
          </cell>
          <cell r="AF67">
            <v>0.81963088200520218</v>
          </cell>
          <cell r="AG67">
            <v>0.80723875231910946</v>
          </cell>
          <cell r="AH67">
            <v>0.80723875231910946</v>
          </cell>
        </row>
        <row r="68">
          <cell r="B68" t="str">
            <v>AFFO Payout Ratio</v>
          </cell>
          <cell r="C68">
            <v>0.93946019011075255</v>
          </cell>
          <cell r="D68">
            <v>0.90949900596421462</v>
          </cell>
          <cell r="E68">
            <v>0.86667065453515091</v>
          </cell>
          <cell r="F68">
            <v>0.83948799219797632</v>
          </cell>
          <cell r="G68">
            <v>0.87485060984746321</v>
          </cell>
          <cell r="H68">
            <v>0.85981652591001378</v>
          </cell>
          <cell r="I68">
            <v>0.86328947368421061</v>
          </cell>
          <cell r="J68">
            <v>0.87279362635447222</v>
          </cell>
          <cell r="K68">
            <v>0.86505859319581202</v>
          </cell>
          <cell r="L68">
            <v>0.85820112438510188</v>
          </cell>
          <cell r="M68">
            <v>0.83324341944421809</v>
          </cell>
          <cell r="N68">
            <v>0.7880868191972884</v>
          </cell>
          <cell r="O68">
            <v>0.83055247502525531</v>
          </cell>
          <cell r="P68">
            <v>0.81728875548605162</v>
          </cell>
          <cell r="Q68">
            <v>0.81616998818828379</v>
          </cell>
          <cell r="R68">
            <v>0.8297481977606217</v>
          </cell>
          <cell r="S68">
            <v>0.91257684885711954</v>
          </cell>
          <cell r="T68">
            <v>0.96507389725851178</v>
          </cell>
          <cell r="U68">
            <v>0.99667858520518671</v>
          </cell>
          <cell r="V68">
            <v>0.94327427407322395</v>
          </cell>
          <cell r="W68">
            <v>0.94172653284251695</v>
          </cell>
          <cell r="X68">
            <v>0.99683779852103294</v>
          </cell>
          <cell r="Y68">
            <v>1.0465842817061253</v>
          </cell>
          <cell r="Z68">
            <v>1.0725870543551115</v>
          </cell>
          <cell r="AA68">
            <v>1.1658000966050235</v>
          </cell>
          <cell r="AB68">
            <v>1.246372753559533</v>
          </cell>
          <cell r="AC68">
            <v>1.1155007029130022</v>
          </cell>
          <cell r="AD68">
            <v>1.2148404349520066</v>
          </cell>
          <cell r="AE68">
            <v>1.4829588899866832</v>
          </cell>
          <cell r="AF68">
            <v>1.3217735661989016</v>
          </cell>
          <cell r="AG68">
            <v>1.2366991757265686</v>
          </cell>
          <cell r="AH68">
            <v>1.2366991757265686</v>
          </cell>
        </row>
        <row r="70">
          <cell r="B70" t="str">
            <v>TI/LCs &amp; Recurring Capex</v>
          </cell>
          <cell r="C70">
            <v>17880</v>
          </cell>
          <cell r="D70">
            <v>23240</v>
          </cell>
          <cell r="E70">
            <v>21716</v>
          </cell>
          <cell r="F70">
            <v>23112</v>
          </cell>
          <cell r="G70">
            <v>27356</v>
          </cell>
          <cell r="H70">
            <v>27424</v>
          </cell>
          <cell r="I70">
            <v>27060</v>
          </cell>
          <cell r="J70">
            <v>27248</v>
          </cell>
          <cell r="K70">
            <v>31176</v>
          </cell>
          <cell r="L70">
            <v>30800</v>
          </cell>
          <cell r="M70">
            <v>30400</v>
          </cell>
          <cell r="N70">
            <v>29600</v>
          </cell>
          <cell r="O70">
            <v>30800</v>
          </cell>
          <cell r="P70">
            <v>31200</v>
          </cell>
          <cell r="Q70">
            <v>31600</v>
          </cell>
          <cell r="R70">
            <v>32400</v>
          </cell>
          <cell r="S70">
            <v>34800</v>
          </cell>
          <cell r="T70">
            <v>38000</v>
          </cell>
          <cell r="U70">
            <v>34292</v>
          </cell>
          <cell r="V70">
            <v>35920</v>
          </cell>
          <cell r="W70">
            <v>43128</v>
          </cell>
          <cell r="X70">
            <v>40596</v>
          </cell>
          <cell r="Y70">
            <v>39660</v>
          </cell>
          <cell r="Z70">
            <v>44868</v>
          </cell>
          <cell r="AA70">
            <v>53508</v>
          </cell>
          <cell r="AB70">
            <v>52704</v>
          </cell>
          <cell r="AC70">
            <v>49560</v>
          </cell>
          <cell r="AD70">
            <v>63476</v>
          </cell>
          <cell r="AE70">
            <v>61532</v>
          </cell>
          <cell r="AF70">
            <v>60276</v>
          </cell>
          <cell r="AG70">
            <v>58516</v>
          </cell>
          <cell r="AH70">
            <v>57317.147666407727</v>
          </cell>
        </row>
        <row r="72">
          <cell r="B72" t="str">
            <v>Subtotal NOI Adjustments</v>
          </cell>
          <cell r="C72">
            <v>17880</v>
          </cell>
          <cell r="D72">
            <v>23240</v>
          </cell>
          <cell r="E72">
            <v>21716</v>
          </cell>
          <cell r="F72">
            <v>23112</v>
          </cell>
          <cell r="G72">
            <v>27356</v>
          </cell>
          <cell r="H72">
            <v>27424</v>
          </cell>
          <cell r="I72">
            <v>27060</v>
          </cell>
          <cell r="J72">
            <v>27248</v>
          </cell>
          <cell r="K72">
            <v>31176</v>
          </cell>
          <cell r="L72">
            <v>30800</v>
          </cell>
          <cell r="M72">
            <v>30400</v>
          </cell>
          <cell r="N72">
            <v>29600</v>
          </cell>
          <cell r="O72">
            <v>30800</v>
          </cell>
          <cell r="P72">
            <v>31200</v>
          </cell>
          <cell r="Q72">
            <v>31600</v>
          </cell>
          <cell r="R72">
            <v>32400</v>
          </cell>
          <cell r="S72">
            <v>34800</v>
          </cell>
          <cell r="T72">
            <v>38000</v>
          </cell>
          <cell r="U72">
            <v>34292</v>
          </cell>
          <cell r="V72">
            <v>35920</v>
          </cell>
          <cell r="W72">
            <v>43128</v>
          </cell>
          <cell r="X72">
            <v>40596</v>
          </cell>
          <cell r="Y72">
            <v>39660</v>
          </cell>
          <cell r="Z72">
            <v>44868</v>
          </cell>
          <cell r="AA72">
            <v>53508</v>
          </cell>
          <cell r="AB72">
            <v>52704</v>
          </cell>
          <cell r="AC72">
            <v>49560</v>
          </cell>
          <cell r="AD72">
            <v>63476</v>
          </cell>
          <cell r="AE72">
            <v>61532</v>
          </cell>
          <cell r="AF72">
            <v>60276</v>
          </cell>
          <cell r="AG72">
            <v>58516</v>
          </cell>
          <cell r="AH72">
            <v>57317.147666407727</v>
          </cell>
        </row>
        <row r="74">
          <cell r="A74" t="str">
            <v>Adjusted Office NOI</v>
          </cell>
          <cell r="C74">
            <v>176463.31799999997</v>
          </cell>
          <cell r="D74">
            <v>194021.16800000001</v>
          </cell>
          <cell r="E74">
            <v>210884.60250000001</v>
          </cell>
          <cell r="F74">
            <v>213419.2</v>
          </cell>
          <cell r="G74">
            <v>215647.198</v>
          </cell>
          <cell r="H74">
            <v>229322.6825</v>
          </cell>
          <cell r="I74">
            <v>231792.60800000001</v>
          </cell>
          <cell r="J74">
            <v>235615.04000000004</v>
          </cell>
          <cell r="K74">
            <v>240999.38400000002</v>
          </cell>
          <cell r="L74">
            <v>256760.79492000007</v>
          </cell>
          <cell r="M74">
            <v>261587.50624999998</v>
          </cell>
          <cell r="N74">
            <v>268484.696</v>
          </cell>
          <cell r="O74">
            <v>251582.52000000002</v>
          </cell>
          <cell r="P74">
            <v>254354.13493399997</v>
          </cell>
          <cell r="Q74">
            <v>242248.02079999994</v>
          </cell>
          <cell r="R74">
            <v>247330.57699999999</v>
          </cell>
          <cell r="S74">
            <v>257103.48800000001</v>
          </cell>
          <cell r="T74">
            <v>248521.14299999998</v>
          </cell>
          <cell r="U74">
            <v>251529.44799999997</v>
          </cell>
          <cell r="V74">
            <v>240291.94999999995</v>
          </cell>
          <cell r="W74">
            <v>238382.65950000001</v>
          </cell>
          <cell r="X74">
            <v>239370.81599999999</v>
          </cell>
          <cell r="Y74">
            <v>235046.44799999997</v>
          </cell>
          <cell r="Z74">
            <v>242834.91549999994</v>
          </cell>
          <cell r="AA74">
            <v>220562.25149999995</v>
          </cell>
          <cell r="AB74">
            <v>228434.69999999995</v>
          </cell>
          <cell r="AC74">
            <v>227036.98300000001</v>
          </cell>
          <cell r="AD74">
            <v>230250.83912114525</v>
          </cell>
          <cell r="AE74">
            <v>241726.95774360094</v>
          </cell>
          <cell r="AF74">
            <v>247286.35481668683</v>
          </cell>
          <cell r="AG74">
            <v>233853.21885909844</v>
          </cell>
          <cell r="AH74">
            <v>239823.14751418642</v>
          </cell>
        </row>
        <row r="75">
          <cell r="A75" t="str">
            <v>Implied Office Value</v>
          </cell>
          <cell r="C75">
            <v>2210536.5</v>
          </cell>
          <cell r="D75">
            <v>2442586.875</v>
          </cell>
          <cell r="E75">
            <v>2258411.75</v>
          </cell>
          <cell r="F75">
            <v>2326611.9375</v>
          </cell>
          <cell r="G75">
            <v>2297639.25</v>
          </cell>
          <cell r="H75">
            <v>2341621.7250000001</v>
          </cell>
          <cell r="I75">
            <v>2206609.7999999998</v>
          </cell>
          <cell r="J75">
            <v>2135221.9624999999</v>
          </cell>
          <cell r="K75">
            <v>2238504.65</v>
          </cell>
          <cell r="L75">
            <v>2436198.6</v>
          </cell>
          <cell r="M75">
            <v>2830141.8624999998</v>
          </cell>
          <cell r="N75">
            <v>2753158.0249999999</v>
          </cell>
          <cell r="O75">
            <v>2659460.7000000002</v>
          </cell>
          <cell r="P75">
            <v>2841600.5500000003</v>
          </cell>
          <cell r="Q75">
            <v>2759100.57</v>
          </cell>
          <cell r="R75">
            <v>2851859.7</v>
          </cell>
          <cell r="S75">
            <v>2986616.5</v>
          </cell>
          <cell r="T75">
            <v>2980977.4000000004</v>
          </cell>
          <cell r="U75">
            <v>2804548.25</v>
          </cell>
          <cell r="V75">
            <v>2784514.7500000005</v>
          </cell>
          <cell r="W75">
            <v>2701198.87</v>
          </cell>
          <cell r="X75">
            <v>2908220.5500000003</v>
          </cell>
          <cell r="Y75">
            <v>3057601.9899999998</v>
          </cell>
          <cell r="Z75">
            <v>3258359.91</v>
          </cell>
          <cell r="AA75">
            <v>3382307.7099999995</v>
          </cell>
          <cell r="AB75">
            <v>3283598.4499999997</v>
          </cell>
          <cell r="AC75">
            <v>3419274.3899999997</v>
          </cell>
          <cell r="AD75">
            <v>3845827.31</v>
          </cell>
          <cell r="AE75">
            <v>3732693.45</v>
          </cell>
          <cell r="AF75">
            <v>4034306.5400000005</v>
          </cell>
          <cell r="AG75">
            <v>4438196.0600000005</v>
          </cell>
          <cell r="AH75">
            <v>4750175.78</v>
          </cell>
        </row>
        <row r="76">
          <cell r="A76" t="str">
            <v>Economic Implied Cap Rate</v>
          </cell>
          <cell r="C76">
            <v>7.9828276076870916E-2</v>
          </cell>
          <cell r="D76">
            <v>7.9432658050289415E-2</v>
          </cell>
          <cell r="E76">
            <v>9.3377393427040045E-2</v>
          </cell>
          <cell r="F76">
            <v>9.1729607572341443E-2</v>
          </cell>
          <cell r="G76">
            <v>9.385598631290791E-2</v>
          </cell>
          <cell r="H76">
            <v>9.7933274214049237E-2</v>
          </cell>
          <cell r="I76">
            <v>0.10504467441411709</v>
          </cell>
          <cell r="J76">
            <v>0.11034686048476801</v>
          </cell>
          <cell r="K76">
            <v>0.10766088156216251</v>
          </cell>
          <cell r="L76">
            <v>0.10539403270324516</v>
          </cell>
          <cell r="M76">
            <v>9.2429114496376238E-2</v>
          </cell>
          <cell r="N76">
            <v>9.7518810602962025E-2</v>
          </cell>
          <cell r="O76">
            <v>9.459907416567577E-2</v>
          </cell>
          <cell r="P76">
            <v>8.9510869124092743E-2</v>
          </cell>
          <cell r="Q76">
            <v>8.7799634211956232E-2</v>
          </cell>
          <cell r="R76">
            <v>8.6726067555146544E-2</v>
          </cell>
          <cell r="S76">
            <v>8.6085203105253055E-2</v>
          </cell>
          <cell r="T76">
            <v>8.3369012794260011E-2</v>
          </cell>
          <cell r="U76">
            <v>8.9686261593110397E-2</v>
          </cell>
          <cell r="V76">
            <v>8.6295807914107805E-2</v>
          </cell>
          <cell r="W76">
            <v>8.8250688295304969E-2</v>
          </cell>
          <cell r="X76">
            <v>8.2308343498913777E-2</v>
          </cell>
          <cell r="Y76">
            <v>7.6872807111170144E-2</v>
          </cell>
          <cell r="Z76">
            <v>7.4526731916487371E-2</v>
          </cell>
          <cell r="AA76">
            <v>6.5210581180385863E-2</v>
          </cell>
          <cell r="AB76">
            <v>6.9568402920886979E-2</v>
          </cell>
          <cell r="AC76">
            <v>6.6399170439199531E-2</v>
          </cell>
          <cell r="AD76">
            <v>5.9870301124141025E-2</v>
          </cell>
          <cell r="AE76">
            <v>6.4759391839048802E-2</v>
          </cell>
          <cell r="AF76">
            <v>6.1295876345749074E-2</v>
          </cell>
          <cell r="AG76">
            <v>5.269105188180858E-2</v>
          </cell>
          <cell r="AH76">
            <v>5.0487215341362884E-2</v>
          </cell>
        </row>
        <row r="79">
          <cell r="C79" t="str">
            <v>1Q98A</v>
          </cell>
          <cell r="D79" t="str">
            <v>2Q98A</v>
          </cell>
          <cell r="E79" t="str">
            <v>3Q98A</v>
          </cell>
          <cell r="F79" t="str">
            <v>4Q98A</v>
          </cell>
          <cell r="G79" t="str">
            <v>1Q99A</v>
          </cell>
          <cell r="H79" t="str">
            <v>2Q99A</v>
          </cell>
          <cell r="I79" t="str">
            <v>3Q99A</v>
          </cell>
          <cell r="J79" t="str">
            <v>4Q99A</v>
          </cell>
          <cell r="K79" t="str">
            <v>1Q00A</v>
          </cell>
          <cell r="L79" t="str">
            <v>2Q00A</v>
          </cell>
          <cell r="M79" t="str">
            <v>3Q00A</v>
          </cell>
          <cell r="N79" t="str">
            <v>4Q00A</v>
          </cell>
          <cell r="O79" t="str">
            <v>1Q01A</v>
          </cell>
          <cell r="P79" t="str">
            <v>2Q01A</v>
          </cell>
          <cell r="Q79" t="str">
            <v>3Q01A</v>
          </cell>
          <cell r="R79" t="str">
            <v>4Q01A</v>
          </cell>
          <cell r="S79" t="str">
            <v>1Q02A</v>
          </cell>
          <cell r="T79" t="str">
            <v>2Q02A</v>
          </cell>
          <cell r="U79" t="str">
            <v>3Q02A</v>
          </cell>
          <cell r="V79" t="str">
            <v>4Q02A</v>
          </cell>
          <cell r="W79" t="str">
            <v>1Q03A</v>
          </cell>
          <cell r="X79" t="str">
            <v>2Q03A</v>
          </cell>
          <cell r="Y79" t="str">
            <v>3Q03A</v>
          </cell>
          <cell r="Z79" t="str">
            <v>4Q03A</v>
          </cell>
          <cell r="AA79" t="str">
            <v>1Q04A</v>
          </cell>
          <cell r="AB79" t="str">
            <v>2Q04A</v>
          </cell>
          <cell r="AC79" t="str">
            <v>3Q04A</v>
          </cell>
          <cell r="AD79" t="str">
            <v>4Q04A</v>
          </cell>
          <cell r="AE79" t="str">
            <v>1Q05A</v>
          </cell>
          <cell r="AF79" t="str">
            <v>2Q05A</v>
          </cell>
          <cell r="AG79" t="str">
            <v>3Q05A</v>
          </cell>
          <cell r="AH79" t="str">
            <v>Current</v>
          </cell>
        </row>
        <row r="82">
          <cell r="A82" t="str">
            <v>Implied Cap Rate</v>
          </cell>
          <cell r="C82">
            <v>8.7916810240409954E-2</v>
          </cell>
          <cell r="D82">
            <v>8.8947160988900348E-2</v>
          </cell>
          <cell r="E82">
            <v>0.10299300050134791</v>
          </cell>
          <cell r="F82">
            <v>0.10166336559510583</v>
          </cell>
          <cell r="G82">
            <v>0.10576211996726641</v>
          </cell>
          <cell r="H82">
            <v>0.10964481570993281</v>
          </cell>
          <cell r="I82">
            <v>0.1173078303196152</v>
          </cell>
          <cell r="J82">
            <v>0.12310806305693385</v>
          </cell>
          <cell r="K82">
            <v>0.12158803601323769</v>
          </cell>
          <cell r="L82">
            <v>0.11803668014586334</v>
          </cell>
          <cell r="M82">
            <v>0.10317062551488972</v>
          </cell>
          <cell r="N82">
            <v>0.1082701004785223</v>
          </cell>
          <cell r="O82">
            <v>0.1061803695764333</v>
          </cell>
          <cell r="P82">
            <v>0.10049059672866405</v>
          </cell>
          <cell r="Q82">
            <v>9.9252641885395274E-2</v>
          </cell>
          <cell r="R82">
            <v>9.8087075251282518E-2</v>
          </cell>
          <cell r="S82">
            <v>9.7737184536414376E-2</v>
          </cell>
          <cell r="T82">
            <v>9.6116509638751346E-2</v>
          </cell>
          <cell r="U82">
            <v>0.10191354276040712</v>
          </cell>
          <cell r="V82">
            <v>9.9195721624387126E-2</v>
          </cell>
          <cell r="W82">
            <v>0.10421693220240388</v>
          </cell>
          <cell r="X82">
            <v>9.6267394850779106E-2</v>
          </cell>
          <cell r="Y82">
            <v>8.9843756283007906E-2</v>
          </cell>
          <cell r="Z82">
            <v>8.8296849779249814E-2</v>
          </cell>
          <cell r="AA82">
            <v>8.103054925774332E-2</v>
          </cell>
          <cell r="AB82">
            <v>8.561908658471927E-2</v>
          </cell>
          <cell r="AC82">
            <v>8.0893473717387171E-2</v>
          </cell>
          <cell r="AD82">
            <v>7.6375462402430455E-2</v>
          </cell>
          <cell r="AE82">
            <v>8.1244002971527424E-2</v>
          </cell>
          <cell r="AF82">
            <v>7.6236734062525346E-2</v>
          </cell>
          <cell r="AG82">
            <v>6.5875687983711656E-2</v>
          </cell>
          <cell r="AH82">
            <v>6.2553536741032797E-2</v>
          </cell>
        </row>
        <row r="83">
          <cell r="B83" t="str">
            <v xml:space="preserve">Average </v>
          </cell>
          <cell r="C83">
            <v>9.6119866167821214E-2</v>
          </cell>
          <cell r="D83">
            <v>9.6119866167821214E-2</v>
          </cell>
          <cell r="E83">
            <v>9.6119866167821214E-2</v>
          </cell>
          <cell r="F83">
            <v>9.6119866167821214E-2</v>
          </cell>
          <cell r="G83">
            <v>9.6119866167821214E-2</v>
          </cell>
          <cell r="H83">
            <v>9.6119866167821214E-2</v>
          </cell>
          <cell r="I83">
            <v>9.6119866167821214E-2</v>
          </cell>
          <cell r="J83">
            <v>9.6119866167821214E-2</v>
          </cell>
          <cell r="K83">
            <v>9.6119866167821214E-2</v>
          </cell>
          <cell r="L83">
            <v>9.6119866167821214E-2</v>
          </cell>
          <cell r="M83">
            <v>9.6119866167821214E-2</v>
          </cell>
          <cell r="N83">
            <v>9.6119866167821214E-2</v>
          </cell>
          <cell r="O83">
            <v>9.6119866167821214E-2</v>
          </cell>
          <cell r="P83">
            <v>9.6119866167821214E-2</v>
          </cell>
          <cell r="Q83">
            <v>9.6119866167821214E-2</v>
          </cell>
          <cell r="R83">
            <v>9.6119866167821214E-2</v>
          </cell>
          <cell r="S83">
            <v>9.6119866167821214E-2</v>
          </cell>
          <cell r="T83">
            <v>9.6119866167821214E-2</v>
          </cell>
          <cell r="U83">
            <v>9.6119866167821214E-2</v>
          </cell>
          <cell r="V83">
            <v>9.6119866167821214E-2</v>
          </cell>
          <cell r="W83">
            <v>9.6119866167821214E-2</v>
          </cell>
          <cell r="X83">
            <v>9.6119866167821214E-2</v>
          </cell>
          <cell r="Y83">
            <v>9.6119866167821214E-2</v>
          </cell>
          <cell r="Z83">
            <v>9.6119866167821214E-2</v>
          </cell>
          <cell r="AA83">
            <v>9.6119866167821214E-2</v>
          </cell>
          <cell r="AB83">
            <v>9.6119866167821214E-2</v>
          </cell>
          <cell r="AC83">
            <v>9.6119866167821214E-2</v>
          </cell>
          <cell r="AD83">
            <v>9.6119866167821214E-2</v>
          </cell>
          <cell r="AE83">
            <v>9.6119866167821214E-2</v>
          </cell>
          <cell r="AF83">
            <v>9.6119866167821214E-2</v>
          </cell>
          <cell r="AG83">
            <v>9.6119866167821214E-2</v>
          </cell>
          <cell r="AH83">
            <v>9.6119866167821214E-2</v>
          </cell>
        </row>
        <row r="86">
          <cell r="A86" t="str">
            <v>Economic Implied Cap Rate</v>
          </cell>
          <cell r="C86">
            <v>7.9828276076870916E-2</v>
          </cell>
          <cell r="D86">
            <v>7.9432658050289415E-2</v>
          </cell>
          <cell r="E86">
            <v>9.3377393427040045E-2</v>
          </cell>
          <cell r="F86">
            <v>9.1729607572341443E-2</v>
          </cell>
          <cell r="G86">
            <v>9.385598631290791E-2</v>
          </cell>
          <cell r="H86">
            <v>9.7933274214049237E-2</v>
          </cell>
          <cell r="I86">
            <v>0.10504467441411709</v>
          </cell>
          <cell r="J86">
            <v>0.11034686048476801</v>
          </cell>
          <cell r="K86">
            <v>0.10766088156216251</v>
          </cell>
          <cell r="L86">
            <v>0.10539403270324516</v>
          </cell>
          <cell r="M86">
            <v>9.2429114496376238E-2</v>
          </cell>
          <cell r="N86">
            <v>9.7518810602962025E-2</v>
          </cell>
          <cell r="O86">
            <v>9.459907416567577E-2</v>
          </cell>
          <cell r="P86">
            <v>8.9510869124092743E-2</v>
          </cell>
          <cell r="Q86">
            <v>8.7799634211956232E-2</v>
          </cell>
          <cell r="R86">
            <v>8.6726067555146544E-2</v>
          </cell>
          <cell r="S86">
            <v>8.6085203105253055E-2</v>
          </cell>
          <cell r="T86">
            <v>8.3369012794260011E-2</v>
          </cell>
          <cell r="U86">
            <v>8.9686261593110397E-2</v>
          </cell>
          <cell r="V86">
            <v>8.6295807914107805E-2</v>
          </cell>
          <cell r="W86">
            <v>8.8250688295304969E-2</v>
          </cell>
          <cell r="X86">
            <v>8.2308343498913777E-2</v>
          </cell>
          <cell r="Y86">
            <v>7.6872807111170144E-2</v>
          </cell>
          <cell r="Z86">
            <v>7.4526731916487371E-2</v>
          </cell>
          <cell r="AA86">
            <v>6.5210581180385863E-2</v>
          </cell>
          <cell r="AB86">
            <v>6.9568402920886979E-2</v>
          </cell>
          <cell r="AC86">
            <v>6.6399170439199531E-2</v>
          </cell>
          <cell r="AD86">
            <v>5.9870301124141025E-2</v>
          </cell>
          <cell r="AE86">
            <v>6.4759391839048802E-2</v>
          </cell>
          <cell r="AF86">
            <v>6.1295876345749074E-2</v>
          </cell>
          <cell r="AG86">
            <v>5.269105188180858E-2</v>
          </cell>
          <cell r="AH86">
            <v>5.0487215341362884E-2</v>
          </cell>
        </row>
        <row r="87">
          <cell r="B87" t="str">
            <v xml:space="preserve">Average </v>
          </cell>
          <cell r="C87">
            <v>8.3464501946099737E-2</v>
          </cell>
          <cell r="D87">
            <v>8.3464501946099737E-2</v>
          </cell>
          <cell r="E87">
            <v>8.3464501946099737E-2</v>
          </cell>
          <cell r="F87">
            <v>8.3464501946099737E-2</v>
          </cell>
          <cell r="G87">
            <v>8.3464501946099737E-2</v>
          </cell>
          <cell r="H87">
            <v>8.3464501946099737E-2</v>
          </cell>
          <cell r="I87">
            <v>8.3464501946099737E-2</v>
          </cell>
          <cell r="J87">
            <v>8.3464501946099737E-2</v>
          </cell>
          <cell r="K87">
            <v>8.3464501946099737E-2</v>
          </cell>
          <cell r="L87">
            <v>8.3464501946099737E-2</v>
          </cell>
          <cell r="M87">
            <v>8.3464501946099737E-2</v>
          </cell>
          <cell r="N87">
            <v>8.3464501946099737E-2</v>
          </cell>
          <cell r="O87">
            <v>8.3464501946099737E-2</v>
          </cell>
          <cell r="P87">
            <v>8.3464501946099737E-2</v>
          </cell>
          <cell r="Q87">
            <v>8.3464501946099737E-2</v>
          </cell>
          <cell r="R87">
            <v>8.3464501946099737E-2</v>
          </cell>
          <cell r="S87">
            <v>8.3464501946099737E-2</v>
          </cell>
          <cell r="T87">
            <v>8.3464501946099737E-2</v>
          </cell>
          <cell r="U87">
            <v>8.3464501946099737E-2</v>
          </cell>
          <cell r="V87">
            <v>8.3464501946099737E-2</v>
          </cell>
          <cell r="W87">
            <v>8.3464501946099737E-2</v>
          </cell>
          <cell r="X87">
            <v>8.3464501946099737E-2</v>
          </cell>
          <cell r="Y87">
            <v>8.3464501946099737E-2</v>
          </cell>
          <cell r="Z87">
            <v>8.3464501946099737E-2</v>
          </cell>
          <cell r="AA87">
            <v>8.3464501946099737E-2</v>
          </cell>
          <cell r="AB87">
            <v>8.3464501946099737E-2</v>
          </cell>
          <cell r="AC87">
            <v>8.3464501946099737E-2</v>
          </cell>
          <cell r="AD87">
            <v>8.3464501946099737E-2</v>
          </cell>
          <cell r="AE87">
            <v>8.3464501946099737E-2</v>
          </cell>
          <cell r="AF87">
            <v>8.3464501946099737E-2</v>
          </cell>
          <cell r="AG87">
            <v>8.3464501946099737E-2</v>
          </cell>
          <cell r="AH87">
            <v>8.3464501946099737E-2</v>
          </cell>
        </row>
        <row r="91">
          <cell r="A91" t="str">
            <v>Implied Office Price/SF</v>
          </cell>
          <cell r="C91">
            <v>133.97190909090909</v>
          </cell>
          <cell r="D91">
            <v>139.92019676920432</v>
          </cell>
          <cell r="E91">
            <v>125.69076970169191</v>
          </cell>
          <cell r="F91">
            <v>129.48641682435442</v>
          </cell>
          <cell r="G91">
            <v>127.44837197692479</v>
          </cell>
          <cell r="H91">
            <v>127.32432847588495</v>
          </cell>
          <cell r="I91">
            <v>119.3278066190785</v>
          </cell>
          <cell r="J91">
            <v>115.46733519900496</v>
          </cell>
          <cell r="K91">
            <v>121.05259842093878</v>
          </cell>
          <cell r="L91">
            <v>131.74338092147954</v>
          </cell>
          <cell r="M91">
            <v>151.06981223977795</v>
          </cell>
          <cell r="N91">
            <v>147.5591180726766</v>
          </cell>
          <cell r="O91">
            <v>142.53728695465753</v>
          </cell>
          <cell r="P91">
            <v>154.41802793174656</v>
          </cell>
          <cell r="Q91">
            <v>151.00982814295878</v>
          </cell>
          <cell r="R91">
            <v>156.29197676330355</v>
          </cell>
          <cell r="S91">
            <v>164.25323103998241</v>
          </cell>
          <cell r="T91">
            <v>165.22433211395634</v>
          </cell>
          <cell r="U91">
            <v>148.82187582913238</v>
          </cell>
          <cell r="V91">
            <v>145.54227210955469</v>
          </cell>
          <cell r="W91">
            <v>142.22824715669756</v>
          </cell>
          <cell r="X91">
            <v>156.2131680721921</v>
          </cell>
          <cell r="Y91">
            <v>164.23709459096523</v>
          </cell>
          <cell r="Z91">
            <v>174.84223599484869</v>
          </cell>
          <cell r="AA91">
            <v>184.41239354451773</v>
          </cell>
          <cell r="AB91">
            <v>174.8011925624815</v>
          </cell>
          <cell r="AC91">
            <v>182.5934525501516</v>
          </cell>
          <cell r="AD91">
            <v>211.19315266337176</v>
          </cell>
          <cell r="AE91">
            <v>198.02087267904511</v>
          </cell>
          <cell r="AF91">
            <v>209.96703133132095</v>
          </cell>
          <cell r="AG91">
            <v>239.43655912818301</v>
          </cell>
          <cell r="AH91">
            <v>256.26757552870095</v>
          </cell>
        </row>
        <row r="92">
          <cell r="B92" t="str">
            <v xml:space="preserve">Average </v>
          </cell>
          <cell r="C92">
            <v>159.13668284374046</v>
          </cell>
          <cell r="D92">
            <v>159.13668284374046</v>
          </cell>
          <cell r="E92">
            <v>159.13668284374046</v>
          </cell>
          <cell r="F92">
            <v>159.13668284374046</v>
          </cell>
          <cell r="G92">
            <v>159.13668284374046</v>
          </cell>
          <cell r="H92">
            <v>159.13668284374046</v>
          </cell>
          <cell r="I92">
            <v>159.13668284374046</v>
          </cell>
          <cell r="J92">
            <v>159.13668284374046</v>
          </cell>
          <cell r="K92">
            <v>159.13668284374046</v>
          </cell>
          <cell r="L92">
            <v>159.13668284374046</v>
          </cell>
          <cell r="M92">
            <v>159.13668284374046</v>
          </cell>
          <cell r="N92">
            <v>159.13668284374046</v>
          </cell>
          <cell r="O92">
            <v>159.13668284374046</v>
          </cell>
          <cell r="P92">
            <v>159.13668284374046</v>
          </cell>
          <cell r="Q92">
            <v>159.13668284374046</v>
          </cell>
          <cell r="R92">
            <v>159.13668284374046</v>
          </cell>
          <cell r="S92">
            <v>159.13668284374046</v>
          </cell>
          <cell r="T92">
            <v>159.13668284374046</v>
          </cell>
          <cell r="U92">
            <v>159.13668284374046</v>
          </cell>
          <cell r="V92">
            <v>159.13668284374046</v>
          </cell>
          <cell r="W92">
            <v>159.13668284374046</v>
          </cell>
          <cell r="X92">
            <v>159.13668284374046</v>
          </cell>
          <cell r="Y92">
            <v>159.13668284374046</v>
          </cell>
          <cell r="Z92">
            <v>159.13668284374046</v>
          </cell>
          <cell r="AA92">
            <v>159.13668284374046</v>
          </cell>
          <cell r="AB92">
            <v>159.13668284374046</v>
          </cell>
          <cell r="AC92">
            <v>159.13668284374046</v>
          </cell>
          <cell r="AD92">
            <v>159.13668284374046</v>
          </cell>
          <cell r="AE92">
            <v>159.13668284374046</v>
          </cell>
          <cell r="AF92">
            <v>159.13668284374046</v>
          </cell>
          <cell r="AG92">
            <v>159.13668284374046</v>
          </cell>
          <cell r="AH92">
            <v>159.13668284374046</v>
          </cell>
        </row>
        <row r="94">
          <cell r="A94" t="str">
            <v>Share Price</v>
          </cell>
          <cell r="C94">
            <v>28.5</v>
          </cell>
          <cell r="D94">
            <v>25.875</v>
          </cell>
          <cell r="E94">
            <v>22.3125</v>
          </cell>
          <cell r="F94">
            <v>23.1875</v>
          </cell>
          <cell r="G94">
            <v>22.25</v>
          </cell>
          <cell r="H94">
            <v>24.625</v>
          </cell>
          <cell r="I94">
            <v>21.75</v>
          </cell>
          <cell r="J94">
            <v>20.0625</v>
          </cell>
          <cell r="K94">
            <v>20.875</v>
          </cell>
          <cell r="L94">
            <v>23.5</v>
          </cell>
          <cell r="M94">
            <v>26.8125</v>
          </cell>
          <cell r="N94">
            <v>25.125</v>
          </cell>
          <cell r="O94">
            <v>23.6</v>
          </cell>
          <cell r="P94">
            <v>26.700000000000003</v>
          </cell>
          <cell r="Q94">
            <v>25.57</v>
          </cell>
          <cell r="R94">
            <v>26.5</v>
          </cell>
          <cell r="S94">
            <v>28.400000000000002</v>
          </cell>
          <cell r="T94">
            <v>28.45</v>
          </cell>
          <cell r="U94">
            <v>23.650000000000002</v>
          </cell>
          <cell r="V94">
            <v>22.150000000000002</v>
          </cell>
          <cell r="W94">
            <v>22.68</v>
          </cell>
          <cell r="X94">
            <v>25.95</v>
          </cell>
          <cell r="Y94">
            <v>27.92</v>
          </cell>
          <cell r="Z94">
            <v>30.34</v>
          </cell>
          <cell r="AA94">
            <v>32.33</v>
          </cell>
          <cell r="AB94">
            <v>29.41</v>
          </cell>
          <cell r="AC94">
            <v>32.58</v>
          </cell>
          <cell r="AD94">
            <v>37.72</v>
          </cell>
          <cell r="AE94">
            <v>33.85</v>
          </cell>
          <cell r="AF94">
            <v>35.980000000000004</v>
          </cell>
          <cell r="AG94">
            <v>41.17</v>
          </cell>
          <cell r="AH94">
            <v>45.71</v>
          </cell>
        </row>
        <row r="97">
          <cell r="AE97" t="str">
            <v>2005-Q1</v>
          </cell>
          <cell r="AF97" t="str">
            <v>2005-Q2</v>
          </cell>
          <cell r="AG97" t="str">
            <v>2005-Q3</v>
          </cell>
          <cell r="AH97" t="str">
            <v>2005-FY</v>
          </cell>
        </row>
        <row r="117">
          <cell r="C117" t="str">
            <v>Update the charts to include the Current Quarter's Data</v>
          </cell>
        </row>
      </sheetData>
      <sheetData sheetId="19" refreshError="1">
        <row r="1">
          <cell r="A1" t="str">
            <v>Arden Realty</v>
          </cell>
        </row>
        <row r="2">
          <cell r="A2" t="str">
            <v>NAV Calculation</v>
          </cell>
        </row>
        <row r="3">
          <cell r="A3" t="str">
            <v>(Dollars in Thousands, Except Per Share)</v>
          </cell>
        </row>
        <row r="6">
          <cell r="E6" t="str">
            <v>1998A</v>
          </cell>
          <cell r="J6" t="str">
            <v>1999A</v>
          </cell>
          <cell r="P6" t="str">
            <v>2000A</v>
          </cell>
          <cell r="V6" t="str">
            <v>2001A</v>
          </cell>
          <cell r="AB6" t="str">
            <v>2002A</v>
          </cell>
          <cell r="AH6" t="str">
            <v>2003A</v>
          </cell>
          <cell r="AN6" t="str">
            <v>2004A</v>
          </cell>
          <cell r="AT6" t="str">
            <v>2005E</v>
          </cell>
        </row>
        <row r="7">
          <cell r="A7" t="str">
            <v>Real Estate Value</v>
          </cell>
          <cell r="C7" t="str">
            <v>1997</v>
          </cell>
          <cell r="E7" t="str">
            <v>1QA</v>
          </cell>
          <cell r="F7" t="str">
            <v>2QA</v>
          </cell>
          <cell r="G7" t="str">
            <v>3QA</v>
          </cell>
          <cell r="H7" t="str">
            <v>4QA</v>
          </cell>
          <cell r="J7" t="str">
            <v>1QA</v>
          </cell>
          <cell r="K7" t="str">
            <v>2QA</v>
          </cell>
          <cell r="L7" t="str">
            <v>3QA</v>
          </cell>
          <cell r="M7" t="str">
            <v>4QA</v>
          </cell>
          <cell r="P7" t="str">
            <v>1QA</v>
          </cell>
          <cell r="Q7" t="str">
            <v>2QA</v>
          </cell>
          <cell r="R7" t="str">
            <v>3QA</v>
          </cell>
          <cell r="S7" t="str">
            <v>4QA</v>
          </cell>
          <cell r="V7" t="str">
            <v>1QA</v>
          </cell>
          <cell r="W7" t="str">
            <v>2QA</v>
          </cell>
          <cell r="X7" t="str">
            <v>3QA</v>
          </cell>
          <cell r="Y7" t="str">
            <v>4QA</v>
          </cell>
          <cell r="AB7" t="str">
            <v>1QA</v>
          </cell>
          <cell r="AC7" t="str">
            <v>2QA</v>
          </cell>
          <cell r="AD7" t="str">
            <v>3QA</v>
          </cell>
          <cell r="AE7" t="str">
            <v>4QA</v>
          </cell>
          <cell r="AH7" t="str">
            <v>1QA</v>
          </cell>
          <cell r="AI7" t="str">
            <v>2QA</v>
          </cell>
          <cell r="AJ7" t="str">
            <v>3QA</v>
          </cell>
          <cell r="AK7" t="str">
            <v>4QA</v>
          </cell>
          <cell r="AN7" t="str">
            <v>1QA</v>
          </cell>
          <cell r="AO7" t="str">
            <v>2QA</v>
          </cell>
          <cell r="AP7" t="str">
            <v>3QA</v>
          </cell>
          <cell r="AQ7" t="str">
            <v>4QA</v>
          </cell>
          <cell r="AT7" t="str">
            <v>1QA</v>
          </cell>
          <cell r="AU7" t="str">
            <v>2QA</v>
          </cell>
          <cell r="AV7" t="str">
            <v>3QA</v>
          </cell>
          <cell r="AW7" t="str">
            <v>FAV</v>
          </cell>
        </row>
        <row r="9">
          <cell r="A9" t="str">
            <v>Consolidated Property NOI -- Quarterly</v>
          </cell>
          <cell r="C9">
            <v>89485</v>
          </cell>
          <cell r="E9">
            <v>38021</v>
          </cell>
          <cell r="F9">
            <v>48960</v>
          </cell>
          <cell r="G9">
            <v>52666</v>
          </cell>
          <cell r="H9">
            <v>54850</v>
          </cell>
          <cell r="J9">
            <v>55826</v>
          </cell>
          <cell r="K9">
            <v>58268</v>
          </cell>
          <cell r="L9">
            <v>59979</v>
          </cell>
          <cell r="M9">
            <v>62496</v>
          </cell>
          <cell r="P9">
            <v>64331</v>
          </cell>
          <cell r="Q9">
            <v>66135</v>
          </cell>
          <cell r="R9">
            <v>69515</v>
          </cell>
          <cell r="S9">
            <v>73692</v>
          </cell>
          <cell r="V9">
            <v>73279</v>
          </cell>
          <cell r="W9">
            <v>73706</v>
          </cell>
          <cell r="X9">
            <v>73815</v>
          </cell>
          <cell r="Y9">
            <v>75149</v>
          </cell>
          <cell r="AB9">
            <v>72038</v>
          </cell>
          <cell r="AC9">
            <v>71717</v>
          </cell>
          <cell r="AD9">
            <v>69443</v>
          </cell>
          <cell r="AE9">
            <v>70390</v>
          </cell>
          <cell r="AH9">
            <v>72009</v>
          </cell>
          <cell r="AI9">
            <v>71557</v>
          </cell>
          <cell r="AJ9">
            <v>69603</v>
          </cell>
          <cell r="AK9">
            <v>71666</v>
          </cell>
          <cell r="AN9">
            <v>70382</v>
          </cell>
          <cell r="AO9">
            <v>71235</v>
          </cell>
          <cell r="AP9">
            <v>69447</v>
          </cell>
          <cell r="AQ9">
            <v>71584</v>
          </cell>
          <cell r="AT9">
            <v>68571</v>
          </cell>
          <cell r="AU9">
            <v>72783</v>
          </cell>
          <cell r="AV9">
            <v>74828</v>
          </cell>
        </row>
        <row r="10">
          <cell r="A10" t="str">
            <v>Less: Straight-line Rents -- Quarterly</v>
          </cell>
          <cell r="C10">
            <v>-2742</v>
          </cell>
          <cell r="E10">
            <v>-1253</v>
          </cell>
          <cell r="F10">
            <v>-1738</v>
          </cell>
          <cell r="G10">
            <v>-2602</v>
          </cell>
          <cell r="H10">
            <v>-2600</v>
          </cell>
          <cell r="J10">
            <v>-1609</v>
          </cell>
          <cell r="K10">
            <v>-1958</v>
          </cell>
          <cell r="L10">
            <v>-1990</v>
          </cell>
          <cell r="M10">
            <v>-1981</v>
          </cell>
          <cell r="P10">
            <v>-1398</v>
          </cell>
          <cell r="Q10">
            <v>-1944</v>
          </cell>
          <cell r="R10">
            <v>-2330</v>
          </cell>
          <cell r="S10">
            <v>-2406</v>
          </cell>
          <cell r="V10">
            <v>-2361</v>
          </cell>
          <cell r="W10">
            <v>-2149</v>
          </cell>
          <cell r="X10">
            <v>-2428</v>
          </cell>
          <cell r="Y10">
            <v>-2270</v>
          </cell>
          <cell r="AB10">
            <v>-1650</v>
          </cell>
          <cell r="AC10">
            <v>-2135</v>
          </cell>
          <cell r="AD10">
            <v>-880</v>
          </cell>
          <cell r="AE10">
            <v>-795</v>
          </cell>
          <cell r="AH10">
            <v>-613</v>
          </cell>
          <cell r="AI10">
            <v>-337</v>
          </cell>
          <cell r="AJ10">
            <v>-337</v>
          </cell>
          <cell r="AK10">
            <v>-427</v>
          </cell>
          <cell r="AN10">
            <v>-893</v>
          </cell>
          <cell r="AO10">
            <v>-448</v>
          </cell>
          <cell r="AP10">
            <v>-15</v>
          </cell>
          <cell r="AQ10">
            <v>-485</v>
          </cell>
          <cell r="AT10">
            <v>-804</v>
          </cell>
          <cell r="AU10">
            <v>-997</v>
          </cell>
          <cell r="AV10">
            <v>-345</v>
          </cell>
        </row>
        <row r="11">
          <cell r="A11" t="str">
            <v>Less: Distributions to Minority Partners -- Quarterly</v>
          </cell>
          <cell r="C11">
            <v>0</v>
          </cell>
          <cell r="E11">
            <v>0</v>
          </cell>
          <cell r="F11">
            <v>0</v>
          </cell>
          <cell r="G11">
            <v>0</v>
          </cell>
          <cell r="H11">
            <v>0</v>
          </cell>
          <cell r="J11">
            <v>0</v>
          </cell>
          <cell r="K11">
            <v>0</v>
          </cell>
          <cell r="L11">
            <v>0</v>
          </cell>
          <cell r="M11">
            <v>0</v>
          </cell>
          <cell r="P11">
            <v>0</v>
          </cell>
          <cell r="Q11">
            <v>0</v>
          </cell>
          <cell r="R11">
            <v>0</v>
          </cell>
          <cell r="S11">
            <v>0</v>
          </cell>
          <cell r="V11">
            <v>0</v>
          </cell>
          <cell r="W11">
            <v>0</v>
          </cell>
          <cell r="X11">
            <v>0</v>
          </cell>
          <cell r="Y11">
            <v>0</v>
          </cell>
          <cell r="AB11">
            <v>0</v>
          </cell>
          <cell r="AC11">
            <v>0</v>
          </cell>
          <cell r="AD11">
            <v>0</v>
          </cell>
          <cell r="AE11">
            <v>0</v>
          </cell>
          <cell r="AH11">
            <v>0</v>
          </cell>
          <cell r="AI11">
            <v>0</v>
          </cell>
          <cell r="AJ11">
            <v>0</v>
          </cell>
          <cell r="AK11">
            <v>0</v>
          </cell>
          <cell r="AN11">
            <v>0</v>
          </cell>
          <cell r="AO11">
            <v>0</v>
          </cell>
          <cell r="AP11">
            <v>0</v>
          </cell>
          <cell r="AQ11">
            <v>0</v>
          </cell>
          <cell r="AT11">
            <v>0</v>
          </cell>
          <cell r="AU11">
            <v>0</v>
          </cell>
          <cell r="AV11">
            <v>0</v>
          </cell>
        </row>
        <row r="12">
          <cell r="A12" t="str">
            <v>Total Quarterly NOI</v>
          </cell>
          <cell r="C12">
            <v>86743</v>
          </cell>
          <cell r="E12">
            <v>36768</v>
          </cell>
          <cell r="F12">
            <v>47222</v>
          </cell>
          <cell r="G12">
            <v>50064</v>
          </cell>
          <cell r="H12">
            <v>52250</v>
          </cell>
          <cell r="J12">
            <v>54217</v>
          </cell>
          <cell r="K12">
            <v>56310</v>
          </cell>
          <cell r="L12">
            <v>57989</v>
          </cell>
          <cell r="M12">
            <v>60515</v>
          </cell>
          <cell r="P12">
            <v>62933</v>
          </cell>
          <cell r="Q12">
            <v>64191</v>
          </cell>
          <cell r="R12">
            <v>67185</v>
          </cell>
          <cell r="S12">
            <v>71286</v>
          </cell>
          <cell r="V12">
            <v>70918</v>
          </cell>
          <cell r="W12">
            <v>71557</v>
          </cell>
          <cell r="X12">
            <v>71387</v>
          </cell>
          <cell r="Y12">
            <v>72879</v>
          </cell>
          <cell r="AB12">
            <v>70388</v>
          </cell>
          <cell r="AC12">
            <v>69582</v>
          </cell>
          <cell r="AD12">
            <v>68563</v>
          </cell>
          <cell r="AE12">
            <v>69595</v>
          </cell>
          <cell r="AH12">
            <v>71396</v>
          </cell>
          <cell r="AI12">
            <v>71220</v>
          </cell>
          <cell r="AJ12">
            <v>69266</v>
          </cell>
          <cell r="AK12">
            <v>71239</v>
          </cell>
          <cell r="AN12">
            <v>69489</v>
          </cell>
          <cell r="AO12">
            <v>70787</v>
          </cell>
          <cell r="AP12">
            <v>69432</v>
          </cell>
          <cell r="AQ12">
            <v>71099</v>
          </cell>
          <cell r="AT12">
            <v>67767</v>
          </cell>
          <cell r="AU12">
            <v>71786</v>
          </cell>
          <cell r="AV12">
            <v>74483</v>
          </cell>
        </row>
        <row r="13">
          <cell r="A13" t="str">
            <v>Annualization Factor</v>
          </cell>
          <cell r="C13">
            <v>1</v>
          </cell>
          <cell r="E13">
            <v>4</v>
          </cell>
          <cell r="F13">
            <v>4</v>
          </cell>
          <cell r="G13">
            <v>4</v>
          </cell>
          <cell r="H13">
            <v>4</v>
          </cell>
          <cell r="J13">
            <v>4</v>
          </cell>
          <cell r="K13">
            <v>4</v>
          </cell>
          <cell r="L13">
            <v>4</v>
          </cell>
          <cell r="M13">
            <v>4</v>
          </cell>
          <cell r="P13">
            <v>4</v>
          </cell>
          <cell r="Q13">
            <v>4</v>
          </cell>
          <cell r="R13">
            <v>4</v>
          </cell>
          <cell r="S13">
            <v>4</v>
          </cell>
          <cell r="V13">
            <v>4</v>
          </cell>
          <cell r="W13">
            <v>4</v>
          </cell>
          <cell r="X13">
            <v>4</v>
          </cell>
          <cell r="Y13">
            <v>4</v>
          </cell>
          <cell r="AB13">
            <v>4</v>
          </cell>
          <cell r="AC13">
            <v>4</v>
          </cell>
          <cell r="AD13">
            <v>4</v>
          </cell>
          <cell r="AE13">
            <v>4</v>
          </cell>
          <cell r="AH13">
            <v>4</v>
          </cell>
          <cell r="AI13">
            <v>4</v>
          </cell>
          <cell r="AJ13">
            <v>4</v>
          </cell>
          <cell r="AK13">
            <v>4</v>
          </cell>
          <cell r="AN13">
            <v>4</v>
          </cell>
          <cell r="AO13">
            <v>4</v>
          </cell>
          <cell r="AP13">
            <v>4</v>
          </cell>
          <cell r="AQ13">
            <v>4</v>
          </cell>
          <cell r="AT13">
            <v>4</v>
          </cell>
          <cell r="AU13">
            <v>4</v>
          </cell>
          <cell r="AV13">
            <v>4</v>
          </cell>
        </row>
        <row r="14">
          <cell r="A14" t="str">
            <v>Annualized NOI</v>
          </cell>
          <cell r="C14">
            <v>86743</v>
          </cell>
          <cell r="E14">
            <v>147072</v>
          </cell>
          <cell r="F14">
            <v>188888</v>
          </cell>
          <cell r="G14">
            <v>200256</v>
          </cell>
          <cell r="H14">
            <v>209000</v>
          </cell>
          <cell r="J14">
            <v>216868</v>
          </cell>
          <cell r="K14">
            <v>225240</v>
          </cell>
          <cell r="L14">
            <v>231956</v>
          </cell>
          <cell r="M14">
            <v>242060</v>
          </cell>
          <cell r="P14">
            <v>251732</v>
          </cell>
          <cell r="Q14">
            <v>256764</v>
          </cell>
          <cell r="R14">
            <v>268740</v>
          </cell>
          <cell r="S14">
            <v>285144</v>
          </cell>
          <cell r="V14">
            <v>283672</v>
          </cell>
          <cell r="W14">
            <v>286228</v>
          </cell>
          <cell r="X14">
            <v>285548</v>
          </cell>
          <cell r="Y14">
            <v>291516</v>
          </cell>
          <cell r="AB14">
            <v>281552</v>
          </cell>
          <cell r="AC14">
            <v>278328</v>
          </cell>
          <cell r="AD14">
            <v>274252</v>
          </cell>
          <cell r="AE14">
            <v>278380</v>
          </cell>
          <cell r="AH14">
            <v>285584</v>
          </cell>
          <cell r="AI14">
            <v>284880</v>
          </cell>
          <cell r="AJ14">
            <v>277064</v>
          </cell>
          <cell r="AK14">
            <v>284956</v>
          </cell>
          <cell r="AN14">
            <v>277956</v>
          </cell>
          <cell r="AO14">
            <v>283148</v>
          </cell>
          <cell r="AP14">
            <v>277728</v>
          </cell>
          <cell r="AQ14">
            <v>284396</v>
          </cell>
          <cell r="AT14">
            <v>271068</v>
          </cell>
          <cell r="AU14">
            <v>287144</v>
          </cell>
          <cell r="AV14">
            <v>297932</v>
          </cell>
        </row>
        <row r="15">
          <cell r="A15" t="str">
            <v xml:space="preserve">Plus: Adjustments for Recently Acq./Develop. Properties </v>
          </cell>
          <cell r="C15">
            <v>9784</v>
          </cell>
          <cell r="E15">
            <v>36196</v>
          </cell>
          <cell r="F15">
            <v>10178</v>
          </cell>
          <cell r="G15">
            <v>2901</v>
          </cell>
          <cell r="H15">
            <v>0</v>
          </cell>
          <cell r="J15">
            <v>281.25</v>
          </cell>
          <cell r="K15">
            <v>640.6875</v>
          </cell>
          <cell r="L15">
            <v>0</v>
          </cell>
          <cell r="M15">
            <v>0</v>
          </cell>
          <cell r="P15">
            <v>0</v>
          </cell>
          <cell r="Q15">
            <v>1930.9762499999999</v>
          </cell>
          <cell r="R15">
            <v>169.6875</v>
          </cell>
          <cell r="S15">
            <v>-315</v>
          </cell>
          <cell r="V15">
            <v>0</v>
          </cell>
          <cell r="W15">
            <v>832.70650000000012</v>
          </cell>
          <cell r="X15">
            <v>555.71250000000009</v>
          </cell>
          <cell r="Y15">
            <v>-244.625</v>
          </cell>
          <cell r="AB15">
            <v>-86.25</v>
          </cell>
          <cell r="AC15">
            <v>812.82499999999993</v>
          </cell>
          <cell r="AD15">
            <v>1687.5</v>
          </cell>
          <cell r="AE15">
            <v>-28.75</v>
          </cell>
          <cell r="AH15">
            <v>-404.375</v>
          </cell>
          <cell r="AI15">
            <v>-605</v>
          </cell>
          <cell r="AJ15">
            <v>0</v>
          </cell>
          <cell r="AK15">
            <v>937.875</v>
          </cell>
          <cell r="AN15">
            <v>-3477.5</v>
          </cell>
          <cell r="AO15">
            <v>0</v>
          </cell>
          <cell r="AP15">
            <v>-346.875</v>
          </cell>
          <cell r="AQ15">
            <v>-10824.68</v>
          </cell>
          <cell r="AT15">
            <v>6948.125</v>
          </cell>
          <cell r="AU15">
            <v>586.54420000000005</v>
          </cell>
          <cell r="AV15">
            <v>-3702.2399999999993</v>
          </cell>
        </row>
        <row r="16">
          <cell r="A16" t="str">
            <v>Total Consolidated NOI</v>
          </cell>
          <cell r="C16">
            <v>96527</v>
          </cell>
          <cell r="E16">
            <v>183268</v>
          </cell>
          <cell r="F16">
            <v>199066</v>
          </cell>
          <cell r="G16">
            <v>203157</v>
          </cell>
          <cell r="H16">
            <v>209000</v>
          </cell>
          <cell r="J16">
            <v>217149.25</v>
          </cell>
          <cell r="K16">
            <v>225880.6875</v>
          </cell>
          <cell r="L16">
            <v>231956</v>
          </cell>
          <cell r="M16">
            <v>242060</v>
          </cell>
          <cell r="P16">
            <v>251732</v>
          </cell>
          <cell r="Q16">
            <v>258694.97625000001</v>
          </cell>
          <cell r="R16">
            <v>268909.6875</v>
          </cell>
          <cell r="S16">
            <v>284829</v>
          </cell>
          <cell r="V16">
            <v>283672</v>
          </cell>
          <cell r="W16">
            <v>287060.70649999997</v>
          </cell>
          <cell r="X16">
            <v>286103.71250000002</v>
          </cell>
          <cell r="Y16">
            <v>291271.375</v>
          </cell>
          <cell r="AB16">
            <v>281465.75</v>
          </cell>
          <cell r="AC16">
            <v>279140.82500000001</v>
          </cell>
          <cell r="AD16">
            <v>275939.5</v>
          </cell>
          <cell r="AE16">
            <v>278351.25</v>
          </cell>
          <cell r="AH16">
            <v>285179.625</v>
          </cell>
          <cell r="AI16">
            <v>284275</v>
          </cell>
          <cell r="AJ16">
            <v>277064</v>
          </cell>
          <cell r="AK16">
            <v>285893.875</v>
          </cell>
          <cell r="AN16">
            <v>274478.5</v>
          </cell>
          <cell r="AO16">
            <v>283148</v>
          </cell>
          <cell r="AP16">
            <v>277381.125</v>
          </cell>
          <cell r="AQ16">
            <v>273571.32</v>
          </cell>
          <cell r="AT16">
            <v>278016.125</v>
          </cell>
          <cell r="AU16">
            <v>287730.5442</v>
          </cell>
          <cell r="AV16">
            <v>294229.76000000001</v>
          </cell>
        </row>
        <row r="18">
          <cell r="A18" t="str">
            <v>Unconsolidated Property NOI -- Quarterly</v>
          </cell>
          <cell r="C18">
            <v>0</v>
          </cell>
          <cell r="E18">
            <v>0</v>
          </cell>
          <cell r="F18">
            <v>0</v>
          </cell>
          <cell r="G18">
            <v>0</v>
          </cell>
          <cell r="H18">
            <v>0</v>
          </cell>
          <cell r="J18">
            <v>0</v>
          </cell>
          <cell r="K18">
            <v>0</v>
          </cell>
          <cell r="L18">
            <v>0</v>
          </cell>
          <cell r="M18">
            <v>0</v>
          </cell>
          <cell r="P18">
            <v>0</v>
          </cell>
          <cell r="Q18">
            <v>0</v>
          </cell>
          <cell r="R18">
            <v>0</v>
          </cell>
          <cell r="S18">
            <v>0</v>
          </cell>
          <cell r="V18">
            <v>0</v>
          </cell>
          <cell r="W18">
            <v>0</v>
          </cell>
          <cell r="X18">
            <v>0</v>
          </cell>
          <cell r="Y18">
            <v>0</v>
          </cell>
          <cell r="AB18">
            <v>0</v>
          </cell>
          <cell r="AC18">
            <v>0</v>
          </cell>
          <cell r="AD18">
            <v>0</v>
          </cell>
          <cell r="AE18">
            <v>0</v>
          </cell>
          <cell r="AH18">
            <v>0</v>
          </cell>
          <cell r="AI18">
            <v>0</v>
          </cell>
          <cell r="AJ18">
            <v>0</v>
          </cell>
          <cell r="AK18">
            <v>0</v>
          </cell>
          <cell r="AN18">
            <v>0</v>
          </cell>
          <cell r="AO18">
            <v>0</v>
          </cell>
          <cell r="AP18">
            <v>0</v>
          </cell>
          <cell r="AQ18">
            <v>0</v>
          </cell>
          <cell r="AT18">
            <v>0</v>
          </cell>
          <cell r="AU18">
            <v>0</v>
          </cell>
          <cell r="AV18">
            <v>0</v>
          </cell>
          <cell r="AW18">
            <v>0</v>
          </cell>
        </row>
        <row r="19">
          <cell r="A19" t="str">
            <v>Less: Straight-Line Rents -- Quarterly</v>
          </cell>
          <cell r="C19">
            <v>0</v>
          </cell>
          <cell r="E19">
            <v>0</v>
          </cell>
          <cell r="F19">
            <v>0</v>
          </cell>
          <cell r="G19">
            <v>0</v>
          </cell>
          <cell r="H19">
            <v>0</v>
          </cell>
          <cell r="J19">
            <v>0</v>
          </cell>
          <cell r="K19">
            <v>0</v>
          </cell>
          <cell r="L19">
            <v>0</v>
          </cell>
          <cell r="M19">
            <v>0</v>
          </cell>
          <cell r="P19">
            <v>0</v>
          </cell>
          <cell r="Q19">
            <v>0</v>
          </cell>
          <cell r="R19">
            <v>0</v>
          </cell>
          <cell r="S19">
            <v>0</v>
          </cell>
          <cell r="V19">
            <v>0</v>
          </cell>
          <cell r="W19">
            <v>0</v>
          </cell>
          <cell r="X19">
            <v>0</v>
          </cell>
          <cell r="Y19">
            <v>0</v>
          </cell>
          <cell r="AB19">
            <v>0</v>
          </cell>
          <cell r="AC19">
            <v>0</v>
          </cell>
          <cell r="AD19">
            <v>0</v>
          </cell>
          <cell r="AE19">
            <v>0</v>
          </cell>
          <cell r="AH19">
            <v>0</v>
          </cell>
          <cell r="AI19">
            <v>0</v>
          </cell>
          <cell r="AJ19">
            <v>0</v>
          </cell>
          <cell r="AK19">
            <v>0</v>
          </cell>
          <cell r="AN19">
            <v>0</v>
          </cell>
          <cell r="AO19">
            <v>0</v>
          </cell>
          <cell r="AP19">
            <v>0</v>
          </cell>
          <cell r="AQ19">
            <v>0</v>
          </cell>
          <cell r="AT19">
            <v>0</v>
          </cell>
          <cell r="AU19">
            <v>0</v>
          </cell>
          <cell r="AV19">
            <v>0</v>
          </cell>
          <cell r="AW19">
            <v>0</v>
          </cell>
        </row>
        <row r="20">
          <cell r="A20" t="str">
            <v>Total Quarterly NOI</v>
          </cell>
          <cell r="C20">
            <v>0</v>
          </cell>
          <cell r="E20">
            <v>0</v>
          </cell>
          <cell r="F20">
            <v>0</v>
          </cell>
          <cell r="G20">
            <v>0</v>
          </cell>
          <cell r="H20">
            <v>0</v>
          </cell>
          <cell r="J20">
            <v>0</v>
          </cell>
          <cell r="K20">
            <v>0</v>
          </cell>
          <cell r="L20">
            <v>0</v>
          </cell>
          <cell r="M20">
            <v>0</v>
          </cell>
          <cell r="P20">
            <v>0</v>
          </cell>
          <cell r="Q20">
            <v>0</v>
          </cell>
          <cell r="R20">
            <v>0</v>
          </cell>
          <cell r="S20">
            <v>0</v>
          </cell>
          <cell r="V20">
            <v>0</v>
          </cell>
          <cell r="W20">
            <v>0</v>
          </cell>
          <cell r="X20">
            <v>0</v>
          </cell>
          <cell r="Y20">
            <v>0</v>
          </cell>
          <cell r="AB20">
            <v>0</v>
          </cell>
          <cell r="AC20">
            <v>0</v>
          </cell>
          <cell r="AD20">
            <v>0</v>
          </cell>
          <cell r="AE20">
            <v>0</v>
          </cell>
          <cell r="AH20">
            <v>0</v>
          </cell>
          <cell r="AI20">
            <v>0</v>
          </cell>
          <cell r="AJ20">
            <v>0</v>
          </cell>
          <cell r="AK20">
            <v>0</v>
          </cell>
          <cell r="AN20">
            <v>0</v>
          </cell>
          <cell r="AO20">
            <v>0</v>
          </cell>
          <cell r="AP20">
            <v>0</v>
          </cell>
          <cell r="AQ20">
            <v>0</v>
          </cell>
          <cell r="AT20">
            <v>0</v>
          </cell>
          <cell r="AU20">
            <v>0</v>
          </cell>
          <cell r="AV20">
            <v>0</v>
          </cell>
          <cell r="AW20">
            <v>0</v>
          </cell>
        </row>
        <row r="21">
          <cell r="A21" t="str">
            <v>Annualization Factor</v>
          </cell>
          <cell r="C21">
            <v>1</v>
          </cell>
          <cell r="E21">
            <v>4</v>
          </cell>
          <cell r="F21">
            <v>4</v>
          </cell>
          <cell r="G21">
            <v>4</v>
          </cell>
          <cell r="H21">
            <v>4</v>
          </cell>
          <cell r="J21">
            <v>4</v>
          </cell>
          <cell r="K21">
            <v>4</v>
          </cell>
          <cell r="L21">
            <v>4</v>
          </cell>
          <cell r="M21">
            <v>4</v>
          </cell>
          <cell r="P21">
            <v>4</v>
          </cell>
          <cell r="Q21">
            <v>4</v>
          </cell>
          <cell r="R21">
            <v>4</v>
          </cell>
          <cell r="S21">
            <v>4</v>
          </cell>
          <cell r="V21">
            <v>4</v>
          </cell>
          <cell r="W21">
            <v>4</v>
          </cell>
          <cell r="X21">
            <v>4</v>
          </cell>
          <cell r="Y21">
            <v>4</v>
          </cell>
          <cell r="AB21">
            <v>4</v>
          </cell>
          <cell r="AC21">
            <v>4</v>
          </cell>
          <cell r="AD21">
            <v>4</v>
          </cell>
          <cell r="AE21">
            <v>4</v>
          </cell>
          <cell r="AH21">
            <v>4</v>
          </cell>
          <cell r="AI21">
            <v>4</v>
          </cell>
          <cell r="AJ21">
            <v>4</v>
          </cell>
          <cell r="AK21">
            <v>4</v>
          </cell>
          <cell r="AN21">
            <v>4</v>
          </cell>
          <cell r="AO21">
            <v>4</v>
          </cell>
          <cell r="AP21">
            <v>4</v>
          </cell>
          <cell r="AQ21">
            <v>4</v>
          </cell>
          <cell r="AT21">
            <v>4</v>
          </cell>
          <cell r="AU21">
            <v>4</v>
          </cell>
          <cell r="AV21">
            <v>4</v>
          </cell>
          <cell r="AW21">
            <v>4</v>
          </cell>
        </row>
        <row r="22">
          <cell r="A22" t="str">
            <v>Annualized NOI</v>
          </cell>
          <cell r="C22">
            <v>0</v>
          </cell>
          <cell r="E22">
            <v>0</v>
          </cell>
          <cell r="F22">
            <v>0</v>
          </cell>
          <cell r="G22">
            <v>0</v>
          </cell>
          <cell r="H22">
            <v>0</v>
          </cell>
          <cell r="J22">
            <v>0</v>
          </cell>
          <cell r="K22">
            <v>0</v>
          </cell>
          <cell r="L22">
            <v>0</v>
          </cell>
          <cell r="M22">
            <v>0</v>
          </cell>
          <cell r="P22">
            <v>0</v>
          </cell>
          <cell r="Q22">
            <v>0</v>
          </cell>
          <cell r="R22">
            <v>0</v>
          </cell>
          <cell r="S22">
            <v>0</v>
          </cell>
          <cell r="V22">
            <v>0</v>
          </cell>
          <cell r="W22">
            <v>0</v>
          </cell>
          <cell r="X22">
            <v>0</v>
          </cell>
          <cell r="Y22">
            <v>0</v>
          </cell>
          <cell r="AB22">
            <v>0</v>
          </cell>
          <cell r="AC22">
            <v>0</v>
          </cell>
          <cell r="AD22">
            <v>0</v>
          </cell>
          <cell r="AE22">
            <v>0</v>
          </cell>
          <cell r="AH22">
            <v>0</v>
          </cell>
          <cell r="AI22">
            <v>0</v>
          </cell>
          <cell r="AJ22">
            <v>0</v>
          </cell>
          <cell r="AK22">
            <v>0</v>
          </cell>
          <cell r="AN22">
            <v>0</v>
          </cell>
          <cell r="AO22">
            <v>0</v>
          </cell>
          <cell r="AP22">
            <v>0</v>
          </cell>
          <cell r="AQ22">
            <v>0</v>
          </cell>
          <cell r="AT22">
            <v>0</v>
          </cell>
          <cell r="AU22">
            <v>0</v>
          </cell>
          <cell r="AV22">
            <v>0</v>
          </cell>
          <cell r="AW22">
            <v>0</v>
          </cell>
        </row>
        <row r="23">
          <cell r="A23" t="str">
            <v xml:space="preserve">Plus: Adjustments for Recently Acquired Properties </v>
          </cell>
          <cell r="C23">
            <v>0</v>
          </cell>
          <cell r="E23">
            <v>0</v>
          </cell>
          <cell r="F23">
            <v>0</v>
          </cell>
          <cell r="G23">
            <v>0</v>
          </cell>
          <cell r="H23">
            <v>0</v>
          </cell>
          <cell r="J23">
            <v>0</v>
          </cell>
          <cell r="K23">
            <v>0</v>
          </cell>
          <cell r="L23">
            <v>0</v>
          </cell>
          <cell r="M23">
            <v>0</v>
          </cell>
          <cell r="P23">
            <v>0</v>
          </cell>
          <cell r="Q23">
            <v>0</v>
          </cell>
          <cell r="R23">
            <v>0</v>
          </cell>
          <cell r="S23">
            <v>0</v>
          </cell>
          <cell r="V23">
            <v>0</v>
          </cell>
          <cell r="W23">
            <v>0</v>
          </cell>
          <cell r="X23">
            <v>0</v>
          </cell>
          <cell r="Y23">
            <v>0</v>
          </cell>
          <cell r="AB23">
            <v>0</v>
          </cell>
          <cell r="AC23">
            <v>0</v>
          </cell>
          <cell r="AD23">
            <v>0</v>
          </cell>
          <cell r="AE23">
            <v>0</v>
          </cell>
          <cell r="AH23">
            <v>0</v>
          </cell>
          <cell r="AI23">
            <v>0</v>
          </cell>
          <cell r="AJ23">
            <v>0</v>
          </cell>
          <cell r="AK23">
            <v>0</v>
          </cell>
          <cell r="AN23">
            <v>0</v>
          </cell>
          <cell r="AO23">
            <v>0</v>
          </cell>
          <cell r="AP23">
            <v>0</v>
          </cell>
          <cell r="AQ23">
            <v>0</v>
          </cell>
          <cell r="AT23">
            <v>0</v>
          </cell>
          <cell r="AU23">
            <v>0</v>
          </cell>
          <cell r="AV23">
            <v>0</v>
          </cell>
          <cell r="AW23">
            <v>0</v>
          </cell>
        </row>
        <row r="24">
          <cell r="A24" t="str">
            <v>Total Unconsolidated NOI</v>
          </cell>
          <cell r="C24">
            <v>0</v>
          </cell>
          <cell r="E24">
            <v>0</v>
          </cell>
          <cell r="F24">
            <v>0</v>
          </cell>
          <cell r="G24">
            <v>0</v>
          </cell>
          <cell r="H24">
            <v>0</v>
          </cell>
          <cell r="J24">
            <v>0</v>
          </cell>
          <cell r="K24">
            <v>0</v>
          </cell>
          <cell r="L24">
            <v>0</v>
          </cell>
          <cell r="M24">
            <v>0</v>
          </cell>
          <cell r="P24">
            <v>0</v>
          </cell>
          <cell r="Q24">
            <v>0</v>
          </cell>
          <cell r="R24">
            <v>0</v>
          </cell>
          <cell r="S24">
            <v>0</v>
          </cell>
          <cell r="V24">
            <v>0</v>
          </cell>
          <cell r="W24">
            <v>0</v>
          </cell>
          <cell r="X24">
            <v>0</v>
          </cell>
          <cell r="Y24">
            <v>0</v>
          </cell>
          <cell r="AB24">
            <v>0</v>
          </cell>
          <cell r="AC24">
            <v>0</v>
          </cell>
          <cell r="AD24">
            <v>0</v>
          </cell>
          <cell r="AE24">
            <v>0</v>
          </cell>
          <cell r="AH24">
            <v>0</v>
          </cell>
          <cell r="AI24">
            <v>0</v>
          </cell>
          <cell r="AJ24">
            <v>0</v>
          </cell>
          <cell r="AK24">
            <v>0</v>
          </cell>
          <cell r="AN24">
            <v>0</v>
          </cell>
          <cell r="AO24">
            <v>0</v>
          </cell>
          <cell r="AP24">
            <v>0</v>
          </cell>
          <cell r="AQ24">
            <v>0</v>
          </cell>
          <cell r="AT24">
            <v>0</v>
          </cell>
          <cell r="AU24">
            <v>0</v>
          </cell>
          <cell r="AV24">
            <v>0</v>
          </cell>
          <cell r="AW24">
            <v>0</v>
          </cell>
        </row>
        <row r="26">
          <cell r="A26" t="str">
            <v>Total Annualized NOI</v>
          </cell>
          <cell r="C26">
            <v>96527</v>
          </cell>
          <cell r="E26">
            <v>183268</v>
          </cell>
          <cell r="F26">
            <v>199066</v>
          </cell>
          <cell r="G26">
            <v>203157</v>
          </cell>
          <cell r="H26">
            <v>209000</v>
          </cell>
          <cell r="J26">
            <v>217149.25</v>
          </cell>
          <cell r="K26">
            <v>225880.6875</v>
          </cell>
          <cell r="L26">
            <v>231956</v>
          </cell>
          <cell r="M26">
            <v>242060</v>
          </cell>
          <cell r="P26">
            <v>251732</v>
          </cell>
          <cell r="Q26">
            <v>258694.97625000001</v>
          </cell>
          <cell r="R26">
            <v>268909.6875</v>
          </cell>
          <cell r="S26">
            <v>284829</v>
          </cell>
          <cell r="V26">
            <v>283672</v>
          </cell>
          <cell r="W26">
            <v>287060.70649999997</v>
          </cell>
          <cell r="X26">
            <v>286103.71250000002</v>
          </cell>
          <cell r="Y26">
            <v>291271.375</v>
          </cell>
          <cell r="AB26">
            <v>281465.75</v>
          </cell>
          <cell r="AC26">
            <v>279140.82500000001</v>
          </cell>
          <cell r="AD26">
            <v>275939.5</v>
          </cell>
          <cell r="AE26">
            <v>278351.25</v>
          </cell>
          <cell r="AH26">
            <v>285179.625</v>
          </cell>
          <cell r="AI26">
            <v>284275</v>
          </cell>
          <cell r="AJ26">
            <v>277064</v>
          </cell>
          <cell r="AK26">
            <v>285893.875</v>
          </cell>
          <cell r="AN26">
            <v>274478.5</v>
          </cell>
          <cell r="AO26">
            <v>283148</v>
          </cell>
          <cell r="AP26">
            <v>277381.125</v>
          </cell>
          <cell r="AQ26">
            <v>273571.32</v>
          </cell>
          <cell r="AT26">
            <v>278016.125</v>
          </cell>
          <cell r="AU26">
            <v>287730.5442</v>
          </cell>
          <cell r="AV26">
            <v>294229.76000000001</v>
          </cell>
          <cell r="AW26">
            <v>297140.29518059414</v>
          </cell>
        </row>
        <row r="29">
          <cell r="A29" t="str">
            <v>Estimated Capitalization Rate</v>
          </cell>
          <cell r="C29">
            <v>0.09</v>
          </cell>
          <cell r="E29">
            <v>9.1499999999999998E-2</v>
          </cell>
          <cell r="F29">
            <v>9.1499999999999998E-2</v>
          </cell>
          <cell r="G29">
            <v>9.1499999999999998E-2</v>
          </cell>
          <cell r="H29">
            <v>9.1499999999999998E-2</v>
          </cell>
          <cell r="J29">
            <v>9.1499999999999998E-2</v>
          </cell>
          <cell r="K29">
            <v>9.1499999999999998E-2</v>
          </cell>
          <cell r="L29">
            <v>9.1499999999999998E-2</v>
          </cell>
          <cell r="M29">
            <v>9.1499999999999998E-2</v>
          </cell>
          <cell r="P29">
            <v>9.1499999999999998E-2</v>
          </cell>
          <cell r="Q29">
            <v>9.1499999999999998E-2</v>
          </cell>
          <cell r="R29">
            <v>9.1499999999999998E-2</v>
          </cell>
          <cell r="S29">
            <v>9.1499999999999998E-2</v>
          </cell>
          <cell r="V29">
            <v>9.9000000000000005E-2</v>
          </cell>
          <cell r="W29">
            <v>9.9000000000000005E-2</v>
          </cell>
          <cell r="X29">
            <v>9.9000000000000005E-2</v>
          </cell>
          <cell r="Y29">
            <v>9.9000000000000005E-2</v>
          </cell>
          <cell r="AB29">
            <v>9.9000000000000005E-2</v>
          </cell>
          <cell r="AC29">
            <v>9.9000000000000005E-2</v>
          </cell>
          <cell r="AD29">
            <v>9.9000000000000005E-2</v>
          </cell>
          <cell r="AE29">
            <v>9.9000000000000005E-2</v>
          </cell>
          <cell r="AH29">
            <v>9.9000000000000005E-2</v>
          </cell>
          <cell r="AI29">
            <v>9.9000000000000005E-2</v>
          </cell>
          <cell r="AJ29">
            <v>9.9000000000000005E-2</v>
          </cell>
          <cell r="AK29">
            <v>9.9000000000000005E-2</v>
          </cell>
          <cell r="AN29">
            <v>8.2500000000000004E-2</v>
          </cell>
          <cell r="AO29">
            <v>8.2500000000000004E-2</v>
          </cell>
          <cell r="AP29">
            <v>8.2500000000000004E-2</v>
          </cell>
          <cell r="AQ29">
            <v>8.2500000000000004E-2</v>
          </cell>
          <cell r="AT29">
            <v>8.2500000000000004E-2</v>
          </cell>
          <cell r="AU29">
            <v>7.4999999999999997E-2</v>
          </cell>
          <cell r="AV29">
            <v>7.4999999999999997E-2</v>
          </cell>
          <cell r="AW29">
            <v>7.4999999999999997E-2</v>
          </cell>
        </row>
        <row r="30">
          <cell r="A30" t="str">
            <v>Estimated Operating Real Estate Value</v>
          </cell>
          <cell r="C30">
            <v>1072522.2222222222</v>
          </cell>
          <cell r="E30">
            <v>2002928.961748634</v>
          </cell>
          <cell r="F30">
            <v>2175584.6994535518</v>
          </cell>
          <cell r="G30">
            <v>2220295.0819672132</v>
          </cell>
          <cell r="H30">
            <v>2284153.0054644807</v>
          </cell>
          <cell r="J30">
            <v>2373215.8469945355</v>
          </cell>
          <cell r="K30">
            <v>2468641.3934426229</v>
          </cell>
          <cell r="L30">
            <v>2535038.2513661203</v>
          </cell>
          <cell r="M30">
            <v>2645464.4808743168</v>
          </cell>
          <cell r="P30">
            <v>2751169.398907104</v>
          </cell>
          <cell r="Q30">
            <v>2827267.5</v>
          </cell>
          <cell r="R30">
            <v>2938903.6885245903</v>
          </cell>
          <cell r="S30">
            <v>3112885.2459016396</v>
          </cell>
          <cell r="V30">
            <v>2865373.7373737372</v>
          </cell>
          <cell r="W30">
            <v>2899603.0959595954</v>
          </cell>
          <cell r="X30">
            <v>2889936.4898989899</v>
          </cell>
          <cell r="Y30">
            <v>2942135.1010101009</v>
          </cell>
          <cell r="AB30">
            <v>2843088.3838383835</v>
          </cell>
          <cell r="AC30">
            <v>2819604.2929292931</v>
          </cell>
          <cell r="AD30">
            <v>2787267.6767676766</v>
          </cell>
          <cell r="AE30">
            <v>2811628.7878787876</v>
          </cell>
          <cell r="AH30">
            <v>2880602.2727272725</v>
          </cell>
          <cell r="AI30">
            <v>2871464.6464646463</v>
          </cell>
          <cell r="AJ30">
            <v>2798626.2626262624</v>
          </cell>
          <cell r="AK30">
            <v>2887816.9191919193</v>
          </cell>
          <cell r="AN30">
            <v>3327012.1212121211</v>
          </cell>
          <cell r="AO30">
            <v>3432096.9696969697</v>
          </cell>
          <cell r="AP30">
            <v>3362195.4545454546</v>
          </cell>
          <cell r="AQ30">
            <v>3316016</v>
          </cell>
          <cell r="AT30">
            <v>3369892.4242424243</v>
          </cell>
          <cell r="AU30">
            <v>3836407.2560000001</v>
          </cell>
          <cell r="AV30">
            <v>3923063.4666666668</v>
          </cell>
          <cell r="AW30">
            <v>3961870.602407922</v>
          </cell>
        </row>
        <row r="32">
          <cell r="A32" t="str">
            <v>115% of Development/Redevelopment Pipeline Value</v>
          </cell>
          <cell r="C32">
            <v>0</v>
          </cell>
          <cell r="E32">
            <v>0</v>
          </cell>
          <cell r="F32">
            <v>0</v>
          </cell>
          <cell r="G32">
            <v>0</v>
          </cell>
          <cell r="H32">
            <v>0</v>
          </cell>
          <cell r="J32" t="e">
            <v>#REF!</v>
          </cell>
          <cell r="K32">
            <v>0</v>
          </cell>
          <cell r="L32">
            <v>204350.4</v>
          </cell>
          <cell r="M32">
            <v>195974.94999999998</v>
          </cell>
          <cell r="P32">
            <v>242091.09999999998</v>
          </cell>
          <cell r="Q32">
            <v>253133.4</v>
          </cell>
          <cell r="R32">
            <v>119890.95</v>
          </cell>
          <cell r="S32">
            <v>107391.59999999999</v>
          </cell>
          <cell r="V32">
            <v>135269.9</v>
          </cell>
          <cell r="W32">
            <v>158781.65</v>
          </cell>
          <cell r="X32">
            <v>184708.4</v>
          </cell>
          <cell r="Y32">
            <v>152963.79999999999</v>
          </cell>
          <cell r="AB32">
            <v>144732.09999999998</v>
          </cell>
          <cell r="AC32">
            <v>150865.04999999999</v>
          </cell>
          <cell r="AD32">
            <v>158245.75</v>
          </cell>
          <cell r="AE32">
            <v>75090.399999999994</v>
          </cell>
          <cell r="AH32">
            <v>76952.25</v>
          </cell>
          <cell r="AI32">
            <v>79678.899999999994</v>
          </cell>
          <cell r="AJ32">
            <v>82407.849999999991</v>
          </cell>
          <cell r="AK32">
            <v>86971.049999999988</v>
          </cell>
          <cell r="AN32">
            <v>89444.7</v>
          </cell>
          <cell r="AO32">
            <v>10084.349999999999</v>
          </cell>
          <cell r="AP32">
            <v>12453.349999999999</v>
          </cell>
          <cell r="AQ32">
            <v>18739.25</v>
          </cell>
          <cell r="AT32">
            <v>0</v>
          </cell>
          <cell r="AU32">
            <v>0</v>
          </cell>
          <cell r="AV32">
            <v>0</v>
          </cell>
          <cell r="AW32">
            <v>0</v>
          </cell>
        </row>
        <row r="33">
          <cell r="A33" t="str">
            <v>Land</v>
          </cell>
          <cell r="AB33">
            <v>19859</v>
          </cell>
          <cell r="AC33">
            <v>20365</v>
          </cell>
          <cell r="AD33">
            <v>23765</v>
          </cell>
          <cell r="AE33">
            <v>23731</v>
          </cell>
          <cell r="AH33">
            <v>23765</v>
          </cell>
          <cell r="AI33">
            <v>23789</v>
          </cell>
          <cell r="AJ33">
            <v>23701</v>
          </cell>
          <cell r="AK33">
            <v>23723</v>
          </cell>
          <cell r="AN33">
            <v>23731</v>
          </cell>
          <cell r="AO33">
            <v>23749</v>
          </cell>
          <cell r="AP33">
            <v>23829</v>
          </cell>
          <cell r="AQ33">
            <v>23795</v>
          </cell>
          <cell r="AT33">
            <v>23795</v>
          </cell>
          <cell r="AU33">
            <v>23795</v>
          </cell>
          <cell r="AV33">
            <v>24355</v>
          </cell>
          <cell r="AW33">
            <v>24355</v>
          </cell>
        </row>
        <row r="34">
          <cell r="A34" t="str">
            <v>Total Estimated Real Estate Value</v>
          </cell>
          <cell r="C34">
            <v>1072522.2222222222</v>
          </cell>
          <cell r="E34">
            <v>2002928.961748634</v>
          </cell>
          <cell r="F34">
            <v>2175584.6994535518</v>
          </cell>
          <cell r="G34">
            <v>2220295.0819672132</v>
          </cell>
          <cell r="H34">
            <v>2284153.0054644807</v>
          </cell>
          <cell r="J34" t="e">
            <v>#REF!</v>
          </cell>
          <cell r="K34">
            <v>2468641.3934426229</v>
          </cell>
          <cell r="L34">
            <v>2739388.6513661202</v>
          </cell>
          <cell r="M34">
            <v>2841439.430874317</v>
          </cell>
          <cell r="P34">
            <v>2993260.4989071041</v>
          </cell>
          <cell r="Q34">
            <v>3080400.9</v>
          </cell>
          <cell r="R34">
            <v>3058794.6385245905</v>
          </cell>
          <cell r="S34">
            <v>3220276.8459016397</v>
          </cell>
          <cell r="V34">
            <v>3000643.6373737371</v>
          </cell>
          <cell r="W34">
            <v>3058384.7459595953</v>
          </cell>
          <cell r="X34">
            <v>3074644.8898989898</v>
          </cell>
          <cell r="Y34">
            <v>3095098.9010101007</v>
          </cell>
          <cell r="AB34">
            <v>2987820.4838383836</v>
          </cell>
          <cell r="AC34">
            <v>2970469.3429292929</v>
          </cell>
          <cell r="AD34">
            <v>2945513.4267676766</v>
          </cell>
          <cell r="AE34">
            <v>2886719.1878787875</v>
          </cell>
          <cell r="AH34">
            <v>2957554.5227272725</v>
          </cell>
          <cell r="AI34">
            <v>2951143.5464646462</v>
          </cell>
          <cell r="AJ34">
            <v>2881034.1126262625</v>
          </cell>
          <cell r="AK34">
            <v>2974787.9691919191</v>
          </cell>
          <cell r="AN34">
            <v>3416456.8212121213</v>
          </cell>
          <cell r="AO34">
            <v>3442181.3196969698</v>
          </cell>
          <cell r="AP34">
            <v>3374648.8045454547</v>
          </cell>
          <cell r="AQ34">
            <v>3334755.25</v>
          </cell>
          <cell r="AT34">
            <v>3369892.4242424243</v>
          </cell>
          <cell r="AU34">
            <v>3836407.2560000001</v>
          </cell>
          <cell r="AV34">
            <v>3947418.4666666668</v>
          </cell>
          <cell r="AW34">
            <v>3986225.602407922</v>
          </cell>
        </row>
        <row r="36">
          <cell r="A36" t="str">
            <v>Value of Other Income</v>
          </cell>
        </row>
        <row r="37">
          <cell r="A37" t="str">
            <v>Other Income -- Annualized</v>
          </cell>
          <cell r="C37">
            <v>-1481</v>
          </cell>
          <cell r="E37">
            <v>5832</v>
          </cell>
          <cell r="F37">
            <v>-2780</v>
          </cell>
          <cell r="G37">
            <v>2720</v>
          </cell>
          <cell r="H37">
            <v>2728</v>
          </cell>
          <cell r="J37">
            <v>2680</v>
          </cell>
          <cell r="K37">
            <v>2684</v>
          </cell>
          <cell r="L37">
            <v>3004</v>
          </cell>
          <cell r="M37">
            <v>2920</v>
          </cell>
          <cell r="P37">
            <v>3420</v>
          </cell>
          <cell r="Q37">
            <v>3080</v>
          </cell>
          <cell r="R37">
            <v>3792</v>
          </cell>
          <cell r="S37">
            <v>3816</v>
          </cell>
          <cell r="V37">
            <v>3444</v>
          </cell>
          <cell r="W37">
            <v>3056</v>
          </cell>
          <cell r="X37">
            <v>2824</v>
          </cell>
          <cell r="Y37">
            <v>2440</v>
          </cell>
          <cell r="AB37">
            <v>2160</v>
          </cell>
          <cell r="AC37">
            <v>2048</v>
          </cell>
          <cell r="AD37">
            <v>2096</v>
          </cell>
          <cell r="AE37">
            <v>3864</v>
          </cell>
          <cell r="AH37">
            <v>528</v>
          </cell>
          <cell r="AI37">
            <v>1512</v>
          </cell>
          <cell r="AJ37">
            <v>484</v>
          </cell>
          <cell r="AK37">
            <v>412</v>
          </cell>
          <cell r="AN37">
            <v>3064</v>
          </cell>
          <cell r="AO37">
            <v>-1740</v>
          </cell>
          <cell r="AP37">
            <v>-712</v>
          </cell>
          <cell r="AQ37">
            <v>-2640</v>
          </cell>
          <cell r="AT37">
            <v>-3232</v>
          </cell>
          <cell r="AU37">
            <v>-3572</v>
          </cell>
          <cell r="AV37">
            <v>-2268</v>
          </cell>
          <cell r="AW37">
            <v>-2274.7401706411265</v>
          </cell>
        </row>
        <row r="38">
          <cell r="A38" t="str">
            <v>Third-Party Management Income -- Annualized</v>
          </cell>
          <cell r="C38">
            <v>0</v>
          </cell>
          <cell r="E38">
            <v>0</v>
          </cell>
          <cell r="F38">
            <v>0</v>
          </cell>
          <cell r="G38">
            <v>0</v>
          </cell>
          <cell r="H38">
            <v>0</v>
          </cell>
          <cell r="J38">
            <v>0</v>
          </cell>
          <cell r="K38">
            <v>0</v>
          </cell>
          <cell r="L38">
            <v>0</v>
          </cell>
          <cell r="M38">
            <v>0</v>
          </cell>
          <cell r="P38">
            <v>0</v>
          </cell>
          <cell r="Q38">
            <v>0</v>
          </cell>
          <cell r="R38">
            <v>0</v>
          </cell>
          <cell r="S38">
            <v>0</v>
          </cell>
          <cell r="V38">
            <v>0</v>
          </cell>
          <cell r="W38">
            <v>0</v>
          </cell>
          <cell r="X38">
            <v>0</v>
          </cell>
          <cell r="Y38">
            <v>0</v>
          </cell>
          <cell r="AB38">
            <v>0</v>
          </cell>
          <cell r="AC38">
            <v>0</v>
          </cell>
          <cell r="AD38">
            <v>0</v>
          </cell>
          <cell r="AE38">
            <v>0</v>
          </cell>
          <cell r="AH38">
            <v>0</v>
          </cell>
          <cell r="AI38">
            <v>0</v>
          </cell>
          <cell r="AJ38">
            <v>0</v>
          </cell>
          <cell r="AK38">
            <v>0</v>
          </cell>
          <cell r="AN38">
            <v>0</v>
          </cell>
          <cell r="AO38">
            <v>0</v>
          </cell>
          <cell r="AP38">
            <v>0</v>
          </cell>
          <cell r="AQ38">
            <v>0</v>
          </cell>
          <cell r="AT38">
            <v>0</v>
          </cell>
          <cell r="AU38">
            <v>0</v>
          </cell>
          <cell r="AV38">
            <v>0</v>
          </cell>
          <cell r="AW38">
            <v>0</v>
          </cell>
        </row>
        <row r="39">
          <cell r="A39" t="str">
            <v>Other Income</v>
          </cell>
          <cell r="C39">
            <v>-1481</v>
          </cell>
          <cell r="E39">
            <v>5832</v>
          </cell>
          <cell r="F39">
            <v>-2780</v>
          </cell>
          <cell r="G39">
            <v>2720</v>
          </cell>
          <cell r="H39">
            <v>2728</v>
          </cell>
          <cell r="J39">
            <v>2680</v>
          </cell>
          <cell r="K39">
            <v>2684</v>
          </cell>
          <cell r="L39">
            <v>3004</v>
          </cell>
          <cell r="M39">
            <v>2920</v>
          </cell>
          <cell r="P39">
            <v>3420</v>
          </cell>
          <cell r="Q39">
            <v>3080</v>
          </cell>
          <cell r="R39">
            <v>3792</v>
          </cell>
          <cell r="S39">
            <v>3816</v>
          </cell>
          <cell r="V39">
            <v>3444</v>
          </cell>
          <cell r="W39">
            <v>3056</v>
          </cell>
          <cell r="X39">
            <v>2824</v>
          </cell>
          <cell r="Y39">
            <v>2440</v>
          </cell>
          <cell r="AB39">
            <v>2160</v>
          </cell>
          <cell r="AC39">
            <v>2048</v>
          </cell>
          <cell r="AD39">
            <v>2096</v>
          </cell>
          <cell r="AE39">
            <v>3864</v>
          </cell>
          <cell r="AH39">
            <v>528</v>
          </cell>
          <cell r="AI39">
            <v>1512</v>
          </cell>
          <cell r="AJ39">
            <v>484</v>
          </cell>
          <cell r="AK39">
            <v>412</v>
          </cell>
          <cell r="AN39">
            <v>3064</v>
          </cell>
          <cell r="AO39">
            <v>-1740</v>
          </cell>
          <cell r="AP39">
            <v>-712</v>
          </cell>
          <cell r="AQ39">
            <v>-2640</v>
          </cell>
          <cell r="AT39">
            <v>-3232</v>
          </cell>
          <cell r="AU39">
            <v>-3572</v>
          </cell>
          <cell r="AV39">
            <v>-2268</v>
          </cell>
          <cell r="AW39">
            <v>-2274.7401706411265</v>
          </cell>
        </row>
        <row r="40">
          <cell r="A40" t="str">
            <v>Multiple on Other Income</v>
          </cell>
          <cell r="C40">
            <v>7</v>
          </cell>
          <cell r="E40">
            <v>7</v>
          </cell>
          <cell r="F40">
            <v>7</v>
          </cell>
          <cell r="G40">
            <v>7</v>
          </cell>
          <cell r="H40">
            <v>7</v>
          </cell>
          <cell r="J40">
            <v>7</v>
          </cell>
          <cell r="K40">
            <v>7</v>
          </cell>
          <cell r="L40">
            <v>7</v>
          </cell>
          <cell r="M40">
            <v>7</v>
          </cell>
          <cell r="P40">
            <v>7</v>
          </cell>
          <cell r="Q40">
            <v>7</v>
          </cell>
          <cell r="R40">
            <v>7</v>
          </cell>
          <cell r="S40">
            <v>7</v>
          </cell>
          <cell r="V40">
            <v>5</v>
          </cell>
          <cell r="W40">
            <v>5</v>
          </cell>
          <cell r="X40">
            <v>5</v>
          </cell>
          <cell r="Y40">
            <v>5</v>
          </cell>
          <cell r="AB40">
            <v>5</v>
          </cell>
          <cell r="AC40">
            <v>5</v>
          </cell>
          <cell r="AD40">
            <v>5</v>
          </cell>
          <cell r="AE40">
            <v>5</v>
          </cell>
          <cell r="AH40">
            <v>5</v>
          </cell>
          <cell r="AI40">
            <v>5</v>
          </cell>
          <cell r="AJ40">
            <v>5</v>
          </cell>
          <cell r="AK40">
            <v>5</v>
          </cell>
          <cell r="AN40">
            <v>5</v>
          </cell>
          <cell r="AO40">
            <v>5</v>
          </cell>
          <cell r="AP40">
            <v>5</v>
          </cell>
          <cell r="AQ40">
            <v>5</v>
          </cell>
          <cell r="AT40">
            <v>5</v>
          </cell>
          <cell r="AU40">
            <v>5</v>
          </cell>
          <cell r="AV40">
            <v>5</v>
          </cell>
          <cell r="AW40">
            <v>7</v>
          </cell>
        </row>
        <row r="41">
          <cell r="A41" t="str">
            <v>Value of Other Income</v>
          </cell>
          <cell r="C41">
            <v>0</v>
          </cell>
          <cell r="E41">
            <v>40824</v>
          </cell>
          <cell r="F41">
            <v>0</v>
          </cell>
          <cell r="G41">
            <v>19040</v>
          </cell>
          <cell r="H41">
            <v>19096</v>
          </cell>
          <cell r="J41">
            <v>18760</v>
          </cell>
          <cell r="K41">
            <v>18788</v>
          </cell>
          <cell r="L41">
            <v>21028</v>
          </cell>
          <cell r="M41">
            <v>20440</v>
          </cell>
          <cell r="P41">
            <v>23940</v>
          </cell>
          <cell r="Q41">
            <v>21560</v>
          </cell>
          <cell r="R41">
            <v>26544</v>
          </cell>
          <cell r="S41">
            <v>26712</v>
          </cell>
          <cell r="V41">
            <v>17220</v>
          </cell>
          <cell r="W41">
            <v>15280</v>
          </cell>
          <cell r="X41">
            <v>14120</v>
          </cell>
          <cell r="Y41">
            <v>12200</v>
          </cell>
          <cell r="AB41">
            <v>10800</v>
          </cell>
          <cell r="AC41">
            <v>10240</v>
          </cell>
          <cell r="AD41">
            <v>10480</v>
          </cell>
          <cell r="AE41">
            <v>19320</v>
          </cell>
          <cell r="AH41">
            <v>2640</v>
          </cell>
          <cell r="AI41">
            <v>7560</v>
          </cell>
          <cell r="AJ41">
            <v>2420</v>
          </cell>
          <cell r="AK41">
            <v>2060</v>
          </cell>
          <cell r="AN41">
            <v>15320</v>
          </cell>
          <cell r="AO41">
            <v>0</v>
          </cell>
          <cell r="AP41">
            <v>0</v>
          </cell>
          <cell r="AQ41">
            <v>0</v>
          </cell>
          <cell r="AT41">
            <v>0</v>
          </cell>
          <cell r="AU41">
            <v>0</v>
          </cell>
          <cell r="AV41">
            <v>0</v>
          </cell>
          <cell r="AW41">
            <v>0</v>
          </cell>
        </row>
        <row r="43">
          <cell r="A43" t="str">
            <v>Total Value of Assets</v>
          </cell>
          <cell r="C43">
            <v>1072522.2222222222</v>
          </cell>
          <cell r="E43">
            <v>2043752.961748634</v>
          </cell>
          <cell r="F43">
            <v>2175584.6994535518</v>
          </cell>
          <cell r="G43">
            <v>2239335.0819672132</v>
          </cell>
          <cell r="H43">
            <v>2303249.0054644807</v>
          </cell>
          <cell r="J43" t="e">
            <v>#REF!</v>
          </cell>
          <cell r="K43">
            <v>2487429.3934426229</v>
          </cell>
          <cell r="L43">
            <v>2760416.6513661202</v>
          </cell>
          <cell r="M43">
            <v>2861879.430874317</v>
          </cell>
          <cell r="P43">
            <v>3017200.4989071041</v>
          </cell>
          <cell r="Q43">
            <v>3101960.9</v>
          </cell>
          <cell r="R43">
            <v>3085338.6385245905</v>
          </cell>
          <cell r="S43">
            <v>3246988.8459016397</v>
          </cell>
          <cell r="V43">
            <v>3017863.6373737371</v>
          </cell>
          <cell r="W43">
            <v>3073664.7459595953</v>
          </cell>
          <cell r="X43">
            <v>3088764.8898989898</v>
          </cell>
          <cell r="Y43">
            <v>3107298.9010101007</v>
          </cell>
          <cell r="AB43">
            <v>2998620.4838383836</v>
          </cell>
          <cell r="AC43">
            <v>2980709.3429292929</v>
          </cell>
          <cell r="AD43">
            <v>2955993.4267676766</v>
          </cell>
          <cell r="AE43">
            <v>2906039.1878787875</v>
          </cell>
          <cell r="AH43">
            <v>2960194.5227272725</v>
          </cell>
          <cell r="AI43">
            <v>2958703.5464646462</v>
          </cell>
          <cell r="AJ43">
            <v>2883454.1126262625</v>
          </cell>
          <cell r="AK43">
            <v>2976847.9691919191</v>
          </cell>
          <cell r="AN43">
            <v>3431776.8212121213</v>
          </cell>
          <cell r="AO43">
            <v>3442181.3196969698</v>
          </cell>
          <cell r="AP43">
            <v>3374648.8045454547</v>
          </cell>
          <cell r="AQ43">
            <v>3334755.25</v>
          </cell>
          <cell r="AT43">
            <v>3369892.4242424243</v>
          </cell>
          <cell r="AU43">
            <v>3836407.2560000001</v>
          </cell>
          <cell r="AV43">
            <v>3947418.4666666668</v>
          </cell>
          <cell r="AW43">
            <v>3986225.602407922</v>
          </cell>
        </row>
        <row r="45">
          <cell r="A45" t="str">
            <v>Adjustments</v>
          </cell>
        </row>
        <row r="46">
          <cell r="A46" t="str">
            <v>Total Debt Outstanding-Consolidated</v>
          </cell>
          <cell r="C46">
            <v>-477566</v>
          </cell>
          <cell r="E46">
            <v>-578350</v>
          </cell>
          <cell r="F46">
            <v>-745792</v>
          </cell>
          <cell r="G46">
            <v>-824037</v>
          </cell>
          <cell r="H46">
            <v>-840477</v>
          </cell>
          <cell r="J46">
            <v>-870309</v>
          </cell>
          <cell r="K46">
            <v>-968800</v>
          </cell>
          <cell r="L46">
            <v>-977088</v>
          </cell>
          <cell r="M46">
            <v>-1029656</v>
          </cell>
          <cell r="P46">
            <v>-1083100</v>
          </cell>
          <cell r="Q46">
            <v>-1120330</v>
          </cell>
          <cell r="R46">
            <v>-1155531</v>
          </cell>
          <cell r="S46">
            <v>-1177769</v>
          </cell>
          <cell r="V46">
            <v>-1212139</v>
          </cell>
          <cell r="W46">
            <v>-1216566</v>
          </cell>
          <cell r="X46">
            <v>-1236005</v>
          </cell>
          <cell r="Y46">
            <v>-1251483</v>
          </cell>
          <cell r="AB46">
            <v>-1233857</v>
          </cell>
          <cell r="AC46">
            <v>-1233303</v>
          </cell>
          <cell r="AD46">
            <v>-1368950</v>
          </cell>
          <cell r="AE46">
            <v>-1402304</v>
          </cell>
          <cell r="AH46">
            <v>-1388651</v>
          </cell>
          <cell r="AI46">
            <v>-1349819</v>
          </cell>
          <cell r="AJ46">
            <v>-1340262</v>
          </cell>
          <cell r="AK46">
            <v>-1349781</v>
          </cell>
          <cell r="AN46">
            <v>-1285382</v>
          </cell>
          <cell r="AO46">
            <v>-1290981</v>
          </cell>
          <cell r="AP46">
            <v>-1343795</v>
          </cell>
          <cell r="AQ46">
            <v>-1548310.3350000002</v>
          </cell>
          <cell r="AT46">
            <v>-1550365</v>
          </cell>
          <cell r="AU46">
            <v>-1643916</v>
          </cell>
          <cell r="AV46">
            <v>-1600531</v>
          </cell>
          <cell r="AW46">
            <v>-1600531</v>
          </cell>
        </row>
        <row r="47">
          <cell r="A47" t="str">
            <v>Preferred Operating Partnership Units</v>
          </cell>
          <cell r="C47">
            <v>0</v>
          </cell>
          <cell r="E47">
            <v>0</v>
          </cell>
          <cell r="F47">
            <v>0</v>
          </cell>
          <cell r="G47">
            <v>0</v>
          </cell>
          <cell r="H47">
            <v>0</v>
          </cell>
          <cell r="J47">
            <v>0</v>
          </cell>
          <cell r="K47">
            <v>0</v>
          </cell>
          <cell r="L47">
            <v>-50000</v>
          </cell>
          <cell r="M47">
            <v>-50000</v>
          </cell>
          <cell r="P47">
            <v>-50000</v>
          </cell>
          <cell r="Q47">
            <v>-50000</v>
          </cell>
          <cell r="R47">
            <v>-50000</v>
          </cell>
          <cell r="S47">
            <v>-50000</v>
          </cell>
          <cell r="V47">
            <v>-50000</v>
          </cell>
          <cell r="W47">
            <v>-50000</v>
          </cell>
          <cell r="X47">
            <v>-50000</v>
          </cell>
          <cell r="Y47">
            <v>-50000</v>
          </cell>
          <cell r="AB47">
            <v>-50000</v>
          </cell>
          <cell r="AC47">
            <v>-50000</v>
          </cell>
          <cell r="AD47">
            <v>-50000</v>
          </cell>
          <cell r="AE47">
            <v>-50000</v>
          </cell>
          <cell r="AH47">
            <v>-50000</v>
          </cell>
          <cell r="AI47">
            <v>-50000</v>
          </cell>
          <cell r="AJ47">
            <v>-50000</v>
          </cell>
          <cell r="AK47">
            <v>-50000</v>
          </cell>
          <cell r="AN47">
            <v>-50000</v>
          </cell>
          <cell r="AO47">
            <v>-50000</v>
          </cell>
          <cell r="AP47">
            <v>0</v>
          </cell>
          <cell r="AQ47">
            <v>0</v>
          </cell>
          <cell r="AT47">
            <v>0</v>
          </cell>
          <cell r="AU47">
            <v>0</v>
          </cell>
          <cell r="AV47">
            <v>0</v>
          </cell>
          <cell r="AW47">
            <v>0</v>
          </cell>
        </row>
        <row r="48">
          <cell r="A48" t="str">
            <v>Cash and Other Assets</v>
          </cell>
          <cell r="C48">
            <v>5300</v>
          </cell>
          <cell r="E48">
            <v>4262</v>
          </cell>
          <cell r="F48">
            <v>6162</v>
          </cell>
          <cell r="G48">
            <v>6826</v>
          </cell>
          <cell r="H48">
            <v>4578</v>
          </cell>
          <cell r="J48">
            <v>1901</v>
          </cell>
          <cell r="K48">
            <v>5460</v>
          </cell>
          <cell r="L48">
            <v>3651</v>
          </cell>
          <cell r="M48">
            <v>7056</v>
          </cell>
          <cell r="P48">
            <v>2501</v>
          </cell>
          <cell r="Q48">
            <v>2537</v>
          </cell>
          <cell r="R48">
            <v>1499</v>
          </cell>
          <cell r="S48">
            <v>5432</v>
          </cell>
          <cell r="V48">
            <v>5077</v>
          </cell>
          <cell r="W48">
            <v>7419</v>
          </cell>
          <cell r="X48">
            <v>11409</v>
          </cell>
          <cell r="Y48">
            <v>37041</v>
          </cell>
          <cell r="AB48">
            <v>623</v>
          </cell>
          <cell r="AC48">
            <v>9395</v>
          </cell>
          <cell r="AD48">
            <v>-11986</v>
          </cell>
          <cell r="AE48">
            <v>-17225</v>
          </cell>
          <cell r="AH48">
            <v>103396</v>
          </cell>
          <cell r="AI48">
            <v>68125</v>
          </cell>
          <cell r="AJ48">
            <v>64115</v>
          </cell>
          <cell r="AK48">
            <v>47612</v>
          </cell>
          <cell r="AN48">
            <v>-3589</v>
          </cell>
          <cell r="AO48">
            <v>8013</v>
          </cell>
          <cell r="AP48">
            <v>82901</v>
          </cell>
          <cell r="AQ48">
            <v>15807</v>
          </cell>
          <cell r="AT48">
            <v>76328</v>
          </cell>
          <cell r="AU48">
            <v>-21560</v>
          </cell>
          <cell r="AV48">
            <v>-21560</v>
          </cell>
          <cell r="AW48">
            <v>-21560</v>
          </cell>
        </row>
        <row r="49">
          <cell r="A49" t="str">
            <v>Total Adjustments</v>
          </cell>
          <cell r="C49">
            <v>-472266</v>
          </cell>
          <cell r="E49">
            <v>-574088</v>
          </cell>
          <cell r="F49">
            <v>-739630</v>
          </cell>
          <cell r="G49">
            <v>-817211</v>
          </cell>
          <cell r="H49">
            <v>-835899</v>
          </cell>
          <cell r="J49">
            <v>-868408</v>
          </cell>
          <cell r="K49">
            <v>-963340</v>
          </cell>
          <cell r="L49">
            <v>-1023437</v>
          </cell>
          <cell r="M49">
            <v>-1072600</v>
          </cell>
          <cell r="P49">
            <v>-1130599</v>
          </cell>
          <cell r="Q49">
            <v>-1167793</v>
          </cell>
          <cell r="R49">
            <v>-1204032</v>
          </cell>
          <cell r="S49">
            <v>-1222337</v>
          </cell>
          <cell r="V49">
            <v>-1257062</v>
          </cell>
          <cell r="W49">
            <v>-1259147</v>
          </cell>
          <cell r="X49">
            <v>-1274596</v>
          </cell>
          <cell r="Y49">
            <v>-1264442</v>
          </cell>
          <cell r="AB49">
            <v>-1283234</v>
          </cell>
          <cell r="AC49">
            <v>-1273908</v>
          </cell>
          <cell r="AD49">
            <v>-1430936</v>
          </cell>
          <cell r="AE49">
            <v>-1469529</v>
          </cell>
          <cell r="AH49">
            <v>-1335255</v>
          </cell>
          <cell r="AI49">
            <v>-1331694</v>
          </cell>
          <cell r="AJ49">
            <v>-1326147</v>
          </cell>
          <cell r="AK49">
            <v>-1352169</v>
          </cell>
          <cell r="AN49">
            <v>-1338971</v>
          </cell>
          <cell r="AO49">
            <v>-1332968</v>
          </cell>
          <cell r="AP49">
            <v>-1260894</v>
          </cell>
          <cell r="AQ49">
            <v>-1532503.3350000002</v>
          </cell>
          <cell r="AT49">
            <v>-1474037</v>
          </cell>
          <cell r="AU49">
            <v>-1665476</v>
          </cell>
          <cell r="AV49">
            <v>-1622091</v>
          </cell>
          <cell r="AW49">
            <v>-1622091</v>
          </cell>
        </row>
        <row r="51">
          <cell r="A51" t="str">
            <v>Implied NAV</v>
          </cell>
          <cell r="C51">
            <v>600256.22222222225</v>
          </cell>
          <cell r="E51">
            <v>1469664.961748634</v>
          </cell>
          <cell r="F51">
            <v>1435954.6994535518</v>
          </cell>
          <cell r="G51">
            <v>1422124.0819672132</v>
          </cell>
          <cell r="H51">
            <v>1467350.0054644807</v>
          </cell>
          <cell r="J51" t="e">
            <v>#REF!</v>
          </cell>
          <cell r="K51">
            <v>1524089.3934426229</v>
          </cell>
          <cell r="L51">
            <v>1736979.6513661202</v>
          </cell>
          <cell r="M51">
            <v>1789279.430874317</v>
          </cell>
          <cell r="P51">
            <v>1886601.4989071041</v>
          </cell>
          <cell r="Q51">
            <v>1934167.9</v>
          </cell>
          <cell r="R51">
            <v>1881306.6385245905</v>
          </cell>
          <cell r="S51">
            <v>2024651.8459016397</v>
          </cell>
          <cell r="V51">
            <v>1760801.6373737371</v>
          </cell>
          <cell r="W51">
            <v>1814517.7459595953</v>
          </cell>
          <cell r="X51">
            <v>1814168.8898989898</v>
          </cell>
          <cell r="Y51">
            <v>1842856.9010101007</v>
          </cell>
          <cell r="AB51">
            <v>1715386.4838383836</v>
          </cell>
          <cell r="AC51">
            <v>1706801.3429292929</v>
          </cell>
          <cell r="AD51">
            <v>1525057.4267676766</v>
          </cell>
          <cell r="AE51">
            <v>1436510.1878787875</v>
          </cell>
          <cell r="AH51">
            <v>1624939.5227272725</v>
          </cell>
          <cell r="AI51">
            <v>1627009.5464646462</v>
          </cell>
          <cell r="AJ51">
            <v>1557307.1126262625</v>
          </cell>
          <cell r="AK51">
            <v>1624678.9691919191</v>
          </cell>
          <cell r="AN51">
            <v>2092805.8212121213</v>
          </cell>
          <cell r="AO51">
            <v>2109213.3196969698</v>
          </cell>
          <cell r="AP51">
            <v>2113754.8045454547</v>
          </cell>
          <cell r="AQ51">
            <v>1802251.9149999998</v>
          </cell>
          <cell r="AT51">
            <v>1895855.4242424243</v>
          </cell>
          <cell r="AU51">
            <v>2170931.2560000001</v>
          </cell>
          <cell r="AV51">
            <v>2325327.4666666668</v>
          </cell>
          <cell r="AW51">
            <v>2364134.602407922</v>
          </cell>
        </row>
        <row r="53">
          <cell r="A53" t="str">
            <v>Total Period-End Shares &amp; Units Outstanding</v>
          </cell>
          <cell r="C53">
            <v>35746</v>
          </cell>
          <cell r="E53">
            <v>51299</v>
          </cell>
          <cell r="F53">
            <v>65354</v>
          </cell>
          <cell r="G53">
            <v>65543</v>
          </cell>
          <cell r="H53">
            <v>65584</v>
          </cell>
          <cell r="J53">
            <v>65602</v>
          </cell>
          <cell r="K53">
            <v>65661</v>
          </cell>
          <cell r="L53">
            <v>65610</v>
          </cell>
          <cell r="M53">
            <v>67515</v>
          </cell>
          <cell r="P53">
            <v>65564</v>
          </cell>
          <cell r="Q53">
            <v>65657</v>
          </cell>
          <cell r="R53">
            <v>65966</v>
          </cell>
          <cell r="S53">
            <v>66001</v>
          </cell>
          <cell r="V53">
            <v>66066</v>
          </cell>
          <cell r="W53">
            <v>66127</v>
          </cell>
          <cell r="X53">
            <v>66278</v>
          </cell>
          <cell r="Y53">
            <v>66241</v>
          </cell>
          <cell r="AB53">
            <v>66154</v>
          </cell>
          <cell r="AC53">
            <v>66381</v>
          </cell>
          <cell r="AD53">
            <v>66220</v>
          </cell>
          <cell r="AE53">
            <v>64701</v>
          </cell>
          <cell r="AH53">
            <v>64784</v>
          </cell>
          <cell r="AI53">
            <v>65031</v>
          </cell>
          <cell r="AJ53">
            <v>65902</v>
          </cell>
          <cell r="AK53">
            <v>66544</v>
          </cell>
          <cell r="AN53">
            <v>67177</v>
          </cell>
          <cell r="AO53">
            <v>67180</v>
          </cell>
          <cell r="AP53">
            <v>67253</v>
          </cell>
          <cell r="AQ53">
            <v>67998</v>
          </cell>
          <cell r="AT53">
            <v>68417</v>
          </cell>
          <cell r="AU53">
            <v>68723</v>
          </cell>
          <cell r="AV53">
            <v>68718</v>
          </cell>
          <cell r="AW53">
            <v>68718</v>
          </cell>
        </row>
        <row r="55">
          <cell r="A55" t="str">
            <v>ARI</v>
          </cell>
        </row>
        <row r="56">
          <cell r="A56" t="str">
            <v>Implied NAV/Share</v>
          </cell>
          <cell r="C56">
            <v>16.792262692950882</v>
          </cell>
          <cell r="E56">
            <v>28.648998260173375</v>
          </cell>
          <cell r="F56">
            <v>21.971948150894388</v>
          </cell>
          <cell r="G56">
            <v>21.697573836522789</v>
          </cell>
          <cell r="H56">
            <v>22.373597302154195</v>
          </cell>
          <cell r="J56" t="e">
            <v>#REF!</v>
          </cell>
          <cell r="K56">
            <v>23.211486170521663</v>
          </cell>
          <cell r="L56">
            <v>26.474312625607684</v>
          </cell>
          <cell r="M56">
            <v>26.501954097227532</v>
          </cell>
          <cell r="P56">
            <v>28.774960327422125</v>
          </cell>
          <cell r="Q56">
            <v>29.458670058028847</v>
          </cell>
          <cell r="R56">
            <v>28.519337818339608</v>
          </cell>
          <cell r="S56">
            <v>30.676078330656196</v>
          </cell>
          <cell r="V56">
            <v>26.65216052695391</v>
          </cell>
          <cell r="W56">
            <v>27.439892116073544</v>
          </cell>
          <cell r="X56">
            <v>27.372112765910103</v>
          </cell>
          <cell r="Y56">
            <v>27.8204873267327</v>
          </cell>
          <cell r="AB56">
            <v>25.930200499416266</v>
          </cell>
          <cell r="AC56">
            <v>25.712196907688842</v>
          </cell>
          <cell r="AD56">
            <v>23.030163496944677</v>
          </cell>
          <cell r="AE56">
            <v>22.202287257983453</v>
          </cell>
          <cell r="AH56">
            <v>25.082420392801811</v>
          </cell>
          <cell r="AI56">
            <v>25.018983968640281</v>
          </cell>
          <cell r="AJ56">
            <v>23.630650247735463</v>
          </cell>
          <cell r="AK56">
            <v>24.415108337219269</v>
          </cell>
          <cell r="AN56">
            <v>31.153606460724969</v>
          </cell>
          <cell r="AO56">
            <v>31.396447152381214</v>
          </cell>
          <cell r="AP56">
            <v>31.429896131703487</v>
          </cell>
          <cell r="AQ56">
            <v>26.504484176005175</v>
          </cell>
          <cell r="AT56">
            <v>27.7102975027029</v>
          </cell>
          <cell r="AU56">
            <v>31.589587998195658</v>
          </cell>
          <cell r="AV56">
            <v>33.838695344257211</v>
          </cell>
          <cell r="AW56">
            <v>34.403425629499139</v>
          </cell>
        </row>
        <row r="57">
          <cell r="A57" t="str">
            <v>Current Value of Shares</v>
          </cell>
          <cell r="C57">
            <v>30.75</v>
          </cell>
          <cell r="E57">
            <v>28.5</v>
          </cell>
          <cell r="F57">
            <v>25.875</v>
          </cell>
          <cell r="G57">
            <v>22.3125</v>
          </cell>
          <cell r="H57">
            <v>23.1875</v>
          </cell>
          <cell r="J57">
            <v>22.25</v>
          </cell>
          <cell r="K57">
            <v>24.625</v>
          </cell>
          <cell r="L57">
            <v>21.75</v>
          </cell>
          <cell r="M57">
            <v>19.75</v>
          </cell>
          <cell r="P57">
            <v>20.875</v>
          </cell>
          <cell r="Q57">
            <v>23.5</v>
          </cell>
          <cell r="R57">
            <v>26.8125</v>
          </cell>
          <cell r="S57">
            <v>25.125</v>
          </cell>
          <cell r="V57">
            <v>23.6</v>
          </cell>
          <cell r="W57">
            <v>26.7</v>
          </cell>
          <cell r="X57">
            <v>25.57</v>
          </cell>
          <cell r="Y57">
            <v>26.5</v>
          </cell>
          <cell r="AB57">
            <v>28.4</v>
          </cell>
          <cell r="AC57">
            <v>28.45</v>
          </cell>
          <cell r="AD57">
            <v>23.65</v>
          </cell>
          <cell r="AE57">
            <v>22.15</v>
          </cell>
          <cell r="AH57">
            <v>23.83</v>
          </cell>
          <cell r="AI57">
            <v>25.95</v>
          </cell>
          <cell r="AJ57">
            <v>27.92</v>
          </cell>
          <cell r="AK57">
            <v>27.92</v>
          </cell>
          <cell r="AN57">
            <v>32.33</v>
          </cell>
          <cell r="AO57">
            <v>29.41</v>
          </cell>
          <cell r="AP57">
            <v>32.58</v>
          </cell>
          <cell r="AQ57">
            <v>32.58</v>
          </cell>
          <cell r="AT57">
            <v>23.83</v>
          </cell>
          <cell r="AU57">
            <v>35.980000000000004</v>
          </cell>
          <cell r="AV57">
            <v>41.17</v>
          </cell>
          <cell r="AW57">
            <v>44.95</v>
          </cell>
        </row>
        <row r="58">
          <cell r="A58" t="str">
            <v>Premium or Discount</v>
          </cell>
          <cell r="C58">
            <v>0.83120050956017666</v>
          </cell>
          <cell r="E58">
            <v>-5.2008191986421259E-3</v>
          </cell>
          <cell r="F58">
            <v>0.17763795100466484</v>
          </cell>
          <cell r="G58">
            <v>2.8340779854479692E-2</v>
          </cell>
          <cell r="H58">
            <v>3.6377820108858483E-2</v>
          </cell>
          <cell r="J58" t="e">
            <v>#REF!</v>
          </cell>
          <cell r="K58">
            <v>6.0897170439413006E-2</v>
          </cell>
          <cell r="L58">
            <v>-0.17844892490383379</v>
          </cell>
          <cell r="M58">
            <v>-0.25477193389048547</v>
          </cell>
          <cell r="P58">
            <v>-0.27454287469142313</v>
          </cell>
          <cell r="Q58">
            <v>-0.20227220191173678</v>
          </cell>
          <cell r="R58">
            <v>-5.9848437898933682E-2</v>
          </cell>
          <cell r="S58">
            <v>-0.18095788747249075</v>
          </cell>
          <cell r="V58">
            <v>-0.11451831546141233</v>
          </cell>
          <cell r="W58">
            <v>-2.6964104412062762E-2</v>
          </cell>
          <cell r="X58">
            <v>-6.583754718979884E-2</v>
          </cell>
          <cell r="Y58">
            <v>-4.7464564916655627E-2</v>
          </cell>
          <cell r="AB58">
            <v>9.5247990876095701E-2</v>
          </cell>
          <cell r="AC58">
            <v>0.10647876967263192</v>
          </cell>
          <cell r="AD58">
            <v>2.691411648630071E-2</v>
          </cell>
          <cell r="AE58">
            <v>-2.3550392523028485E-3</v>
          </cell>
          <cell r="AH58">
            <v>-4.9932198455665544E-2</v>
          </cell>
          <cell r="AI58">
            <v>3.721238370537705E-2</v>
          </cell>
          <cell r="AJ58">
            <v>0.18151636570710061</v>
          </cell>
          <cell r="AK58">
            <v>0.14355421300497562</v>
          </cell>
          <cell r="AN58">
            <v>3.7761070801163754E-2</v>
          </cell>
          <cell r="AO58">
            <v>-6.3269807017975133E-2</v>
          </cell>
          <cell r="AP58">
            <v>3.6592671623129958E-2</v>
          </cell>
          <cell r="AQ58">
            <v>0.22922595979042137</v>
          </cell>
          <cell r="AT58">
            <v>-0.1400308857140351</v>
          </cell>
          <cell r="AU58">
            <v>0.13898288265282588</v>
          </cell>
          <cell r="AV58">
            <v>0.21665447149063888</v>
          </cell>
          <cell r="AW58">
            <v>0.30655593672793224</v>
          </cell>
        </row>
        <row r="60">
          <cell r="A60" t="str">
            <v>Market Implied Capitalization Rate</v>
          </cell>
          <cell r="C60">
            <v>6.1425220122364267E-2</v>
          </cell>
          <cell r="E60">
            <v>9.1850514625601204E-2</v>
          </cell>
          <cell r="F60">
            <v>8.1897760684602847E-2</v>
          </cell>
          <cell r="G60">
            <v>8.9868651251118786E-2</v>
          </cell>
          <cell r="H60">
            <v>8.9410540689924239E-2</v>
          </cell>
          <cell r="J60" t="e">
            <v>#REF!</v>
          </cell>
          <cell r="K60">
            <v>8.8184553178363087E-2</v>
          </cell>
          <cell r="L60">
            <v>0.10424632218196941</v>
          </cell>
          <cell r="M60">
            <v>0.11054955404540077</v>
          </cell>
          <cell r="P60">
            <v>0.1127217228030387</v>
          </cell>
          <cell r="Q60">
            <v>0.10619491955198913</v>
          </cell>
          <cell r="R60">
            <v>9.5145135198657457E-2</v>
          </cell>
          <cell r="S60">
            <v>0.10370584959316666</v>
          </cell>
          <cell r="V60">
            <v>0.10649428881616629</v>
          </cell>
          <cell r="W60">
            <v>0.10069916094470566</v>
          </cell>
          <cell r="X60">
            <v>0.10326804525396077</v>
          </cell>
          <cell r="Y60">
            <v>0.10203348049947862</v>
          </cell>
          <cell r="AB60">
            <v>9.3619838245813089E-2</v>
          </cell>
          <cell r="AC60">
            <v>9.3005324883958587E-2</v>
          </cell>
          <cell r="AD60">
            <v>9.7563273799321906E-2</v>
          </cell>
          <cell r="AE60">
            <v>9.911926333370219E-2</v>
          </cell>
          <cell r="AH60">
            <v>0.10186931328715408</v>
          </cell>
          <cell r="AI60">
            <v>9.6955686928100207E-2</v>
          </cell>
          <cell r="AJ60">
            <v>8.9917804545407598E-2</v>
          </cell>
          <cell r="AK60">
            <v>9.160192948491315E-2</v>
          </cell>
          <cell r="AN60">
            <v>8.0585842783918338E-2</v>
          </cell>
          <cell r="AO60">
            <v>8.5837605955738014E-2</v>
          </cell>
          <cell r="AP60">
            <v>8.0644752383833146E-2</v>
          </cell>
          <cell r="AQ60">
            <v>7.3360452775301205E-2</v>
          </cell>
          <cell r="AT60">
            <v>8.9555102878977708E-2</v>
          </cell>
          <cell r="AU60">
            <v>6.9531545936089761E-2</v>
          </cell>
          <cell r="AV60">
            <v>6.6101057899510152E-2</v>
          </cell>
          <cell r="AW60">
            <v>6.307418732110627E-2</v>
          </cell>
        </row>
        <row r="62">
          <cell r="A62" t="str">
            <v xml:space="preserve">E = Morgan Stanley Research Estimates </v>
          </cell>
        </row>
      </sheetData>
      <sheetData sheetId="20" refreshError="1"/>
      <sheetData sheetId="21" refreshError="1"/>
      <sheetData sheetId="22" refreshError="1"/>
      <sheetData sheetId="23" refreshError="1"/>
      <sheetData sheetId="24" refreshError="1"/>
      <sheetData sheetId="25" refreshError="1"/>
      <sheetData sheetId="26" refreshError="1">
        <row r="1">
          <cell r="B1" t="str">
            <v>ID</v>
          </cell>
          <cell r="C1" t="str">
            <v>Start Date</v>
          </cell>
          <cell r="D1" t="str">
            <v>End Date</v>
          </cell>
          <cell r="E1" t="str">
            <v>Actual/Estimated</v>
          </cell>
          <cell r="F1" t="str">
            <v>Period Type</v>
          </cell>
          <cell r="G1" t="str">
            <v>Period Number</v>
          </cell>
          <cell r="H1" t="str">
            <v>Period Year</v>
          </cell>
          <cell r="I1" t="str">
            <v>Status</v>
          </cell>
          <cell r="J1" t="str">
            <v>Pro-Forma Comment: To mark a period as pro-forma for a transaction (merger, acquisition, etc), type a descriptive comment next to the appropriate period below. For example:  pro forma for meger of company x and y .</v>
          </cell>
          <cell r="K1">
            <v>35</v>
          </cell>
          <cell r="L1" t="str">
            <v>IsHistory</v>
          </cell>
        </row>
        <row r="2">
          <cell r="A2" t="str">
            <v>Note:  If you make any changes to this sheet (adding or changing any date ranges), you MUST select 'Refresh Dates' from the menu in order for the changes to take effect.</v>
          </cell>
          <cell r="B2" t="str">
            <v>1997-FY</v>
          </cell>
          <cell r="C2">
            <v>35431</v>
          </cell>
          <cell r="D2">
            <v>35795</v>
          </cell>
          <cell r="E2" t="str">
            <v>A</v>
          </cell>
          <cell r="F2" t="str">
            <v>Year</v>
          </cell>
          <cell r="G2">
            <v>1</v>
          </cell>
          <cell r="H2">
            <v>1997</v>
          </cell>
          <cell r="L2" t="b">
            <v>1</v>
          </cell>
        </row>
        <row r="3">
          <cell r="B3" t="str">
            <v>1998-FY</v>
          </cell>
          <cell r="C3">
            <v>35796</v>
          </cell>
          <cell r="D3">
            <v>36160</v>
          </cell>
          <cell r="E3" t="str">
            <v>A</v>
          </cell>
          <cell r="F3" t="str">
            <v>Year</v>
          </cell>
          <cell r="G3">
            <v>1</v>
          </cell>
          <cell r="H3">
            <v>1998</v>
          </cell>
          <cell r="L3" t="b">
            <v>1</v>
          </cell>
        </row>
        <row r="4">
          <cell r="B4" t="str">
            <v>1999-FY</v>
          </cell>
          <cell r="C4">
            <v>36161</v>
          </cell>
          <cell r="D4">
            <v>36525</v>
          </cell>
          <cell r="E4" t="str">
            <v>A</v>
          </cell>
          <cell r="F4" t="str">
            <v>Year</v>
          </cell>
          <cell r="G4">
            <v>1</v>
          </cell>
          <cell r="H4">
            <v>1999</v>
          </cell>
          <cell r="L4" t="b">
            <v>1</v>
          </cell>
        </row>
        <row r="5">
          <cell r="B5" t="str">
            <v>2000-FY</v>
          </cell>
          <cell r="C5">
            <v>36526</v>
          </cell>
          <cell r="D5">
            <v>36891</v>
          </cell>
          <cell r="E5" t="str">
            <v>A</v>
          </cell>
          <cell r="F5" t="str">
            <v>Year</v>
          </cell>
          <cell r="G5">
            <v>1</v>
          </cell>
          <cell r="H5">
            <v>2000</v>
          </cell>
          <cell r="L5" t="b">
            <v>1</v>
          </cell>
        </row>
        <row r="6">
          <cell r="B6" t="str">
            <v>2001-FY</v>
          </cell>
          <cell r="C6">
            <v>36892</v>
          </cell>
          <cell r="D6">
            <v>37256</v>
          </cell>
          <cell r="E6" t="str">
            <v>A</v>
          </cell>
          <cell r="G6">
            <v>1</v>
          </cell>
          <cell r="H6">
            <v>2001</v>
          </cell>
        </row>
        <row r="7">
          <cell r="B7" t="str">
            <v>2002-Q1</v>
          </cell>
          <cell r="C7">
            <v>37257</v>
          </cell>
          <cell r="D7">
            <v>37346</v>
          </cell>
          <cell r="E7" t="str">
            <v>A</v>
          </cell>
          <cell r="F7" t="str">
            <v>Quarter</v>
          </cell>
          <cell r="G7">
            <v>1</v>
          </cell>
          <cell r="H7">
            <v>2002</v>
          </cell>
        </row>
        <row r="8">
          <cell r="B8" t="str">
            <v>2002-Q2</v>
          </cell>
          <cell r="C8">
            <v>37347</v>
          </cell>
          <cell r="D8">
            <v>37437</v>
          </cell>
          <cell r="E8" t="str">
            <v>A</v>
          </cell>
          <cell r="F8" t="str">
            <v>Quarter</v>
          </cell>
          <cell r="G8">
            <v>2</v>
          </cell>
          <cell r="H8">
            <v>2002</v>
          </cell>
        </row>
        <row r="9">
          <cell r="B9" t="str">
            <v>2002-Q3</v>
          </cell>
          <cell r="C9">
            <v>37438</v>
          </cell>
          <cell r="D9">
            <v>37529</v>
          </cell>
          <cell r="E9" t="str">
            <v>A</v>
          </cell>
          <cell r="F9" t="str">
            <v>Quarter</v>
          </cell>
          <cell r="G9">
            <v>3</v>
          </cell>
          <cell r="H9">
            <v>2002</v>
          </cell>
        </row>
        <row r="10">
          <cell r="B10" t="str">
            <v>2002-Q4</v>
          </cell>
          <cell r="C10">
            <v>37530</v>
          </cell>
          <cell r="D10">
            <v>37621</v>
          </cell>
          <cell r="E10" t="str">
            <v>A</v>
          </cell>
          <cell r="F10" t="str">
            <v>Quarter</v>
          </cell>
          <cell r="G10">
            <v>4</v>
          </cell>
          <cell r="H10">
            <v>2002</v>
          </cell>
        </row>
        <row r="11">
          <cell r="B11" t="str">
            <v>2002-FY</v>
          </cell>
          <cell r="C11">
            <v>37257</v>
          </cell>
          <cell r="D11">
            <v>37621</v>
          </cell>
          <cell r="E11" t="str">
            <v>A</v>
          </cell>
          <cell r="G11">
            <v>1</v>
          </cell>
          <cell r="H11">
            <v>2002</v>
          </cell>
        </row>
        <row r="12">
          <cell r="B12" t="str">
            <v>2003-Q1</v>
          </cell>
          <cell r="C12">
            <v>37622</v>
          </cell>
          <cell r="D12">
            <v>37711</v>
          </cell>
          <cell r="E12" t="str">
            <v>A</v>
          </cell>
          <cell r="F12" t="str">
            <v>Quarter</v>
          </cell>
          <cell r="G12">
            <v>1</v>
          </cell>
          <cell r="H12">
            <v>2003</v>
          </cell>
        </row>
        <row r="13">
          <cell r="B13" t="str">
            <v>2003-Q2</v>
          </cell>
          <cell r="C13">
            <v>37712</v>
          </cell>
          <cell r="D13">
            <v>37802</v>
          </cell>
          <cell r="E13" t="str">
            <v>A</v>
          </cell>
          <cell r="F13" t="str">
            <v>Quarter</v>
          </cell>
          <cell r="G13">
            <v>2</v>
          </cell>
          <cell r="H13">
            <v>2003</v>
          </cell>
        </row>
        <row r="14">
          <cell r="B14" t="str">
            <v>2003-Q3</v>
          </cell>
          <cell r="C14">
            <v>37803</v>
          </cell>
          <cell r="D14">
            <v>37894</v>
          </cell>
          <cell r="E14" t="str">
            <v>A</v>
          </cell>
          <cell r="F14" t="str">
            <v>Quarter</v>
          </cell>
          <cell r="G14">
            <v>3</v>
          </cell>
          <cell r="H14">
            <v>2003</v>
          </cell>
        </row>
        <row r="15">
          <cell r="B15" t="str">
            <v>2003-Q4</v>
          </cell>
          <cell r="C15">
            <v>37895</v>
          </cell>
          <cell r="D15">
            <v>37986</v>
          </cell>
          <cell r="E15" t="str">
            <v>A</v>
          </cell>
          <cell r="F15" t="str">
            <v>Quarter</v>
          </cell>
          <cell r="G15">
            <v>4</v>
          </cell>
          <cell r="H15">
            <v>2003</v>
          </cell>
        </row>
        <row r="16">
          <cell r="B16" t="str">
            <v>2003-FY</v>
          </cell>
          <cell r="C16">
            <v>37622</v>
          </cell>
          <cell r="D16">
            <v>37986</v>
          </cell>
          <cell r="E16" t="str">
            <v>A</v>
          </cell>
          <cell r="G16">
            <v>1</v>
          </cell>
          <cell r="H16">
            <v>2003</v>
          </cell>
        </row>
        <row r="17">
          <cell r="B17" t="str">
            <v>2004-Q1</v>
          </cell>
          <cell r="C17">
            <v>37987</v>
          </cell>
          <cell r="D17">
            <v>38077</v>
          </cell>
          <cell r="E17" t="str">
            <v>A</v>
          </cell>
          <cell r="F17" t="str">
            <v>Quarter</v>
          </cell>
          <cell r="G17">
            <v>1</v>
          </cell>
          <cell r="H17">
            <v>2004</v>
          </cell>
        </row>
        <row r="18">
          <cell r="B18" t="str">
            <v>2004-Q2</v>
          </cell>
          <cell r="C18">
            <v>38078</v>
          </cell>
          <cell r="D18">
            <v>38168</v>
          </cell>
          <cell r="E18" t="str">
            <v>A</v>
          </cell>
          <cell r="F18" t="str">
            <v>Quarter</v>
          </cell>
          <cell r="G18">
            <v>2</v>
          </cell>
          <cell r="H18">
            <v>2004</v>
          </cell>
        </row>
        <row r="19">
          <cell r="B19" t="str">
            <v>2004-Q3</v>
          </cell>
          <cell r="C19">
            <v>38169</v>
          </cell>
          <cell r="D19">
            <v>38260</v>
          </cell>
          <cell r="E19" t="str">
            <v>A</v>
          </cell>
          <cell r="F19" t="str">
            <v>Quarter</v>
          </cell>
          <cell r="G19">
            <v>3</v>
          </cell>
          <cell r="H19">
            <v>2004</v>
          </cell>
        </row>
        <row r="20">
          <cell r="B20" t="str">
            <v>2004-Q4</v>
          </cell>
          <cell r="C20">
            <v>38261</v>
          </cell>
          <cell r="D20">
            <v>38352</v>
          </cell>
          <cell r="E20" t="str">
            <v>A</v>
          </cell>
          <cell r="F20" t="str">
            <v>Quarter</v>
          </cell>
          <cell r="G20">
            <v>4</v>
          </cell>
          <cell r="H20">
            <v>2004</v>
          </cell>
        </row>
        <row r="21">
          <cell r="B21" t="str">
            <v>2004-FY</v>
          </cell>
          <cell r="C21">
            <v>37987</v>
          </cell>
          <cell r="D21">
            <v>38352</v>
          </cell>
          <cell r="E21" t="str">
            <v>A</v>
          </cell>
          <cell r="G21">
            <v>1</v>
          </cell>
          <cell r="H21">
            <v>2004</v>
          </cell>
        </row>
        <row r="22">
          <cell r="B22" t="str">
            <v>2005-Q1</v>
          </cell>
          <cell r="C22">
            <v>38353</v>
          </cell>
          <cell r="D22">
            <v>38442</v>
          </cell>
          <cell r="E22" t="str">
            <v>A</v>
          </cell>
          <cell r="F22" t="str">
            <v>Quarter</v>
          </cell>
          <cell r="G22">
            <v>1</v>
          </cell>
          <cell r="H22">
            <v>2005</v>
          </cell>
        </row>
        <row r="23">
          <cell r="B23" t="str">
            <v>2005-Q2</v>
          </cell>
          <cell r="C23">
            <v>38443</v>
          </cell>
          <cell r="D23">
            <v>38533</v>
          </cell>
          <cell r="E23" t="str">
            <v>A</v>
          </cell>
          <cell r="F23" t="str">
            <v>Quarter</v>
          </cell>
          <cell r="G23">
            <v>2</v>
          </cell>
          <cell r="H23">
            <v>2005</v>
          </cell>
        </row>
        <row r="24">
          <cell r="B24" t="str">
            <v>2005-Q3</v>
          </cell>
          <cell r="C24">
            <v>38534</v>
          </cell>
          <cell r="D24">
            <v>38625</v>
          </cell>
          <cell r="E24" t="str">
            <v>A</v>
          </cell>
          <cell r="F24" t="str">
            <v>Quarter</v>
          </cell>
          <cell r="G24">
            <v>3</v>
          </cell>
          <cell r="H24">
            <v>2005</v>
          </cell>
        </row>
        <row r="25">
          <cell r="B25" t="str">
            <v>2005-Q4</v>
          </cell>
          <cell r="C25">
            <v>38626</v>
          </cell>
          <cell r="D25">
            <v>38717</v>
          </cell>
          <cell r="E25" t="str">
            <v>E</v>
          </cell>
          <cell r="F25" t="str">
            <v>Quarter</v>
          </cell>
          <cell r="G25">
            <v>4</v>
          </cell>
          <cell r="H25">
            <v>2005</v>
          </cell>
        </row>
        <row r="26">
          <cell r="B26" t="str">
            <v>2005-FY</v>
          </cell>
          <cell r="C26">
            <v>38353</v>
          </cell>
          <cell r="D26">
            <v>38717</v>
          </cell>
          <cell r="E26" t="str">
            <v>E</v>
          </cell>
          <cell r="G26">
            <v>1</v>
          </cell>
          <cell r="H26">
            <v>2005</v>
          </cell>
        </row>
        <row r="27">
          <cell r="B27" t="str">
            <v>2006-Q1</v>
          </cell>
          <cell r="C27">
            <v>38718</v>
          </cell>
          <cell r="D27">
            <v>38807</v>
          </cell>
          <cell r="E27" t="str">
            <v>E</v>
          </cell>
          <cell r="F27" t="str">
            <v>Quarter</v>
          </cell>
          <cell r="G27">
            <v>1</v>
          </cell>
          <cell r="H27">
            <v>2006</v>
          </cell>
        </row>
        <row r="28">
          <cell r="B28" t="str">
            <v>2006-Q2</v>
          </cell>
          <cell r="C28">
            <v>38808</v>
          </cell>
          <cell r="D28">
            <v>38898</v>
          </cell>
          <cell r="E28" t="str">
            <v>E</v>
          </cell>
          <cell r="F28" t="str">
            <v>Quarter</v>
          </cell>
          <cell r="G28">
            <v>2</v>
          </cell>
          <cell r="H28">
            <v>2006</v>
          </cell>
        </row>
        <row r="29">
          <cell r="B29" t="str">
            <v>2006-Q3</v>
          </cell>
          <cell r="C29">
            <v>38899</v>
          </cell>
          <cell r="D29">
            <v>38990</v>
          </cell>
          <cell r="E29" t="str">
            <v>E</v>
          </cell>
          <cell r="F29" t="str">
            <v>Quarter</v>
          </cell>
          <cell r="G29">
            <v>3</v>
          </cell>
          <cell r="H29">
            <v>2006</v>
          </cell>
        </row>
        <row r="30">
          <cell r="B30" t="str">
            <v>2006-Q4</v>
          </cell>
          <cell r="C30">
            <v>38991</v>
          </cell>
          <cell r="D30">
            <v>39082</v>
          </cell>
          <cell r="E30" t="str">
            <v>E</v>
          </cell>
          <cell r="F30" t="str">
            <v>Quarter</v>
          </cell>
          <cell r="G30">
            <v>4</v>
          </cell>
          <cell r="H30">
            <v>2006</v>
          </cell>
        </row>
        <row r="31">
          <cell r="B31" t="str">
            <v>2006-FY</v>
          </cell>
          <cell r="C31">
            <v>38718</v>
          </cell>
          <cell r="D31">
            <v>39082</v>
          </cell>
          <cell r="E31" t="str">
            <v>E</v>
          </cell>
          <cell r="G31">
            <v>1</v>
          </cell>
          <cell r="H31">
            <v>2006</v>
          </cell>
        </row>
        <row r="32">
          <cell r="B32" t="str">
            <v>2007-Q1</v>
          </cell>
          <cell r="C32">
            <v>39083</v>
          </cell>
          <cell r="D32">
            <v>39172</v>
          </cell>
          <cell r="E32" t="str">
            <v>E</v>
          </cell>
          <cell r="F32" t="str">
            <v>Quarter</v>
          </cell>
          <cell r="G32">
            <v>1</v>
          </cell>
          <cell r="H32">
            <v>2007</v>
          </cell>
        </row>
        <row r="33">
          <cell r="B33" t="str">
            <v>2007-Q2</v>
          </cell>
          <cell r="C33">
            <v>39173</v>
          </cell>
          <cell r="D33">
            <v>39263</v>
          </cell>
          <cell r="E33" t="str">
            <v>E</v>
          </cell>
          <cell r="F33" t="str">
            <v>Quarter</v>
          </cell>
          <cell r="G33">
            <v>2</v>
          </cell>
          <cell r="H33">
            <v>2007</v>
          </cell>
        </row>
        <row r="34">
          <cell r="B34" t="str">
            <v>2007-Q3</v>
          </cell>
          <cell r="C34">
            <v>39264</v>
          </cell>
          <cell r="D34">
            <v>39355</v>
          </cell>
          <cell r="E34" t="str">
            <v>E</v>
          </cell>
          <cell r="F34" t="str">
            <v>Quarter</v>
          </cell>
          <cell r="G34">
            <v>3</v>
          </cell>
          <cell r="H34">
            <v>2007</v>
          </cell>
        </row>
        <row r="35">
          <cell r="B35" t="str">
            <v>2007-Q4</v>
          </cell>
          <cell r="C35">
            <v>39356</v>
          </cell>
          <cell r="D35">
            <v>39447</v>
          </cell>
          <cell r="E35" t="str">
            <v>E</v>
          </cell>
          <cell r="F35" t="str">
            <v>Quarter</v>
          </cell>
          <cell r="G35">
            <v>4</v>
          </cell>
          <cell r="H35">
            <v>2007</v>
          </cell>
        </row>
        <row r="36">
          <cell r="B36" t="str">
            <v>2007-FY</v>
          </cell>
          <cell r="C36">
            <v>39083</v>
          </cell>
          <cell r="D36">
            <v>39447</v>
          </cell>
          <cell r="E36" t="str">
            <v>E</v>
          </cell>
          <cell r="G36">
            <v>1</v>
          </cell>
          <cell r="H36">
            <v>2007</v>
          </cell>
        </row>
      </sheetData>
      <sheetData sheetId="27" refreshError="1"/>
      <sheetData sheetId="28" refreshError="1"/>
      <sheetData sheetId="29" refreshError="1"/>
      <sheetData sheetId="30" refreshError="1"/>
      <sheetData sheetId="3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T-Exhibit"/>
      <sheetName val="Income Statement"/>
      <sheetName val="Revenue Generator"/>
      <sheetName val="BalanceSheet"/>
      <sheetName val="CFS"/>
      <sheetName val="NAV"/>
      <sheetName val="MainCode"/>
      <sheetName val="Acq. &amp; Developments"/>
      <sheetName val="Performance Review"/>
      <sheetName val="Performance"/>
      <sheetName val="1Q06 Variance"/>
      <sheetName val="2Q06 Variance"/>
      <sheetName val="mwareDates"/>
      <sheetName val="__FDSCACHE__"/>
      <sheetName val="Implied Cap Rate"/>
      <sheetName val="Variance"/>
      <sheetName val="mwareSettings"/>
      <sheetName val="NY UPLOAD shadow"/>
    </sheetNames>
    <sheetDataSet>
      <sheetData sheetId="0" refreshError="1"/>
      <sheetData sheetId="1" refreshError="1">
        <row r="1">
          <cell r="BY1" t="str">
            <v>ElementName</v>
          </cell>
          <cell r="BZ1" t="str">
            <v>ScaleOverride</v>
          </cell>
          <cell r="CA1" t="str">
            <v>UnitOverride</v>
          </cell>
          <cell r="CB1" t="str">
            <v>ReverseSign</v>
          </cell>
          <cell r="CC1" t="str">
            <v>IsDrivingAssumption</v>
          </cell>
          <cell r="CD1" t="str">
            <v>SegmentID</v>
          </cell>
        </row>
        <row r="2">
          <cell r="A2" t="str">
            <v>PS Business Parks, Inc.</v>
          </cell>
        </row>
        <row r="3">
          <cell r="A3" t="str">
            <v>Quarterly Income Statement</v>
          </cell>
        </row>
        <row r="4">
          <cell r="A4" t="str">
            <v>(Dollars In Thousands, Except Per-Share)</v>
          </cell>
        </row>
        <row r="8">
          <cell r="B8">
            <v>1997</v>
          </cell>
          <cell r="H8">
            <v>1998</v>
          </cell>
          <cell r="N8">
            <v>1999</v>
          </cell>
          <cell r="T8">
            <v>2000</v>
          </cell>
          <cell r="Y8">
            <v>2001</v>
          </cell>
          <cell r="AD8">
            <v>2002</v>
          </cell>
          <cell r="AI8">
            <v>2003</v>
          </cell>
          <cell r="AN8">
            <v>2004</v>
          </cell>
          <cell r="AS8">
            <v>2005</v>
          </cell>
          <cell r="AX8">
            <v>2006</v>
          </cell>
          <cell r="BC8">
            <v>2007</v>
          </cell>
          <cell r="BH8">
            <v>2008</v>
          </cell>
          <cell r="BM8">
            <v>2009</v>
          </cell>
          <cell r="BR8">
            <v>2010</v>
          </cell>
        </row>
        <row r="9">
          <cell r="A9" t="str">
            <v>Year Ends December 31,</v>
          </cell>
          <cell r="B9" t="str">
            <v>1QA</v>
          </cell>
          <cell r="C9" t="str">
            <v>2QA</v>
          </cell>
          <cell r="D9" t="str">
            <v>3QA</v>
          </cell>
          <cell r="E9" t="str">
            <v>4QA</v>
          </cell>
          <cell r="F9" t="str">
            <v>1997A</v>
          </cell>
          <cell r="H9" t="str">
            <v>1QA</v>
          </cell>
          <cell r="I9" t="str">
            <v>2QA</v>
          </cell>
          <cell r="J9" t="str">
            <v>3QA</v>
          </cell>
          <cell r="K9" t="str">
            <v>4QA</v>
          </cell>
          <cell r="L9" t="str">
            <v>1998A</v>
          </cell>
          <cell r="N9" t="str">
            <v>1QA</v>
          </cell>
          <cell r="O9" t="str">
            <v>2QA</v>
          </cell>
          <cell r="P9" t="str">
            <v>3QA</v>
          </cell>
          <cell r="Q9" t="str">
            <v>4QA</v>
          </cell>
          <cell r="R9" t="str">
            <v>1999A</v>
          </cell>
          <cell r="T9" t="str">
            <v>1QA</v>
          </cell>
          <cell r="U9" t="str">
            <v>2QA</v>
          </cell>
          <cell r="V9" t="str">
            <v>3QA</v>
          </cell>
          <cell r="W9" t="str">
            <v>4QA</v>
          </cell>
          <cell r="X9" t="str">
            <v>2000E</v>
          </cell>
          <cell r="Y9" t="str">
            <v>1QA</v>
          </cell>
          <cell r="Z9" t="str">
            <v>2QA</v>
          </cell>
          <cell r="AA9" t="str">
            <v>3QA</v>
          </cell>
          <cell r="AB9" t="str">
            <v>4QA</v>
          </cell>
          <cell r="AC9" t="str">
            <v>2001E</v>
          </cell>
          <cell r="AD9" t="str">
            <v>1QA</v>
          </cell>
          <cell r="AE9" t="str">
            <v>2QA</v>
          </cell>
          <cell r="AF9" t="str">
            <v>3QA</v>
          </cell>
          <cell r="AG9" t="str">
            <v>4QA</v>
          </cell>
          <cell r="AH9" t="str">
            <v>2002A</v>
          </cell>
          <cell r="AI9" t="str">
            <v>1QA</v>
          </cell>
          <cell r="AJ9" t="str">
            <v>2QA</v>
          </cell>
          <cell r="AK9" t="str">
            <v>3QA</v>
          </cell>
          <cell r="AL9" t="str">
            <v>4QA</v>
          </cell>
          <cell r="AM9" t="str">
            <v>2003A</v>
          </cell>
          <cell r="AN9" t="str">
            <v>1QA</v>
          </cell>
          <cell r="AO9" t="str">
            <v>2QA</v>
          </cell>
          <cell r="AP9" t="str">
            <v>3QA</v>
          </cell>
          <cell r="AQ9" t="str">
            <v>4QA</v>
          </cell>
          <cell r="AR9" t="str">
            <v>2004A</v>
          </cell>
          <cell r="AS9" t="str">
            <v>1QA</v>
          </cell>
          <cell r="AT9" t="str">
            <v>2QA</v>
          </cell>
          <cell r="AU9" t="str">
            <v>3QA</v>
          </cell>
          <cell r="AV9" t="str">
            <v>4QA</v>
          </cell>
          <cell r="AW9" t="str">
            <v>2005A</v>
          </cell>
          <cell r="AX9" t="str">
            <v>1QA</v>
          </cell>
          <cell r="AY9" t="str">
            <v>2QA</v>
          </cell>
          <cell r="AZ9" t="str">
            <v>3QA</v>
          </cell>
          <cell r="BA9" t="str">
            <v>4QA</v>
          </cell>
          <cell r="BB9" t="str">
            <v>2006A</v>
          </cell>
          <cell r="BC9" t="str">
            <v>1QA</v>
          </cell>
          <cell r="BD9" t="str">
            <v>2QA</v>
          </cell>
          <cell r="BE9" t="str">
            <v>3QA</v>
          </cell>
          <cell r="BF9" t="str">
            <v>4QA</v>
          </cell>
          <cell r="BG9" t="str">
            <v>2007E</v>
          </cell>
          <cell r="BH9" t="str">
            <v>1QE</v>
          </cell>
          <cell r="BI9" t="str">
            <v>2QE</v>
          </cell>
          <cell r="BJ9" t="str">
            <v>3QE</v>
          </cell>
          <cell r="BK9" t="str">
            <v>4QE</v>
          </cell>
          <cell r="BL9" t="str">
            <v>2008E</v>
          </cell>
          <cell r="BM9" t="str">
            <v>1QE</v>
          </cell>
          <cell r="BN9" t="str">
            <v>2QE</v>
          </cell>
          <cell r="BO9" t="str">
            <v>3QE</v>
          </cell>
          <cell r="BP9" t="str">
            <v>4QE</v>
          </cell>
          <cell r="BQ9" t="str">
            <v>2009E</v>
          </cell>
          <cell r="BR9" t="str">
            <v>1QE</v>
          </cell>
          <cell r="BS9" t="str">
            <v>2QE</v>
          </cell>
          <cell r="BT9" t="str">
            <v>3QE</v>
          </cell>
          <cell r="BU9" t="str">
            <v>4QE</v>
          </cell>
          <cell r="BV9" t="str">
            <v>2010E</v>
          </cell>
        </row>
        <row r="10">
          <cell r="AD10" t="str">
            <v>2002-Q1</v>
          </cell>
          <cell r="AE10" t="str">
            <v>2002-Q2</v>
          </cell>
          <cell r="AF10" t="str">
            <v>2002-Q3</v>
          </cell>
          <cell r="AG10" t="str">
            <v>2002-Q4</v>
          </cell>
          <cell r="AH10" t="str">
            <v>2002-FY</v>
          </cell>
          <cell r="AI10" t="str">
            <v>2003-Q1</v>
          </cell>
          <cell r="AJ10" t="str">
            <v>2003-Q2</v>
          </cell>
          <cell r="AK10" t="str">
            <v>2003-Q3</v>
          </cell>
          <cell r="AL10" t="str">
            <v>2003-Q4</v>
          </cell>
          <cell r="AM10" t="str">
            <v>2003-FY</v>
          </cell>
          <cell r="AN10" t="str">
            <v>2004-Q1</v>
          </cell>
          <cell r="AO10" t="str">
            <v>2004-Q2</v>
          </cell>
          <cell r="AP10" t="str">
            <v>2004-Q3</v>
          </cell>
          <cell r="AQ10" t="str">
            <v>2004-Q4</v>
          </cell>
          <cell r="AR10" t="str">
            <v>2004-FY</v>
          </cell>
          <cell r="AS10" t="str">
            <v>2005-Q1</v>
          </cell>
          <cell r="AT10" t="str">
            <v>2005-Q2</v>
          </cell>
          <cell r="AU10" t="str">
            <v>2005-Q3</v>
          </cell>
          <cell r="AV10" t="str">
            <v>2005-Q4</v>
          </cell>
          <cell r="AW10" t="str">
            <v>2005-FY</v>
          </cell>
          <cell r="AX10" t="str">
            <v>2006-Q1</v>
          </cell>
          <cell r="AY10" t="str">
            <v>2006-Q2</v>
          </cell>
          <cell r="AZ10" t="str">
            <v>2006-Q3</v>
          </cell>
          <cell r="BA10" t="str">
            <v>2006-Q4</v>
          </cell>
          <cell r="BB10" t="str">
            <v>2006-FY</v>
          </cell>
          <cell r="BC10" t="str">
            <v>2007-Q1</v>
          </cell>
          <cell r="BD10" t="str">
            <v>2007-Q2</v>
          </cell>
          <cell r="BE10" t="str">
            <v>2007-Q3</v>
          </cell>
          <cell r="BF10" t="str">
            <v>2007-Q4</v>
          </cell>
          <cell r="BG10" t="str">
            <v>2007-FY</v>
          </cell>
          <cell r="BH10" t="str">
            <v>2008-Q1</v>
          </cell>
          <cell r="BI10" t="str">
            <v>2008-Q2</v>
          </cell>
          <cell r="BJ10" t="str">
            <v>2008-Q3</v>
          </cell>
          <cell r="BK10" t="str">
            <v>2008-Q4</v>
          </cell>
          <cell r="BL10" t="str">
            <v>2008-FY</v>
          </cell>
          <cell r="BM10" t="str">
            <v>2009-Q1</v>
          </cell>
          <cell r="BN10" t="str">
            <v>2009-Q2</v>
          </cell>
          <cell r="BO10" t="str">
            <v>2009-Q3</v>
          </cell>
          <cell r="BP10" t="str">
            <v>2009-Q4</v>
          </cell>
          <cell r="BQ10" t="str">
            <v>2009-FY</v>
          </cell>
          <cell r="BR10" t="str">
            <v>2010-Q1</v>
          </cell>
          <cell r="BS10" t="str">
            <v>2010-Q2</v>
          </cell>
          <cell r="BT10" t="str">
            <v>2010-Q3</v>
          </cell>
          <cell r="BU10" t="str">
            <v>2010-Q4</v>
          </cell>
          <cell r="BV10" t="str">
            <v>2010-FY</v>
          </cell>
        </row>
        <row r="12">
          <cell r="A12" t="str">
            <v>Rental Income</v>
          </cell>
          <cell r="B12">
            <v>5805</v>
          </cell>
          <cell r="C12">
            <v>6978</v>
          </cell>
          <cell r="D12">
            <v>8256</v>
          </cell>
          <cell r="E12">
            <v>9130</v>
          </cell>
          <cell r="F12">
            <v>30169</v>
          </cell>
          <cell r="H12">
            <v>14353</v>
          </cell>
          <cell r="I12">
            <v>21471</v>
          </cell>
          <cell r="J12">
            <v>25635</v>
          </cell>
          <cell r="K12">
            <v>26861</v>
          </cell>
          <cell r="L12">
            <v>88320</v>
          </cell>
          <cell r="N12">
            <v>29117</v>
          </cell>
          <cell r="O12">
            <v>30859</v>
          </cell>
          <cell r="P12">
            <v>32568</v>
          </cell>
          <cell r="Q12">
            <v>32783</v>
          </cell>
          <cell r="R12">
            <v>125327</v>
          </cell>
          <cell r="T12">
            <v>34053</v>
          </cell>
          <cell r="U12">
            <v>36414</v>
          </cell>
          <cell r="V12">
            <v>36798</v>
          </cell>
          <cell r="W12">
            <v>36906</v>
          </cell>
          <cell r="X12">
            <v>144171</v>
          </cell>
          <cell r="Y12">
            <v>38393</v>
          </cell>
          <cell r="Z12">
            <v>40281</v>
          </cell>
          <cell r="AA12">
            <v>43290</v>
          </cell>
          <cell r="AB12">
            <v>45098</v>
          </cell>
          <cell r="AC12">
            <v>167062</v>
          </cell>
          <cell r="AD12">
            <v>50344</v>
          </cell>
          <cell r="AE12">
            <v>50930</v>
          </cell>
          <cell r="AF12">
            <v>49478</v>
          </cell>
          <cell r="AG12">
            <v>48922</v>
          </cell>
          <cell r="AH12">
            <v>199674</v>
          </cell>
          <cell r="AI12">
            <v>48012</v>
          </cell>
          <cell r="AJ12">
            <v>47667</v>
          </cell>
          <cell r="AK12">
            <v>48740</v>
          </cell>
          <cell r="AL12">
            <v>49532</v>
          </cell>
          <cell r="AM12">
            <v>193951</v>
          </cell>
          <cell r="AN12">
            <v>55175</v>
          </cell>
          <cell r="AO12">
            <v>55352</v>
          </cell>
          <cell r="AP12">
            <v>54979</v>
          </cell>
          <cell r="AQ12">
            <v>56042</v>
          </cell>
          <cell r="AR12">
            <v>221548</v>
          </cell>
          <cell r="AS12">
            <v>55741</v>
          </cell>
          <cell r="AT12">
            <v>55357</v>
          </cell>
          <cell r="AU12">
            <v>54654</v>
          </cell>
          <cell r="AV12">
            <v>55798</v>
          </cell>
          <cell r="AW12">
            <v>221550</v>
          </cell>
          <cell r="AX12">
            <v>58754</v>
          </cell>
          <cell r="AY12">
            <v>59159</v>
          </cell>
          <cell r="AZ12">
            <v>61695</v>
          </cell>
          <cell r="BA12">
            <v>62606</v>
          </cell>
          <cell r="BB12">
            <v>242214</v>
          </cell>
          <cell r="BC12">
            <v>65124</v>
          </cell>
          <cell r="BD12">
            <v>67275</v>
          </cell>
          <cell r="BE12">
            <v>68530</v>
          </cell>
          <cell r="BF12">
            <v>69846</v>
          </cell>
          <cell r="BG12">
            <v>270775</v>
          </cell>
          <cell r="BH12">
            <v>69989.598499999993</v>
          </cell>
          <cell r="BI12">
            <v>69906.719294089198</v>
          </cell>
          <cell r="BJ12">
            <v>69823.7572089725</v>
          </cell>
          <cell r="BK12">
            <v>69740.712161770687</v>
          </cell>
          <cell r="BL12">
            <v>279460.78716483241</v>
          </cell>
          <cell r="BM12">
            <v>69521.008174745453</v>
          </cell>
          <cell r="BN12">
            <v>69301.084483733197</v>
          </cell>
          <cell r="BO12">
            <v>69080.940869029931</v>
          </cell>
          <cell r="BP12">
            <v>68860.577110711965</v>
          </cell>
          <cell r="BQ12">
            <v>276763.61063822056</v>
          </cell>
          <cell r="BR12">
            <v>68713.298536271235</v>
          </cell>
          <cell r="BS12">
            <v>68565.872683256064</v>
          </cell>
          <cell r="BT12">
            <v>68418.299404387872</v>
          </cell>
          <cell r="BU12">
            <v>68270.578552240811</v>
          </cell>
          <cell r="BV12">
            <v>273968.049176156</v>
          </cell>
        </row>
        <row r="13">
          <cell r="A13" t="str">
            <v>Rental Income</v>
          </cell>
          <cell r="B13">
            <v>5805</v>
          </cell>
          <cell r="C13">
            <v>6978</v>
          </cell>
          <cell r="D13">
            <v>8256</v>
          </cell>
          <cell r="E13">
            <v>9130</v>
          </cell>
          <cell r="F13">
            <v>30169</v>
          </cell>
          <cell r="H13">
            <v>14353</v>
          </cell>
          <cell r="I13">
            <v>21471</v>
          </cell>
          <cell r="J13">
            <v>25635</v>
          </cell>
          <cell r="K13">
            <v>26861</v>
          </cell>
          <cell r="L13">
            <v>88320</v>
          </cell>
          <cell r="N13">
            <v>29117</v>
          </cell>
          <cell r="O13">
            <v>30859</v>
          </cell>
          <cell r="P13">
            <v>32568</v>
          </cell>
          <cell r="Q13">
            <v>32783</v>
          </cell>
          <cell r="R13">
            <v>125327</v>
          </cell>
          <cell r="T13">
            <v>34053</v>
          </cell>
          <cell r="U13">
            <v>36414</v>
          </cell>
          <cell r="V13">
            <v>36798</v>
          </cell>
          <cell r="W13">
            <v>36906</v>
          </cell>
          <cell r="X13">
            <v>144171</v>
          </cell>
          <cell r="Y13">
            <v>38393</v>
          </cell>
          <cell r="Z13">
            <v>40281</v>
          </cell>
          <cell r="AA13">
            <v>43290</v>
          </cell>
          <cell r="AB13">
            <v>45098</v>
          </cell>
          <cell r="AC13">
            <v>167062</v>
          </cell>
          <cell r="AD13">
            <v>50344</v>
          </cell>
          <cell r="AE13">
            <v>50930</v>
          </cell>
          <cell r="AF13">
            <v>49478</v>
          </cell>
          <cell r="AG13">
            <v>48922</v>
          </cell>
          <cell r="AH13">
            <v>199674</v>
          </cell>
          <cell r="AI13">
            <v>48012</v>
          </cell>
          <cell r="AJ13">
            <v>47667</v>
          </cell>
          <cell r="AK13">
            <v>48740</v>
          </cell>
          <cell r="AL13">
            <v>49532</v>
          </cell>
          <cell r="AM13">
            <v>193951</v>
          </cell>
          <cell r="AN13">
            <v>55175</v>
          </cell>
          <cell r="AO13">
            <v>55352</v>
          </cell>
          <cell r="AP13">
            <v>54979</v>
          </cell>
          <cell r="AQ13">
            <v>56042</v>
          </cell>
          <cell r="AR13">
            <v>221548</v>
          </cell>
          <cell r="AS13">
            <v>55741</v>
          </cell>
          <cell r="AT13">
            <v>55357</v>
          </cell>
          <cell r="AU13">
            <v>54654</v>
          </cell>
          <cell r="AV13">
            <v>55798</v>
          </cell>
          <cell r="AW13">
            <v>221550</v>
          </cell>
          <cell r="AX13">
            <v>58754</v>
          </cell>
          <cell r="AY13">
            <v>59159</v>
          </cell>
          <cell r="AZ13">
            <v>61695</v>
          </cell>
          <cell r="BA13">
            <v>62606</v>
          </cell>
          <cell r="BB13">
            <v>242214</v>
          </cell>
          <cell r="BC13">
            <v>65124</v>
          </cell>
          <cell r="BD13">
            <v>67275</v>
          </cell>
          <cell r="BE13">
            <v>68530</v>
          </cell>
          <cell r="BF13">
            <v>69846</v>
          </cell>
          <cell r="BG13">
            <v>270775</v>
          </cell>
          <cell r="BH13">
            <v>69989.598499999993</v>
          </cell>
          <cell r="BI13">
            <v>69906.719294089198</v>
          </cell>
          <cell r="BJ13">
            <v>69823.7572089725</v>
          </cell>
          <cell r="BK13">
            <v>69740.712161770687</v>
          </cell>
          <cell r="BL13">
            <v>279460.78716483241</v>
          </cell>
          <cell r="BM13">
            <v>69521.008174745453</v>
          </cell>
          <cell r="BN13">
            <v>69301.084483733197</v>
          </cell>
          <cell r="BO13">
            <v>69080.940869029931</v>
          </cell>
          <cell r="BP13">
            <v>68860.577110711965</v>
          </cell>
          <cell r="BQ13">
            <v>276763.61063822056</v>
          </cell>
          <cell r="BR13">
            <v>68713.298536271235</v>
          </cell>
          <cell r="BS13">
            <v>68565.872683256064</v>
          </cell>
          <cell r="BT13">
            <v>68418.299404387872</v>
          </cell>
          <cell r="BU13">
            <v>68270.578552240811</v>
          </cell>
          <cell r="BV13">
            <v>273968.049176156</v>
          </cell>
          <cell r="BY13" t="str">
            <v>mstag:grossRents</v>
          </cell>
          <cell r="BZ13">
            <v>3</v>
          </cell>
          <cell r="CA13" t="str">
            <v>ISO4217:USD</v>
          </cell>
          <cell r="CB13" t="b">
            <v>0</v>
          </cell>
          <cell r="CC13" t="b">
            <v>0</v>
          </cell>
        </row>
        <row r="14">
          <cell r="A14" t="str">
            <v>Facility Management Fees</v>
          </cell>
          <cell r="B14">
            <v>247</v>
          </cell>
          <cell r="C14">
            <v>228</v>
          </cell>
          <cell r="D14">
            <v>221</v>
          </cell>
          <cell r="E14">
            <v>260</v>
          </cell>
          <cell r="F14">
            <v>956</v>
          </cell>
          <cell r="H14">
            <v>202</v>
          </cell>
          <cell r="I14">
            <v>129</v>
          </cell>
          <cell r="J14">
            <v>109</v>
          </cell>
          <cell r="K14">
            <v>89</v>
          </cell>
          <cell r="L14">
            <v>529</v>
          </cell>
          <cell r="N14">
            <v>114</v>
          </cell>
          <cell r="O14">
            <v>116</v>
          </cell>
          <cell r="P14">
            <v>121</v>
          </cell>
          <cell r="Q14">
            <v>120</v>
          </cell>
          <cell r="R14">
            <v>471</v>
          </cell>
          <cell r="T14">
            <v>123</v>
          </cell>
          <cell r="U14">
            <v>129</v>
          </cell>
          <cell r="V14">
            <v>131</v>
          </cell>
          <cell r="W14">
            <v>198</v>
          </cell>
          <cell r="X14">
            <v>581</v>
          </cell>
          <cell r="Y14">
            <v>161</v>
          </cell>
          <cell r="Z14">
            <v>168</v>
          </cell>
          <cell r="AA14">
            <v>170</v>
          </cell>
          <cell r="AB14">
            <v>184</v>
          </cell>
          <cell r="AC14">
            <v>683</v>
          </cell>
          <cell r="AD14">
            <v>195</v>
          </cell>
          <cell r="AE14">
            <v>191</v>
          </cell>
          <cell r="AF14">
            <v>191</v>
          </cell>
          <cell r="AG14">
            <v>186</v>
          </cell>
          <cell r="AH14">
            <v>763</v>
          </cell>
          <cell r="AI14">
            <v>185</v>
          </cell>
          <cell r="AJ14">
            <v>190</v>
          </cell>
          <cell r="AK14">
            <v>178</v>
          </cell>
          <cell r="AL14">
            <v>180</v>
          </cell>
          <cell r="AM14">
            <v>733</v>
          </cell>
          <cell r="AN14">
            <v>155</v>
          </cell>
          <cell r="AO14">
            <v>160</v>
          </cell>
          <cell r="AP14">
            <v>200</v>
          </cell>
          <cell r="AQ14">
            <v>109</v>
          </cell>
          <cell r="AR14">
            <v>624</v>
          </cell>
          <cell r="AS14">
            <v>145</v>
          </cell>
          <cell r="AT14">
            <v>144</v>
          </cell>
          <cell r="AU14">
            <v>145</v>
          </cell>
          <cell r="AV14">
            <v>145</v>
          </cell>
          <cell r="AW14">
            <v>579</v>
          </cell>
          <cell r="AX14">
            <v>149</v>
          </cell>
          <cell r="AY14">
            <v>146</v>
          </cell>
          <cell r="AZ14">
            <v>147</v>
          </cell>
          <cell r="BA14">
            <v>183</v>
          </cell>
          <cell r="BB14">
            <v>625</v>
          </cell>
          <cell r="BC14">
            <v>183</v>
          </cell>
          <cell r="BD14">
            <v>182</v>
          </cell>
          <cell r="BE14">
            <v>177</v>
          </cell>
          <cell r="BF14">
            <v>182</v>
          </cell>
          <cell r="BG14">
            <v>724</v>
          </cell>
          <cell r="BH14">
            <v>182.37417929444777</v>
          </cell>
          <cell r="BI14">
            <v>182.15821824477041</v>
          </cell>
          <cell r="BJ14">
            <v>181.94204123404342</v>
          </cell>
          <cell r="BK14">
            <v>181.72564804630568</v>
          </cell>
          <cell r="BL14">
            <v>728.20008681956733</v>
          </cell>
          <cell r="BM14">
            <v>181.15315820238342</v>
          </cell>
          <cell r="BN14">
            <v>180.58009586861729</v>
          </cell>
          <cell r="BO14">
            <v>180.00646047251738</v>
          </cell>
          <cell r="BP14">
            <v>179.43225144102138</v>
          </cell>
          <cell r="BQ14">
            <v>721.17196598453938</v>
          </cell>
          <cell r="BR14">
            <v>179.04848285658971</v>
          </cell>
          <cell r="BS14">
            <v>178.66433050357364</v>
          </cell>
          <cell r="BT14">
            <v>178.27979399820452</v>
          </cell>
          <cell r="BU14">
            <v>177.89487295633003</v>
          </cell>
          <cell r="BV14">
            <v>713.88748031469788</v>
          </cell>
          <cell r="BY14" t="str">
            <v>mstag:thirdPartyPropertyManagementIncome</v>
          </cell>
          <cell r="BZ14">
            <v>3</v>
          </cell>
          <cell r="CA14" t="str">
            <v>ISO4217:USD</v>
          </cell>
          <cell r="CB14" t="b">
            <v>0</v>
          </cell>
          <cell r="CC14" t="b">
            <v>0</v>
          </cell>
        </row>
        <row r="15">
          <cell r="A15" t="str">
            <v>Business Services Income</v>
          </cell>
          <cell r="T15">
            <v>0</v>
          </cell>
          <cell r="U15">
            <v>267</v>
          </cell>
          <cell r="V15">
            <v>82</v>
          </cell>
          <cell r="W15">
            <v>156</v>
          </cell>
          <cell r="X15">
            <v>505</v>
          </cell>
          <cell r="Y15">
            <v>157</v>
          </cell>
          <cell r="Z15">
            <v>76</v>
          </cell>
          <cell r="AA15">
            <v>75</v>
          </cell>
          <cell r="AB15">
            <v>45</v>
          </cell>
          <cell r="AC15">
            <v>353</v>
          </cell>
          <cell r="AD15">
            <v>41</v>
          </cell>
          <cell r="AE15">
            <v>28</v>
          </cell>
          <cell r="AF15">
            <v>24</v>
          </cell>
          <cell r="AG15">
            <v>43</v>
          </cell>
          <cell r="AH15">
            <v>136</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Y15" t="str">
            <v>mstag:serviceIncome</v>
          </cell>
          <cell r="BZ15">
            <v>3</v>
          </cell>
          <cell r="CA15" t="str">
            <v>ISO4217:USD</v>
          </cell>
          <cell r="CB15" t="b">
            <v>0</v>
          </cell>
          <cell r="CC15" t="b">
            <v>0</v>
          </cell>
        </row>
        <row r="16">
          <cell r="A16" t="str">
            <v>Cost of Operations</v>
          </cell>
          <cell r="B16">
            <v>2493</v>
          </cell>
          <cell r="C16">
            <v>2526</v>
          </cell>
          <cell r="D16">
            <v>3250</v>
          </cell>
          <cell r="E16">
            <v>4061</v>
          </cell>
          <cell r="F16">
            <v>12330</v>
          </cell>
          <cell r="H16">
            <v>4627</v>
          </cell>
          <cell r="I16">
            <v>6355</v>
          </cell>
          <cell r="J16">
            <v>7379</v>
          </cell>
          <cell r="K16">
            <v>7712</v>
          </cell>
          <cell r="L16">
            <v>26073</v>
          </cell>
          <cell r="N16">
            <v>8376</v>
          </cell>
          <cell r="O16">
            <v>8655</v>
          </cell>
          <cell r="P16">
            <v>8920</v>
          </cell>
          <cell r="Q16">
            <v>8940</v>
          </cell>
          <cell r="R16">
            <v>34891</v>
          </cell>
          <cell r="T16">
            <v>9552</v>
          </cell>
          <cell r="U16">
            <v>10118</v>
          </cell>
          <cell r="V16">
            <v>9762</v>
          </cell>
          <cell r="W16">
            <v>9858</v>
          </cell>
          <cell r="X16">
            <v>39290</v>
          </cell>
          <cell r="Y16">
            <v>10371</v>
          </cell>
          <cell r="Z16">
            <v>10475</v>
          </cell>
          <cell r="AA16">
            <v>12006</v>
          </cell>
          <cell r="AB16">
            <v>12362</v>
          </cell>
          <cell r="AC16">
            <v>45214</v>
          </cell>
          <cell r="AD16">
            <v>13826</v>
          </cell>
          <cell r="AE16">
            <v>13626</v>
          </cell>
          <cell r="AF16">
            <v>12953</v>
          </cell>
          <cell r="AG16">
            <v>13447</v>
          </cell>
          <cell r="AH16">
            <v>53852</v>
          </cell>
          <cell r="AI16">
            <v>13300</v>
          </cell>
          <cell r="AJ16">
            <v>12747</v>
          </cell>
          <cell r="AK16">
            <v>13533</v>
          </cell>
          <cell r="AL16">
            <v>14387</v>
          </cell>
          <cell r="AM16">
            <v>53967</v>
          </cell>
          <cell r="AN16">
            <v>16672</v>
          </cell>
          <cell r="AO16">
            <v>16384</v>
          </cell>
          <cell r="AP16">
            <v>16342</v>
          </cell>
          <cell r="AQ16">
            <v>16699</v>
          </cell>
          <cell r="AR16">
            <v>66097</v>
          </cell>
          <cell r="AS16">
            <v>16388</v>
          </cell>
          <cell r="AT16">
            <v>16646</v>
          </cell>
          <cell r="AU16">
            <v>16204</v>
          </cell>
          <cell r="AV16">
            <v>17060</v>
          </cell>
          <cell r="AW16">
            <v>66298</v>
          </cell>
          <cell r="AX16">
            <v>17946</v>
          </cell>
          <cell r="AY16">
            <v>18195</v>
          </cell>
          <cell r="AZ16">
            <v>19213</v>
          </cell>
          <cell r="BA16">
            <v>19317</v>
          </cell>
          <cell r="BB16">
            <v>74671</v>
          </cell>
          <cell r="BC16">
            <v>20439</v>
          </cell>
          <cell r="BD16">
            <v>21022</v>
          </cell>
          <cell r="BE16">
            <v>21204</v>
          </cell>
          <cell r="BF16">
            <v>21695</v>
          </cell>
          <cell r="BG16">
            <v>84360</v>
          </cell>
          <cell r="BH16">
            <v>21966.055582296845</v>
          </cell>
          <cell r="BI16">
            <v>21844.356046084627</v>
          </cell>
          <cell r="BJ16">
            <v>21604.303923231473</v>
          </cell>
          <cell r="BK16">
            <v>21662.296342662645</v>
          </cell>
          <cell r="BL16">
            <v>87077.01189427558</v>
          </cell>
          <cell r="BM16">
            <v>21064.865476947871</v>
          </cell>
          <cell r="BN16">
            <v>20998.228598571157</v>
          </cell>
          <cell r="BO16">
            <v>20931.525083316068</v>
          </cell>
          <cell r="BP16">
            <v>20864.754864545725</v>
          </cell>
          <cell r="BQ16">
            <v>83859.37402338082</v>
          </cell>
          <cell r="BR16">
            <v>20820.129456490184</v>
          </cell>
          <cell r="BS16">
            <v>20775.459423026587</v>
          </cell>
          <cell r="BT16">
            <v>20730.744719529524</v>
          </cell>
          <cell r="BU16">
            <v>20685.985301328965</v>
          </cell>
          <cell r="BV16">
            <v>83012.318900375263</v>
          </cell>
          <cell r="BY16" t="str">
            <v>mstag:propertyOperatingExpenses</v>
          </cell>
          <cell r="BZ16">
            <v>3</v>
          </cell>
          <cell r="CA16" t="str">
            <v>ISO4217:USD</v>
          </cell>
          <cell r="CB16" t="b">
            <v>0</v>
          </cell>
          <cell r="CC16" t="b">
            <v>0</v>
          </cell>
        </row>
        <row r="17">
          <cell r="A17" t="str">
            <v>Cost of Facility Management</v>
          </cell>
          <cell r="B17">
            <v>60</v>
          </cell>
          <cell r="C17">
            <v>49</v>
          </cell>
          <cell r="D17">
            <v>48</v>
          </cell>
          <cell r="E17">
            <v>32</v>
          </cell>
          <cell r="F17">
            <v>189</v>
          </cell>
          <cell r="H17">
            <v>25</v>
          </cell>
          <cell r="I17">
            <v>12</v>
          </cell>
          <cell r="J17">
            <v>12</v>
          </cell>
          <cell r="K17">
            <v>28</v>
          </cell>
          <cell r="L17">
            <v>77</v>
          </cell>
          <cell r="N17">
            <v>23</v>
          </cell>
          <cell r="O17">
            <v>23</v>
          </cell>
          <cell r="P17">
            <v>24</v>
          </cell>
          <cell r="Q17">
            <v>24</v>
          </cell>
          <cell r="R17">
            <v>94</v>
          </cell>
          <cell r="T17">
            <v>25</v>
          </cell>
          <cell r="U17">
            <v>25</v>
          </cell>
          <cell r="V17">
            <v>27</v>
          </cell>
          <cell r="W17">
            <v>34</v>
          </cell>
          <cell r="X17">
            <v>111</v>
          </cell>
          <cell r="Y17">
            <v>36</v>
          </cell>
          <cell r="Z17">
            <v>37</v>
          </cell>
          <cell r="AA17">
            <v>38</v>
          </cell>
          <cell r="AB17">
            <v>41</v>
          </cell>
          <cell r="AC17">
            <v>152</v>
          </cell>
          <cell r="AD17">
            <v>45</v>
          </cell>
          <cell r="AE17">
            <v>45</v>
          </cell>
          <cell r="AF17">
            <v>44</v>
          </cell>
          <cell r="AG17">
            <v>42</v>
          </cell>
          <cell r="AH17">
            <v>176</v>
          </cell>
          <cell r="AI17">
            <v>37</v>
          </cell>
          <cell r="AJ17">
            <v>37</v>
          </cell>
          <cell r="AK17">
            <v>37</v>
          </cell>
          <cell r="AL17">
            <v>35</v>
          </cell>
          <cell r="AM17">
            <v>146</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Y17" t="str">
            <v>mstag:thirdPartyPropertyManagementExpense</v>
          </cell>
          <cell r="BZ17">
            <v>3</v>
          </cell>
          <cell r="CA17" t="str">
            <v>ISO4217:USD</v>
          </cell>
          <cell r="CB17" t="b">
            <v>0</v>
          </cell>
          <cell r="CC17" t="b">
            <v>0</v>
          </cell>
        </row>
        <row r="18">
          <cell r="A18" t="str">
            <v>Cost of Business Services</v>
          </cell>
          <cell r="T18">
            <v>0</v>
          </cell>
          <cell r="U18">
            <v>64</v>
          </cell>
          <cell r="V18">
            <v>78</v>
          </cell>
          <cell r="W18">
            <v>202</v>
          </cell>
          <cell r="X18">
            <v>344</v>
          </cell>
          <cell r="Y18">
            <v>184</v>
          </cell>
          <cell r="Z18">
            <v>129</v>
          </cell>
          <cell r="AA18">
            <v>147</v>
          </cell>
          <cell r="AB18">
            <v>112</v>
          </cell>
          <cell r="AC18">
            <v>572</v>
          </cell>
          <cell r="AD18">
            <v>176</v>
          </cell>
          <cell r="AE18">
            <v>112</v>
          </cell>
          <cell r="AF18">
            <v>88</v>
          </cell>
          <cell r="AG18">
            <v>86</v>
          </cell>
          <cell r="AH18">
            <v>462</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Y18" t="str">
            <v>mstag:serviceIncome</v>
          </cell>
          <cell r="BZ18">
            <v>3</v>
          </cell>
          <cell r="CA18" t="str">
            <v>ISO4217:USD</v>
          </cell>
          <cell r="CB18" t="b">
            <v>1</v>
          </cell>
          <cell r="CC18" t="b">
            <v>0</v>
          </cell>
        </row>
        <row r="19">
          <cell r="A19" t="str">
            <v>Lost Income, Lower Rent/Retention</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row>
        <row r="20">
          <cell r="A20" t="str">
            <v>Acq. &amp; Develop. NOI</v>
          </cell>
          <cell r="B20">
            <v>0</v>
          </cell>
          <cell r="C20">
            <v>0</v>
          </cell>
          <cell r="D20">
            <v>0</v>
          </cell>
          <cell r="E20">
            <v>0</v>
          </cell>
          <cell r="F20">
            <v>0</v>
          </cell>
          <cell r="H20">
            <v>0</v>
          </cell>
          <cell r="I20">
            <v>0</v>
          </cell>
          <cell r="J20">
            <v>0</v>
          </cell>
          <cell r="K20">
            <v>0</v>
          </cell>
          <cell r="L20">
            <v>0</v>
          </cell>
          <cell r="N20">
            <v>0</v>
          </cell>
          <cell r="O20">
            <v>0</v>
          </cell>
          <cell r="P20">
            <v>0</v>
          </cell>
          <cell r="Q20">
            <v>0</v>
          </cell>
          <cell r="R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234.375</v>
          </cell>
          <cell r="BI20">
            <v>703.125</v>
          </cell>
          <cell r="BJ20">
            <v>1173.046875</v>
          </cell>
          <cell r="BK20">
            <v>1644.1435546875</v>
          </cell>
          <cell r="BL20">
            <v>3754.6904296875</v>
          </cell>
          <cell r="BM20">
            <v>2319.5429760742186</v>
          </cell>
          <cell r="BN20">
            <v>3199.2480835144042</v>
          </cell>
          <cell r="BO20">
            <v>3643.6524537231903</v>
          </cell>
          <cell r="BP20">
            <v>4527.7615848574978</v>
          </cell>
          <cell r="BQ20">
            <v>13690.20509816931</v>
          </cell>
          <cell r="BR20">
            <v>5882.8309888196418</v>
          </cell>
          <cell r="BS20">
            <v>6833.8661912916905</v>
          </cell>
          <cell r="BT20">
            <v>7318.5289817699195</v>
          </cell>
          <cell r="BU20">
            <v>8256.6029561068026</v>
          </cell>
          <cell r="BV20">
            <v>28291.829117988054</v>
          </cell>
          <cell r="BY20" t="str">
            <v>mstag:cumulativeNoiFromAcquisitionsDevelopmentsAndDispositions</v>
          </cell>
          <cell r="BZ20">
            <v>3</v>
          </cell>
          <cell r="CA20" t="str">
            <v>ISO4217:USD</v>
          </cell>
          <cell r="CB20" t="b">
            <v>0</v>
          </cell>
          <cell r="CC20" t="b">
            <v>0</v>
          </cell>
        </row>
        <row r="21">
          <cell r="A21" t="str">
            <v xml:space="preserve">    Net Operating Income</v>
          </cell>
          <cell r="B21">
            <v>3499</v>
          </cell>
          <cell r="C21">
            <v>4631</v>
          </cell>
          <cell r="D21">
            <v>5179</v>
          </cell>
          <cell r="E21">
            <v>5297</v>
          </cell>
          <cell r="F21">
            <v>18606</v>
          </cell>
          <cell r="H21">
            <v>9903</v>
          </cell>
          <cell r="I21">
            <v>15233</v>
          </cell>
          <cell r="J21">
            <v>18353</v>
          </cell>
          <cell r="K21">
            <v>19210</v>
          </cell>
          <cell r="L21">
            <v>62699</v>
          </cell>
          <cell r="N21">
            <v>20832</v>
          </cell>
          <cell r="O21">
            <v>22297</v>
          </cell>
          <cell r="P21">
            <v>23745</v>
          </cell>
          <cell r="Q21">
            <v>23939</v>
          </cell>
          <cell r="R21">
            <v>90813</v>
          </cell>
          <cell r="T21">
            <v>24599</v>
          </cell>
          <cell r="U21">
            <v>26603</v>
          </cell>
          <cell r="V21">
            <v>27144</v>
          </cell>
          <cell r="W21">
            <v>27166</v>
          </cell>
          <cell r="X21">
            <v>105512</v>
          </cell>
          <cell r="Y21">
            <v>28120</v>
          </cell>
          <cell r="Z21">
            <v>29884</v>
          </cell>
          <cell r="AA21">
            <v>31344</v>
          </cell>
          <cell r="AB21">
            <v>32812</v>
          </cell>
          <cell r="AC21">
            <v>122160</v>
          </cell>
          <cell r="AD21">
            <v>36533</v>
          </cell>
          <cell r="AE21">
            <v>37366</v>
          </cell>
          <cell r="AF21">
            <v>36608</v>
          </cell>
          <cell r="AG21">
            <v>35576</v>
          </cell>
          <cell r="AH21">
            <v>146083</v>
          </cell>
          <cell r="AI21">
            <v>34860</v>
          </cell>
          <cell r="AJ21">
            <v>35073</v>
          </cell>
          <cell r="AK21">
            <v>35348</v>
          </cell>
          <cell r="AL21">
            <v>35290</v>
          </cell>
          <cell r="AM21">
            <v>140571</v>
          </cell>
          <cell r="AN21">
            <v>38658</v>
          </cell>
          <cell r="AO21">
            <v>39128</v>
          </cell>
          <cell r="AP21">
            <v>38837</v>
          </cell>
          <cell r="AQ21">
            <v>39452</v>
          </cell>
          <cell r="AR21">
            <v>156075</v>
          </cell>
          <cell r="AS21">
            <v>39498</v>
          </cell>
          <cell r="AT21">
            <v>38855</v>
          </cell>
          <cell r="AU21">
            <v>38595</v>
          </cell>
          <cell r="AV21">
            <v>38883</v>
          </cell>
          <cell r="AW21">
            <v>155831</v>
          </cell>
          <cell r="AX21">
            <v>40957</v>
          </cell>
          <cell r="AY21">
            <v>41110</v>
          </cell>
          <cell r="AZ21">
            <v>42629</v>
          </cell>
          <cell r="BA21">
            <v>43472</v>
          </cell>
          <cell r="BB21">
            <v>168168</v>
          </cell>
          <cell r="BC21">
            <v>44868</v>
          </cell>
          <cell r="BD21">
            <v>46435</v>
          </cell>
          <cell r="BE21">
            <v>47503</v>
          </cell>
          <cell r="BF21">
            <v>48333</v>
          </cell>
          <cell r="BG21">
            <v>187139</v>
          </cell>
          <cell r="BH21">
            <v>48440.292096997597</v>
          </cell>
          <cell r="BI21">
            <v>48947.646466249345</v>
          </cell>
          <cell r="BJ21">
            <v>49574.442201975064</v>
          </cell>
          <cell r="BK21">
            <v>49904.285021841853</v>
          </cell>
          <cell r="BL21">
            <v>196866.66578706392</v>
          </cell>
          <cell r="BM21">
            <v>50956.838832074187</v>
          </cell>
          <cell r="BN21">
            <v>51682.684064545057</v>
          </cell>
          <cell r="BO21">
            <v>51973.074699909572</v>
          </cell>
          <cell r="BP21">
            <v>52703.016082464754</v>
          </cell>
          <cell r="BQ21">
            <v>207315.61367899357</v>
          </cell>
          <cell r="BR21">
            <v>53955.048551457294</v>
          </cell>
          <cell r="BS21">
            <v>54802.94378202474</v>
          </cell>
          <cell r="BT21">
            <v>55184.363460626468</v>
          </cell>
          <cell r="BU21">
            <v>56019.091079974969</v>
          </cell>
          <cell r="BV21">
            <v>219961.44687408349</v>
          </cell>
        </row>
        <row r="23">
          <cell r="A23" t="str">
            <v>General and Administrative</v>
          </cell>
          <cell r="B23">
            <v>213</v>
          </cell>
          <cell r="C23">
            <v>172</v>
          </cell>
          <cell r="D23">
            <v>382</v>
          </cell>
          <cell r="E23">
            <v>694</v>
          </cell>
          <cell r="F23">
            <v>1461</v>
          </cell>
          <cell r="H23">
            <v>445</v>
          </cell>
          <cell r="I23">
            <v>551</v>
          </cell>
          <cell r="J23">
            <v>593</v>
          </cell>
          <cell r="K23">
            <v>644</v>
          </cell>
          <cell r="L23">
            <v>2233</v>
          </cell>
          <cell r="N23">
            <v>802</v>
          </cell>
          <cell r="O23">
            <v>795</v>
          </cell>
          <cell r="P23">
            <v>742</v>
          </cell>
          <cell r="Q23">
            <v>814</v>
          </cell>
          <cell r="R23">
            <v>3153</v>
          </cell>
          <cell r="T23">
            <v>883</v>
          </cell>
          <cell r="U23">
            <v>981</v>
          </cell>
          <cell r="V23">
            <v>995</v>
          </cell>
          <cell r="W23">
            <v>1095</v>
          </cell>
          <cell r="X23">
            <v>3954</v>
          </cell>
          <cell r="Y23">
            <v>1128</v>
          </cell>
          <cell r="Z23">
            <v>992</v>
          </cell>
          <cell r="AA23">
            <v>1037</v>
          </cell>
          <cell r="AB23">
            <v>1163</v>
          </cell>
          <cell r="AC23">
            <v>4320</v>
          </cell>
          <cell r="AD23">
            <v>1136</v>
          </cell>
          <cell r="AE23">
            <v>1068</v>
          </cell>
          <cell r="AF23">
            <v>1194</v>
          </cell>
          <cell r="AG23">
            <v>1265</v>
          </cell>
          <cell r="AH23">
            <v>4663</v>
          </cell>
          <cell r="AI23">
            <v>1054</v>
          </cell>
          <cell r="AJ23">
            <v>1399</v>
          </cell>
          <cell r="AK23">
            <v>1056</v>
          </cell>
          <cell r="AL23">
            <v>1175</v>
          </cell>
          <cell r="AM23">
            <v>4684</v>
          </cell>
          <cell r="AN23">
            <v>1091</v>
          </cell>
          <cell r="AO23">
            <v>1004</v>
          </cell>
          <cell r="AP23">
            <v>1155</v>
          </cell>
          <cell r="AQ23">
            <v>1379</v>
          </cell>
          <cell r="AR23">
            <v>4629</v>
          </cell>
          <cell r="AS23">
            <v>1438</v>
          </cell>
          <cell r="AT23">
            <v>1326</v>
          </cell>
          <cell r="AU23">
            <v>1499</v>
          </cell>
          <cell r="AV23">
            <v>1580</v>
          </cell>
          <cell r="AW23">
            <v>5843</v>
          </cell>
          <cell r="AX23">
            <v>1650</v>
          </cell>
          <cell r="AY23">
            <v>1872</v>
          </cell>
          <cell r="AZ23">
            <v>1742</v>
          </cell>
          <cell r="BA23">
            <v>1782</v>
          </cell>
          <cell r="BB23">
            <v>7046</v>
          </cell>
          <cell r="BC23">
            <v>1702</v>
          </cell>
          <cell r="BD23">
            <v>2112</v>
          </cell>
          <cell r="BE23">
            <v>2124</v>
          </cell>
          <cell r="BF23">
            <v>1979</v>
          </cell>
          <cell r="BG23">
            <v>7917</v>
          </cell>
          <cell r="BH23">
            <v>2099.6879549999999</v>
          </cell>
          <cell r="BI23">
            <v>2097.2015788226759</v>
          </cell>
          <cell r="BJ23">
            <v>2094.712716269175</v>
          </cell>
          <cell r="BK23">
            <v>2092.2213648531206</v>
          </cell>
          <cell r="BL23">
            <v>8383.8236149449713</v>
          </cell>
          <cell r="BM23">
            <v>2085.6302452423633</v>
          </cell>
          <cell r="BN23">
            <v>2079.0325345119959</v>
          </cell>
          <cell r="BO23">
            <v>2072.4282260708978</v>
          </cell>
          <cell r="BP23">
            <v>2065.8173133213591</v>
          </cell>
          <cell r="BQ23">
            <v>8302.9083191466161</v>
          </cell>
          <cell r="BR23">
            <v>2061.3989560881369</v>
          </cell>
          <cell r="BS23">
            <v>2056.976180497682</v>
          </cell>
          <cell r="BT23">
            <v>2052.548982131636</v>
          </cell>
          <cell r="BU23">
            <v>2048.1173565672243</v>
          </cell>
          <cell r="BV23">
            <v>8219.0414752846791</v>
          </cell>
          <cell r="BY23" t="str">
            <v>mstag:generalAndAdministrativeExpensesByNature</v>
          </cell>
          <cell r="BZ23">
            <v>3</v>
          </cell>
          <cell r="CA23" t="str">
            <v>ISO4217:USD</v>
          </cell>
          <cell r="CB23" t="b">
            <v>0</v>
          </cell>
          <cell r="CC23" t="b">
            <v>0</v>
          </cell>
        </row>
        <row r="25">
          <cell r="A25" t="str">
            <v>EBITDA</v>
          </cell>
          <cell r="B25">
            <v>3286</v>
          </cell>
          <cell r="C25">
            <v>4459</v>
          </cell>
          <cell r="D25">
            <v>4797</v>
          </cell>
          <cell r="E25">
            <v>4603</v>
          </cell>
          <cell r="F25">
            <v>17145</v>
          </cell>
          <cell r="H25">
            <v>9458</v>
          </cell>
          <cell r="I25">
            <v>14682</v>
          </cell>
          <cell r="J25">
            <v>17760</v>
          </cell>
          <cell r="K25">
            <v>18566</v>
          </cell>
          <cell r="L25">
            <v>60466</v>
          </cell>
          <cell r="N25">
            <v>20030</v>
          </cell>
          <cell r="O25">
            <v>21502</v>
          </cell>
          <cell r="P25">
            <v>23003</v>
          </cell>
          <cell r="Q25">
            <v>23125</v>
          </cell>
          <cell r="R25">
            <v>87660</v>
          </cell>
          <cell r="T25">
            <v>23716</v>
          </cell>
          <cell r="U25">
            <v>25622</v>
          </cell>
          <cell r="V25">
            <v>26149</v>
          </cell>
          <cell r="W25">
            <v>26071</v>
          </cell>
          <cell r="X25">
            <v>101558</v>
          </cell>
          <cell r="Y25">
            <v>26992</v>
          </cell>
          <cell r="Z25">
            <v>28892</v>
          </cell>
          <cell r="AA25">
            <v>30307</v>
          </cell>
          <cell r="AB25">
            <v>31649</v>
          </cell>
          <cell r="AC25">
            <v>117840</v>
          </cell>
          <cell r="AD25">
            <v>35397</v>
          </cell>
          <cell r="AE25">
            <v>36298</v>
          </cell>
          <cell r="AF25">
            <v>35414</v>
          </cell>
          <cell r="AG25">
            <v>34311</v>
          </cell>
          <cell r="AH25">
            <v>141420</v>
          </cell>
          <cell r="AI25">
            <v>33806</v>
          </cell>
          <cell r="AJ25">
            <v>33674</v>
          </cell>
          <cell r="AK25">
            <v>34292</v>
          </cell>
          <cell r="AL25">
            <v>34115</v>
          </cell>
          <cell r="AM25">
            <v>135887</v>
          </cell>
          <cell r="AN25">
            <v>37567</v>
          </cell>
          <cell r="AO25">
            <v>38124</v>
          </cell>
          <cell r="AP25">
            <v>37682</v>
          </cell>
          <cell r="AQ25">
            <v>38073</v>
          </cell>
          <cell r="AR25">
            <v>151446</v>
          </cell>
          <cell r="AS25">
            <v>38060</v>
          </cell>
          <cell r="AT25">
            <v>37529</v>
          </cell>
          <cell r="AU25">
            <v>37096</v>
          </cell>
          <cell r="AV25">
            <v>37303</v>
          </cell>
          <cell r="AW25">
            <v>149988</v>
          </cell>
          <cell r="AX25">
            <v>39307</v>
          </cell>
          <cell r="AY25">
            <v>39238</v>
          </cell>
          <cell r="AZ25">
            <v>40887</v>
          </cell>
          <cell r="BA25">
            <v>41690</v>
          </cell>
          <cell r="BB25">
            <v>161122</v>
          </cell>
          <cell r="BC25">
            <v>43166</v>
          </cell>
          <cell r="BD25">
            <v>44323</v>
          </cell>
          <cell r="BE25">
            <v>45379</v>
          </cell>
          <cell r="BF25">
            <v>46354</v>
          </cell>
          <cell r="BG25">
            <v>179222</v>
          </cell>
          <cell r="BH25">
            <v>46340.604141997595</v>
          </cell>
          <cell r="BI25">
            <v>46850.444887426667</v>
          </cell>
          <cell r="BJ25">
            <v>47479.729485705888</v>
          </cell>
          <cell r="BK25">
            <v>47812.063656988736</v>
          </cell>
          <cell r="BL25">
            <v>188482.84217211889</v>
          </cell>
          <cell r="BM25">
            <v>48871.208586831825</v>
          </cell>
          <cell r="BN25">
            <v>49603.651530033065</v>
          </cell>
          <cell r="BO25">
            <v>49900.646473838671</v>
          </cell>
          <cell r="BP25">
            <v>50637.198769143397</v>
          </cell>
          <cell r="BQ25">
            <v>199012.70535984696</v>
          </cell>
          <cell r="BR25">
            <v>51893.649595369156</v>
          </cell>
          <cell r="BS25">
            <v>52745.96760152706</v>
          </cell>
          <cell r="BT25">
            <v>53131.814478494831</v>
          </cell>
          <cell r="BU25">
            <v>53970.973723407747</v>
          </cell>
          <cell r="BV25">
            <v>211742.40539879879</v>
          </cell>
        </row>
        <row r="27">
          <cell r="A27" t="str">
            <v xml:space="preserve">  Equity in income of joint ventures</v>
          </cell>
          <cell r="Y27">
            <v>0</v>
          </cell>
          <cell r="Z27">
            <v>0</v>
          </cell>
          <cell r="AA27">
            <v>0</v>
          </cell>
          <cell r="AB27">
            <v>25</v>
          </cell>
          <cell r="AC27">
            <v>25</v>
          </cell>
          <cell r="AD27">
            <v>42</v>
          </cell>
          <cell r="AE27">
            <v>207</v>
          </cell>
          <cell r="AF27">
            <v>138</v>
          </cell>
          <cell r="AG27">
            <v>1591</v>
          </cell>
          <cell r="AH27">
            <v>1978</v>
          </cell>
          <cell r="AI27">
            <v>1796</v>
          </cell>
          <cell r="AJ27">
            <v>500</v>
          </cell>
          <cell r="AK27">
            <v>0</v>
          </cell>
          <cell r="AL27">
            <v>0</v>
          </cell>
          <cell r="AM27">
            <v>2296</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Y27" t="str">
            <v>mstag:incomeLossFromInvestmentsAccountedForUnderTheEquityMethodOperatingIncomeStatement</v>
          </cell>
          <cell r="BZ27">
            <v>3</v>
          </cell>
          <cell r="CA27" t="str">
            <v>ISO4217:USD</v>
          </cell>
          <cell r="CB27" t="b">
            <v>0</v>
          </cell>
          <cell r="CC27" t="b">
            <v>0</v>
          </cell>
        </row>
        <row r="28">
          <cell r="A28" t="str">
            <v xml:space="preserve">  Interest Expense</v>
          </cell>
          <cell r="B28">
            <v>0</v>
          </cell>
          <cell r="C28">
            <v>0</v>
          </cell>
          <cell r="D28">
            <v>0</v>
          </cell>
          <cell r="E28">
            <v>1</v>
          </cell>
          <cell r="F28">
            <v>1</v>
          </cell>
          <cell r="H28">
            <v>247</v>
          </cell>
          <cell r="I28">
            <v>822</v>
          </cell>
          <cell r="J28">
            <v>667</v>
          </cell>
          <cell r="K28">
            <v>625</v>
          </cell>
          <cell r="L28">
            <v>2361</v>
          </cell>
          <cell r="N28">
            <v>909</v>
          </cell>
          <cell r="O28">
            <v>772</v>
          </cell>
          <cell r="P28">
            <v>977</v>
          </cell>
          <cell r="Q28">
            <v>495</v>
          </cell>
          <cell r="R28">
            <v>3153</v>
          </cell>
          <cell r="T28">
            <v>374</v>
          </cell>
          <cell r="U28">
            <v>370</v>
          </cell>
          <cell r="V28">
            <v>502</v>
          </cell>
          <cell r="W28">
            <v>235</v>
          </cell>
          <cell r="X28">
            <v>1481</v>
          </cell>
          <cell r="Y28">
            <v>237</v>
          </cell>
          <cell r="Z28">
            <v>157</v>
          </cell>
          <cell r="AA28">
            <v>538</v>
          </cell>
          <cell r="AB28">
            <v>783</v>
          </cell>
          <cell r="AC28">
            <v>1715</v>
          </cell>
          <cell r="AD28">
            <v>1551</v>
          </cell>
          <cell r="AE28">
            <v>1432</v>
          </cell>
          <cell r="AF28">
            <v>1115</v>
          </cell>
          <cell r="AG28">
            <v>1226</v>
          </cell>
          <cell r="AH28">
            <v>5324</v>
          </cell>
          <cell r="AI28">
            <v>1002</v>
          </cell>
          <cell r="AJ28">
            <v>998</v>
          </cell>
          <cell r="AK28">
            <v>1013</v>
          </cell>
          <cell r="AL28">
            <v>1001</v>
          </cell>
          <cell r="AM28">
            <v>4014</v>
          </cell>
          <cell r="AN28">
            <v>1266</v>
          </cell>
          <cell r="AO28">
            <v>833</v>
          </cell>
          <cell r="AP28">
            <v>513</v>
          </cell>
          <cell r="AQ28">
            <v>442</v>
          </cell>
          <cell r="AR28">
            <v>3054</v>
          </cell>
          <cell r="AS28">
            <v>282</v>
          </cell>
          <cell r="AT28">
            <v>280</v>
          </cell>
          <cell r="AU28">
            <v>304</v>
          </cell>
          <cell r="AV28">
            <v>464</v>
          </cell>
          <cell r="AW28">
            <v>1330</v>
          </cell>
          <cell r="AX28">
            <v>513</v>
          </cell>
          <cell r="AY28">
            <v>517</v>
          </cell>
          <cell r="AZ28">
            <v>628</v>
          </cell>
          <cell r="BA28">
            <v>917</v>
          </cell>
          <cell r="BB28">
            <v>2575</v>
          </cell>
          <cell r="BC28">
            <v>1107</v>
          </cell>
          <cell r="BD28">
            <v>1012</v>
          </cell>
          <cell r="BE28">
            <v>1009</v>
          </cell>
          <cell r="BF28">
            <v>1002</v>
          </cell>
          <cell r="BG28">
            <v>4130</v>
          </cell>
          <cell r="BH28">
            <v>985.28936550231492</v>
          </cell>
          <cell r="BI28">
            <v>1113.5367597352085</v>
          </cell>
          <cell r="BJ28">
            <v>1349.9165282448325</v>
          </cell>
          <cell r="BK28">
            <v>1614.0590159757305</v>
          </cell>
          <cell r="BL28">
            <v>5062.8016694580865</v>
          </cell>
          <cell r="BM28">
            <v>1882.5017742821328</v>
          </cell>
          <cell r="BN28">
            <v>2317.8307065133604</v>
          </cell>
          <cell r="BO28">
            <v>2950.5764507552767</v>
          </cell>
          <cell r="BP28">
            <v>3618.8108736297854</v>
          </cell>
          <cell r="BQ28">
            <v>10769.719805180555</v>
          </cell>
          <cell r="BR28">
            <v>4251.1044873933533</v>
          </cell>
          <cell r="BS28">
            <v>4846.6096157989141</v>
          </cell>
          <cell r="BT28">
            <v>5478.1652154497951</v>
          </cell>
          <cell r="BU28">
            <v>6145.8849707206036</v>
          </cell>
          <cell r="BV28">
            <v>20721.764289362665</v>
          </cell>
          <cell r="BY28" t="str">
            <v>mstag:interestExpense</v>
          </cell>
          <cell r="BZ28">
            <v>3</v>
          </cell>
          <cell r="CA28" t="str">
            <v>ISO4217:USD</v>
          </cell>
          <cell r="CB28" t="b">
            <v>0</v>
          </cell>
          <cell r="CC28" t="b">
            <v>0</v>
          </cell>
        </row>
        <row r="29">
          <cell r="A29" t="str">
            <v xml:space="preserve">  Depreciation and Amortization</v>
          </cell>
          <cell r="B29">
            <v>820</v>
          </cell>
          <cell r="C29">
            <v>1195</v>
          </cell>
          <cell r="D29">
            <v>1395</v>
          </cell>
          <cell r="E29">
            <v>1785</v>
          </cell>
          <cell r="F29">
            <v>5195</v>
          </cell>
          <cell r="H29">
            <v>2300</v>
          </cell>
          <cell r="I29">
            <v>4256</v>
          </cell>
          <cell r="J29">
            <v>4865</v>
          </cell>
          <cell r="K29">
            <v>7487</v>
          </cell>
          <cell r="L29">
            <v>18908</v>
          </cell>
          <cell r="N29">
            <v>6733</v>
          </cell>
          <cell r="O29">
            <v>7314</v>
          </cell>
          <cell r="P29">
            <v>7594</v>
          </cell>
          <cell r="Q29">
            <v>8121</v>
          </cell>
          <cell r="R29">
            <v>29762</v>
          </cell>
          <cell r="T29">
            <v>8376</v>
          </cell>
          <cell r="U29">
            <v>8898</v>
          </cell>
          <cell r="V29">
            <v>9449</v>
          </cell>
          <cell r="W29">
            <v>8914</v>
          </cell>
          <cell r="X29">
            <v>35637</v>
          </cell>
          <cell r="Y29">
            <v>9646</v>
          </cell>
          <cell r="Z29">
            <v>9733</v>
          </cell>
          <cell r="AA29">
            <v>10679</v>
          </cell>
          <cell r="AB29">
            <v>11009</v>
          </cell>
          <cell r="AC29">
            <v>41067</v>
          </cell>
          <cell r="AD29">
            <v>13978</v>
          </cell>
          <cell r="AE29">
            <v>14313</v>
          </cell>
          <cell r="AF29">
            <v>14595</v>
          </cell>
          <cell r="AG29">
            <v>15259</v>
          </cell>
          <cell r="AH29">
            <v>58145</v>
          </cell>
          <cell r="AI29">
            <v>13685</v>
          </cell>
          <cell r="AJ29">
            <v>14170</v>
          </cell>
          <cell r="AK29">
            <v>15382</v>
          </cell>
          <cell r="AL29">
            <v>15838</v>
          </cell>
          <cell r="AM29">
            <v>59075</v>
          </cell>
          <cell r="AN29">
            <v>17884</v>
          </cell>
          <cell r="AO29">
            <v>18334</v>
          </cell>
          <cell r="AP29">
            <v>18310</v>
          </cell>
          <cell r="AQ29">
            <v>18777</v>
          </cell>
          <cell r="AR29">
            <v>73305</v>
          </cell>
          <cell r="AS29">
            <v>19016</v>
          </cell>
          <cell r="AT29">
            <v>18513</v>
          </cell>
          <cell r="AU29">
            <v>19318</v>
          </cell>
          <cell r="AV29">
            <v>20002</v>
          </cell>
          <cell r="AW29">
            <v>76849</v>
          </cell>
          <cell r="AX29">
            <v>20586</v>
          </cell>
          <cell r="AY29">
            <v>20950</v>
          </cell>
          <cell r="AZ29">
            <v>22184</v>
          </cell>
          <cell r="BA29">
            <v>22496</v>
          </cell>
          <cell r="BB29">
            <v>86216</v>
          </cell>
          <cell r="BC29">
            <v>21640</v>
          </cell>
          <cell r="BD29">
            <v>24916</v>
          </cell>
          <cell r="BE29">
            <v>25285</v>
          </cell>
          <cell r="BF29">
            <v>26680</v>
          </cell>
          <cell r="BG29">
            <v>98521</v>
          </cell>
          <cell r="BH29">
            <v>27091.088242663885</v>
          </cell>
          <cell r="BI29">
            <v>27688.313208295429</v>
          </cell>
          <cell r="BJ29">
            <v>28321.691411923159</v>
          </cell>
          <cell r="BK29">
            <v>28990.110620123811</v>
          </cell>
          <cell r="BL29">
            <v>112091.20348300629</v>
          </cell>
          <cell r="BM29">
            <v>29851.826560297191</v>
          </cell>
          <cell r="BN29">
            <v>30908.26203645335</v>
          </cell>
          <cell r="BO29">
            <v>32002.340625910114</v>
          </cell>
          <cell r="BP29">
            <v>33133.440401148844</v>
          </cell>
          <cell r="BQ29">
            <v>125895.8696238095</v>
          </cell>
          <cell r="BR29">
            <v>34231.397766389397</v>
          </cell>
          <cell r="BS29">
            <v>35296.99799691503</v>
          </cell>
          <cell r="BT29">
            <v>36402.792818692244</v>
          </cell>
          <cell r="BU29">
            <v>37548.13493489418</v>
          </cell>
          <cell r="BV29">
            <v>143479.32351689087</v>
          </cell>
          <cell r="BY29" t="str">
            <v>mstag:depreciationInIncomeStatement</v>
          </cell>
          <cell r="BZ29">
            <v>3</v>
          </cell>
          <cell r="CA29" t="str">
            <v>ISO4217:USD</v>
          </cell>
          <cell r="CB29" t="b">
            <v>0</v>
          </cell>
          <cell r="CC29" t="b">
            <v>0</v>
          </cell>
        </row>
        <row r="30">
          <cell r="A30" t="str">
            <v xml:space="preserve">  Interest &amp; Other Income</v>
          </cell>
          <cell r="B30">
            <v>29</v>
          </cell>
          <cell r="C30">
            <v>110</v>
          </cell>
          <cell r="D30">
            <v>183</v>
          </cell>
          <cell r="E30">
            <v>131</v>
          </cell>
          <cell r="F30">
            <v>453</v>
          </cell>
          <cell r="H30">
            <v>233</v>
          </cell>
          <cell r="I30">
            <v>311</v>
          </cell>
          <cell r="J30">
            <v>533</v>
          </cell>
          <cell r="K30">
            <v>334</v>
          </cell>
          <cell r="L30">
            <v>1411</v>
          </cell>
          <cell r="N30">
            <v>20</v>
          </cell>
          <cell r="O30">
            <v>273</v>
          </cell>
          <cell r="P30">
            <v>592</v>
          </cell>
          <cell r="Q30">
            <v>1930</v>
          </cell>
          <cell r="R30">
            <v>2815</v>
          </cell>
          <cell r="T30">
            <v>1688</v>
          </cell>
          <cell r="U30">
            <v>1181</v>
          </cell>
          <cell r="V30">
            <v>1474</v>
          </cell>
          <cell r="W30">
            <v>1034</v>
          </cell>
          <cell r="X30">
            <v>5377</v>
          </cell>
          <cell r="Y30">
            <v>764</v>
          </cell>
          <cell r="Z30">
            <v>557</v>
          </cell>
          <cell r="AA30">
            <v>350</v>
          </cell>
          <cell r="AB30">
            <v>597</v>
          </cell>
          <cell r="AC30">
            <v>2268</v>
          </cell>
          <cell r="AD30">
            <v>245</v>
          </cell>
          <cell r="AE30">
            <v>355</v>
          </cell>
          <cell r="AF30">
            <v>47</v>
          </cell>
          <cell r="AG30">
            <v>176</v>
          </cell>
          <cell r="AH30">
            <v>823</v>
          </cell>
          <cell r="AI30">
            <v>272</v>
          </cell>
          <cell r="AJ30">
            <v>553</v>
          </cell>
          <cell r="AK30">
            <v>145</v>
          </cell>
          <cell r="AL30">
            <v>154</v>
          </cell>
          <cell r="AM30">
            <v>1124</v>
          </cell>
          <cell r="AN30">
            <v>27</v>
          </cell>
          <cell r="AO30">
            <v>51</v>
          </cell>
          <cell r="AP30">
            <v>136</v>
          </cell>
          <cell r="AQ30">
            <v>194</v>
          </cell>
          <cell r="AR30">
            <v>408</v>
          </cell>
          <cell r="AS30">
            <v>398</v>
          </cell>
          <cell r="AT30">
            <v>982</v>
          </cell>
          <cell r="AU30">
            <v>1400</v>
          </cell>
          <cell r="AV30">
            <v>2108</v>
          </cell>
          <cell r="AW30">
            <v>4888</v>
          </cell>
          <cell r="AX30">
            <v>2000</v>
          </cell>
          <cell r="AY30">
            <v>1573</v>
          </cell>
          <cell r="AZ30">
            <v>1884</v>
          </cell>
          <cell r="BA30">
            <v>1417</v>
          </cell>
          <cell r="BB30">
            <v>6874</v>
          </cell>
          <cell r="BC30">
            <v>1801</v>
          </cell>
          <cell r="BD30">
            <v>1189</v>
          </cell>
          <cell r="BE30">
            <v>1151</v>
          </cell>
          <cell r="BF30">
            <v>963</v>
          </cell>
          <cell r="BG30">
            <v>5104</v>
          </cell>
          <cell r="BH30">
            <v>968.80584193995196</v>
          </cell>
          <cell r="BI30">
            <v>978.95292932498694</v>
          </cell>
          <cell r="BJ30">
            <v>991.48884403950126</v>
          </cell>
          <cell r="BK30">
            <v>998.0857004368371</v>
          </cell>
          <cell r="BL30">
            <v>3937.3333157412771</v>
          </cell>
          <cell r="BM30">
            <v>1019.1367766414837</v>
          </cell>
          <cell r="BN30">
            <v>1033.6536812909012</v>
          </cell>
          <cell r="BO30">
            <v>1039.4614939981914</v>
          </cell>
          <cell r="BP30">
            <v>1054.060321649295</v>
          </cell>
          <cell r="BQ30">
            <v>4146.3122735798715</v>
          </cell>
          <cell r="BR30">
            <v>1079.100971029146</v>
          </cell>
          <cell r="BS30">
            <v>1096.0588756404948</v>
          </cell>
          <cell r="BT30">
            <v>1103.6872692125294</v>
          </cell>
          <cell r="BU30">
            <v>1120.3818215994995</v>
          </cell>
          <cell r="BV30">
            <v>4399.2289374816692</v>
          </cell>
          <cell r="BY30" t="str">
            <v>mstag:interestAndDividendIncome</v>
          </cell>
          <cell r="BZ30">
            <v>3</v>
          </cell>
          <cell r="CA30" t="str">
            <v>ISO4217:USD</v>
          </cell>
          <cell r="CB30" t="b">
            <v>0</v>
          </cell>
          <cell r="CC30" t="b">
            <v>0</v>
          </cell>
        </row>
        <row r="31">
          <cell r="A31" t="str">
            <v xml:space="preserve">  Other Expense</v>
          </cell>
          <cell r="B31">
            <v>0</v>
          </cell>
          <cell r="C31">
            <v>0</v>
          </cell>
          <cell r="D31">
            <v>0</v>
          </cell>
          <cell r="E31">
            <v>0</v>
          </cell>
          <cell r="F31">
            <v>0</v>
          </cell>
          <cell r="H31">
            <v>0</v>
          </cell>
          <cell r="I31">
            <v>0</v>
          </cell>
          <cell r="J31">
            <v>0</v>
          </cell>
          <cell r="K31">
            <v>0</v>
          </cell>
          <cell r="L31">
            <v>0</v>
          </cell>
          <cell r="N31">
            <v>0</v>
          </cell>
          <cell r="O31">
            <v>0</v>
          </cell>
          <cell r="P31">
            <v>0</v>
          </cell>
          <cell r="Q31">
            <v>195</v>
          </cell>
          <cell r="R31">
            <v>195</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72</v>
          </cell>
          <cell r="AW31">
            <v>72</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Y31" t="str">
            <v>mstag:otherOperatingExpense</v>
          </cell>
          <cell r="BZ31">
            <v>3</v>
          </cell>
          <cell r="CA31" t="str">
            <v>ISO4217:USD</v>
          </cell>
          <cell r="CB31" t="b">
            <v>0</v>
          </cell>
          <cell r="CC31" t="b">
            <v>0</v>
          </cell>
        </row>
        <row r="32">
          <cell r="A32" t="str">
            <v>Income Before Preferred &amp; Min. Int. &amp; Gain on Sale</v>
          </cell>
          <cell r="B32">
            <v>2495</v>
          </cell>
          <cell r="C32">
            <v>3374</v>
          </cell>
          <cell r="D32">
            <v>3585</v>
          </cell>
          <cell r="E32">
            <v>2948</v>
          </cell>
          <cell r="F32">
            <v>12402</v>
          </cell>
          <cell r="H32">
            <v>7144</v>
          </cell>
          <cell r="I32">
            <v>9915</v>
          </cell>
          <cell r="J32">
            <v>12761</v>
          </cell>
          <cell r="K32">
            <v>10788</v>
          </cell>
          <cell r="L32">
            <v>40608</v>
          </cell>
          <cell r="N32">
            <v>12408</v>
          </cell>
          <cell r="O32">
            <v>13689</v>
          </cell>
          <cell r="P32">
            <v>15024</v>
          </cell>
          <cell r="Q32">
            <v>16244</v>
          </cell>
          <cell r="R32">
            <v>57365</v>
          </cell>
          <cell r="T32">
            <v>16654</v>
          </cell>
          <cell r="U32">
            <v>17535</v>
          </cell>
          <cell r="V32">
            <v>17672</v>
          </cell>
          <cell r="W32">
            <v>17956</v>
          </cell>
          <cell r="X32">
            <v>69817</v>
          </cell>
          <cell r="Y32">
            <v>17873</v>
          </cell>
          <cell r="Z32">
            <v>19559</v>
          </cell>
          <cell r="AA32">
            <v>19440</v>
          </cell>
          <cell r="AB32">
            <v>20479</v>
          </cell>
          <cell r="AC32">
            <v>77351</v>
          </cell>
          <cell r="AD32">
            <v>20155</v>
          </cell>
          <cell r="AE32">
            <v>21115</v>
          </cell>
          <cell r="AF32">
            <v>19889</v>
          </cell>
          <cell r="AG32">
            <v>19593</v>
          </cell>
          <cell r="AH32">
            <v>80752</v>
          </cell>
          <cell r="AI32">
            <v>21187</v>
          </cell>
          <cell r="AJ32">
            <v>19559</v>
          </cell>
          <cell r="AK32">
            <v>18042</v>
          </cell>
          <cell r="AL32">
            <v>17430</v>
          </cell>
          <cell r="AM32">
            <v>76218</v>
          </cell>
          <cell r="AN32">
            <v>18444</v>
          </cell>
          <cell r="AO32">
            <v>19008</v>
          </cell>
          <cell r="AP32">
            <v>18995</v>
          </cell>
          <cell r="AQ32">
            <v>19048</v>
          </cell>
          <cell r="AR32">
            <v>75495</v>
          </cell>
          <cell r="AS32">
            <v>19160</v>
          </cell>
          <cell r="AT32">
            <v>19718</v>
          </cell>
          <cell r="AU32">
            <v>18874</v>
          </cell>
          <cell r="AV32">
            <v>18873</v>
          </cell>
          <cell r="AW32">
            <v>76625</v>
          </cell>
          <cell r="AX32">
            <v>20208</v>
          </cell>
          <cell r="AY32">
            <v>19344</v>
          </cell>
          <cell r="AZ32">
            <v>19959</v>
          </cell>
          <cell r="BA32">
            <v>19694</v>
          </cell>
          <cell r="BB32">
            <v>79205</v>
          </cell>
          <cell r="BC32">
            <v>22220</v>
          </cell>
          <cell r="BD32">
            <v>19584</v>
          </cell>
          <cell r="BE32">
            <v>20236</v>
          </cell>
          <cell r="BF32">
            <v>19635</v>
          </cell>
          <cell r="BG32">
            <v>81675</v>
          </cell>
          <cell r="BH32">
            <v>19233.032375771349</v>
          </cell>
          <cell r="BI32">
            <v>19027.547848721017</v>
          </cell>
          <cell r="BJ32">
            <v>18799.610389577399</v>
          </cell>
          <cell r="BK32">
            <v>18205.979721326028</v>
          </cell>
          <cell r="BL32">
            <v>75266.1703353958</v>
          </cell>
          <cell r="BM32">
            <v>18156.017028893981</v>
          </cell>
          <cell r="BN32">
            <v>17411.212468357251</v>
          </cell>
          <cell r="BO32">
            <v>15987.190891171475</v>
          </cell>
          <cell r="BP32">
            <v>14939.00781601406</v>
          </cell>
          <cell r="BQ32">
            <v>66493.428204436772</v>
          </cell>
          <cell r="BR32">
            <v>14490.248312615555</v>
          </cell>
          <cell r="BS32">
            <v>13698.418864453608</v>
          </cell>
          <cell r="BT32">
            <v>12354.543713565323</v>
          </cell>
          <cell r="BU32">
            <v>11397.335639392464</v>
          </cell>
          <cell r="BV32">
            <v>51940.546530026906</v>
          </cell>
        </row>
        <row r="33">
          <cell r="A33" t="str">
            <v xml:space="preserve">  Income From Discontinued Operations</v>
          </cell>
          <cell r="AD33">
            <v>0</v>
          </cell>
          <cell r="AE33">
            <v>0</v>
          </cell>
          <cell r="AF33">
            <v>0</v>
          </cell>
          <cell r="AG33">
            <v>117</v>
          </cell>
          <cell r="AH33">
            <v>117</v>
          </cell>
          <cell r="AI33">
            <v>1226</v>
          </cell>
          <cell r="AJ33">
            <v>1085</v>
          </cell>
          <cell r="AK33">
            <v>1251</v>
          </cell>
          <cell r="AL33">
            <v>867</v>
          </cell>
          <cell r="AM33">
            <v>4429</v>
          </cell>
          <cell r="AN33">
            <v>21</v>
          </cell>
          <cell r="AO33">
            <v>0</v>
          </cell>
          <cell r="AP33">
            <v>655</v>
          </cell>
          <cell r="AQ33">
            <v>514</v>
          </cell>
          <cell r="AR33">
            <v>1190</v>
          </cell>
          <cell r="AS33">
            <v>165</v>
          </cell>
          <cell r="AT33">
            <v>684</v>
          </cell>
          <cell r="AU33">
            <v>1293</v>
          </cell>
          <cell r="AV33">
            <v>-61</v>
          </cell>
          <cell r="AW33">
            <v>2081</v>
          </cell>
          <cell r="AX33">
            <v>-97</v>
          </cell>
          <cell r="AY33">
            <v>-28</v>
          </cell>
          <cell r="AZ33">
            <v>0</v>
          </cell>
          <cell r="BA33">
            <v>0</v>
          </cell>
          <cell r="BB33">
            <v>-125</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Y33" t="str">
            <v>mstag:incomeLossFromDiscontinuedOperationsNetOfTax</v>
          </cell>
          <cell r="BZ33">
            <v>3</v>
          </cell>
          <cell r="CA33" t="str">
            <v>ISO4217:USD</v>
          </cell>
          <cell r="CB33" t="b">
            <v>0</v>
          </cell>
          <cell r="CC33" t="b">
            <v>0</v>
          </cell>
        </row>
        <row r="34">
          <cell r="A34" t="str">
            <v xml:space="preserve">  Impairment Charge on Prop. Held For Sale</v>
          </cell>
          <cell r="AD34">
            <v>0</v>
          </cell>
          <cell r="AE34">
            <v>0</v>
          </cell>
          <cell r="AF34">
            <v>0</v>
          </cell>
          <cell r="AG34">
            <v>0</v>
          </cell>
          <cell r="AH34">
            <v>0</v>
          </cell>
          <cell r="AI34">
            <v>-5907</v>
          </cell>
          <cell r="AJ34">
            <v>0</v>
          </cell>
          <cell r="AK34">
            <v>0</v>
          </cell>
          <cell r="AL34">
            <v>0</v>
          </cell>
          <cell r="AM34">
            <v>-5907</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Y34" t="str">
            <v>mstag:incomeLossFromExtraordinaryItemsNetOfTax</v>
          </cell>
          <cell r="BZ34">
            <v>3</v>
          </cell>
          <cell r="CA34" t="str">
            <v>ISO4217:USD</v>
          </cell>
          <cell r="CB34" t="b">
            <v>0</v>
          </cell>
          <cell r="CC34" t="b">
            <v>0</v>
          </cell>
        </row>
        <row r="35">
          <cell r="A35" t="str">
            <v xml:space="preserve">  Preferred Unit Dividend</v>
          </cell>
          <cell r="B35">
            <v>0</v>
          </cell>
          <cell r="C35">
            <v>0</v>
          </cell>
          <cell r="D35">
            <v>0</v>
          </cell>
          <cell r="E35">
            <v>0</v>
          </cell>
          <cell r="F35">
            <v>0</v>
          </cell>
          <cell r="H35">
            <v>0</v>
          </cell>
          <cell r="I35">
            <v>0</v>
          </cell>
          <cell r="J35">
            <v>0</v>
          </cell>
          <cell r="K35">
            <v>0</v>
          </cell>
          <cell r="L35">
            <v>0</v>
          </cell>
          <cell r="N35">
            <v>0</v>
          </cell>
          <cell r="O35">
            <v>214</v>
          </cell>
          <cell r="P35">
            <v>1022</v>
          </cell>
          <cell r="Q35">
            <v>2920</v>
          </cell>
          <cell r="R35">
            <v>4156</v>
          </cell>
          <cell r="T35">
            <v>2920</v>
          </cell>
          <cell r="U35">
            <v>2921</v>
          </cell>
          <cell r="V35">
            <v>3157</v>
          </cell>
          <cell r="W35">
            <v>3187</v>
          </cell>
          <cell r="X35">
            <v>12185</v>
          </cell>
          <cell r="Y35">
            <v>3187</v>
          </cell>
          <cell r="Z35">
            <v>3186</v>
          </cell>
          <cell r="AA35">
            <v>3323</v>
          </cell>
          <cell r="AB35">
            <v>4411</v>
          </cell>
          <cell r="AC35">
            <v>14107</v>
          </cell>
          <cell r="AD35">
            <v>4412</v>
          </cell>
          <cell r="AE35">
            <v>4413</v>
          </cell>
          <cell r="AF35">
            <v>4412</v>
          </cell>
          <cell r="AG35">
            <v>4690</v>
          </cell>
          <cell r="AH35">
            <v>17927</v>
          </cell>
          <cell r="AI35">
            <v>4810</v>
          </cell>
          <cell r="AJ35">
            <v>4810</v>
          </cell>
          <cell r="AK35">
            <v>4810</v>
          </cell>
          <cell r="AL35">
            <v>4810</v>
          </cell>
          <cell r="AM35">
            <v>19240</v>
          </cell>
          <cell r="AN35">
            <v>5077</v>
          </cell>
          <cell r="AO35">
            <v>4804</v>
          </cell>
          <cell r="AP35">
            <v>5170</v>
          </cell>
          <cell r="AQ35">
            <v>2697</v>
          </cell>
          <cell r="AR35">
            <v>17748</v>
          </cell>
          <cell r="AS35">
            <v>2691</v>
          </cell>
          <cell r="AT35">
            <v>2691</v>
          </cell>
          <cell r="AU35">
            <v>2460</v>
          </cell>
          <cell r="AV35">
            <v>2508</v>
          </cell>
          <cell r="AW35">
            <v>10350</v>
          </cell>
          <cell r="AX35">
            <v>2781</v>
          </cell>
          <cell r="AY35">
            <v>2781</v>
          </cell>
          <cell r="AZ35">
            <v>2672</v>
          </cell>
          <cell r="BA35">
            <v>1555</v>
          </cell>
          <cell r="BB35">
            <v>9789</v>
          </cell>
          <cell r="BC35">
            <v>1599</v>
          </cell>
          <cell r="BD35">
            <v>1752</v>
          </cell>
          <cell r="BE35">
            <v>1752</v>
          </cell>
          <cell r="BF35">
            <v>1751</v>
          </cell>
          <cell r="BG35">
            <v>6854</v>
          </cell>
          <cell r="BH35">
            <v>1751.8125</v>
          </cell>
          <cell r="BI35">
            <v>1751.8125</v>
          </cell>
          <cell r="BJ35">
            <v>1751.8125</v>
          </cell>
          <cell r="BK35">
            <v>1751.8125</v>
          </cell>
          <cell r="BL35">
            <v>7007.25</v>
          </cell>
          <cell r="BM35">
            <v>1751.8125</v>
          </cell>
          <cell r="BN35">
            <v>1751.8125</v>
          </cell>
          <cell r="BO35">
            <v>1751.8125</v>
          </cell>
          <cell r="BP35">
            <v>1751.8125</v>
          </cell>
          <cell r="BQ35">
            <v>7007.25</v>
          </cell>
          <cell r="BR35">
            <v>1751.8125</v>
          </cell>
          <cell r="BS35">
            <v>1751.8125</v>
          </cell>
          <cell r="BT35">
            <v>1751.8125</v>
          </cell>
          <cell r="BU35">
            <v>1751.8125</v>
          </cell>
          <cell r="BV35">
            <v>7007.25</v>
          </cell>
          <cell r="BY35" t="str">
            <v>mstag:shareOfNetIncomeToPreferredUnitholdersOfOperatingPartnership</v>
          </cell>
          <cell r="BZ35">
            <v>3</v>
          </cell>
          <cell r="CA35" t="str">
            <v>ISO4217:USD</v>
          </cell>
          <cell r="CB35" t="b">
            <v>0</v>
          </cell>
          <cell r="CC35" t="b">
            <v>0</v>
          </cell>
        </row>
        <row r="36">
          <cell r="A36" t="str">
            <v xml:space="preserve">  Preferred Stock Dividend</v>
          </cell>
          <cell r="H36">
            <v>0</v>
          </cell>
          <cell r="I36">
            <v>0</v>
          </cell>
          <cell r="J36">
            <v>0</v>
          </cell>
          <cell r="K36">
            <v>0</v>
          </cell>
          <cell r="L36">
            <v>0</v>
          </cell>
          <cell r="N36">
            <v>0</v>
          </cell>
          <cell r="O36">
            <v>648</v>
          </cell>
          <cell r="P36">
            <v>1271.875</v>
          </cell>
          <cell r="Q36">
            <v>1271.875</v>
          </cell>
          <cell r="R36">
            <v>3191.75</v>
          </cell>
          <cell r="T36">
            <v>1272</v>
          </cell>
          <cell r="U36">
            <v>1272</v>
          </cell>
          <cell r="V36">
            <v>1272</v>
          </cell>
          <cell r="W36">
            <v>1272</v>
          </cell>
          <cell r="X36">
            <v>5088</v>
          </cell>
          <cell r="Y36">
            <v>1272</v>
          </cell>
          <cell r="Z36">
            <v>1903</v>
          </cell>
          <cell r="AA36">
            <v>2839</v>
          </cell>
          <cell r="AB36">
            <v>2840</v>
          </cell>
          <cell r="AC36">
            <v>8854</v>
          </cell>
          <cell r="AD36">
            <v>3617</v>
          </cell>
          <cell r="AE36">
            <v>3230</v>
          </cell>
          <cell r="AF36">
            <v>3933</v>
          </cell>
          <cell r="AG36">
            <v>3929</v>
          </cell>
          <cell r="AH36">
            <v>14709</v>
          </cell>
          <cell r="AI36">
            <v>3928</v>
          </cell>
          <cell r="AJ36">
            <v>3924</v>
          </cell>
          <cell r="AK36">
            <v>4052</v>
          </cell>
          <cell r="AL36">
            <v>3879</v>
          </cell>
          <cell r="AM36">
            <v>15783</v>
          </cell>
          <cell r="AN36">
            <v>5692</v>
          </cell>
          <cell r="AO36">
            <v>7085</v>
          </cell>
          <cell r="AP36">
            <v>8121</v>
          </cell>
          <cell r="AQ36">
            <v>9612</v>
          </cell>
          <cell r="AR36">
            <v>30510</v>
          </cell>
          <cell r="AS36">
            <v>9769</v>
          </cell>
          <cell r="AT36">
            <v>10733</v>
          </cell>
          <cell r="AU36">
            <v>11255</v>
          </cell>
          <cell r="AV36">
            <v>11254</v>
          </cell>
          <cell r="AW36">
            <v>43011</v>
          </cell>
          <cell r="AX36">
            <v>11255</v>
          </cell>
          <cell r="AY36">
            <v>10598</v>
          </cell>
          <cell r="AZ36">
            <v>11258</v>
          </cell>
          <cell r="BA36">
            <v>11442</v>
          </cell>
          <cell r="BB36">
            <v>44553</v>
          </cell>
          <cell r="BC36">
            <v>12668</v>
          </cell>
          <cell r="BD36">
            <v>12757</v>
          </cell>
          <cell r="BE36">
            <v>12756</v>
          </cell>
          <cell r="BF36">
            <v>12756</v>
          </cell>
          <cell r="BG36">
            <v>50937</v>
          </cell>
          <cell r="BH36">
            <v>12756.25</v>
          </cell>
          <cell r="BI36">
            <v>12756.25</v>
          </cell>
          <cell r="BJ36">
            <v>12756.25</v>
          </cell>
          <cell r="BK36">
            <v>12756.25</v>
          </cell>
          <cell r="BL36">
            <v>51025</v>
          </cell>
          <cell r="BM36">
            <v>12756.25</v>
          </cell>
          <cell r="BN36">
            <v>12756.25</v>
          </cell>
          <cell r="BO36">
            <v>12756.25</v>
          </cell>
          <cell r="BP36">
            <v>12756.25</v>
          </cell>
          <cell r="BQ36">
            <v>51025</v>
          </cell>
          <cell r="BR36">
            <v>12756.25</v>
          </cell>
          <cell r="BS36">
            <v>12756.25</v>
          </cell>
          <cell r="BT36">
            <v>12756.25</v>
          </cell>
          <cell r="BU36">
            <v>12756.25</v>
          </cell>
          <cell r="BV36">
            <v>51025</v>
          </cell>
          <cell r="BY36" t="str">
            <v>mstag:preferredDividendsPaid</v>
          </cell>
          <cell r="BZ36">
            <v>3</v>
          </cell>
          <cell r="CA36" t="str">
            <v>ISO4217:USD</v>
          </cell>
          <cell r="CB36" t="b">
            <v>0</v>
          </cell>
          <cell r="CC36" t="b">
            <v>0</v>
          </cell>
        </row>
        <row r="37">
          <cell r="A37" t="str">
            <v xml:space="preserve">  Preferred Redemption Cost</v>
          </cell>
          <cell r="AD37">
            <v>0</v>
          </cell>
          <cell r="AE37">
            <v>0</v>
          </cell>
          <cell r="AF37">
            <v>0</v>
          </cell>
          <cell r="AG37">
            <v>0</v>
          </cell>
          <cell r="AH37">
            <v>0</v>
          </cell>
          <cell r="AI37">
            <v>0</v>
          </cell>
          <cell r="AJ37">
            <v>0</v>
          </cell>
          <cell r="AK37">
            <v>0</v>
          </cell>
          <cell r="AL37">
            <v>0</v>
          </cell>
          <cell r="AM37">
            <v>0</v>
          </cell>
          <cell r="AN37">
            <v>-2133</v>
          </cell>
          <cell r="AO37">
            <v>0</v>
          </cell>
          <cell r="AP37">
            <v>-2872</v>
          </cell>
          <cell r="AQ37">
            <v>0</v>
          </cell>
          <cell r="AR37">
            <v>-5005</v>
          </cell>
          <cell r="AS37">
            <v>0</v>
          </cell>
          <cell r="AT37">
            <v>-301</v>
          </cell>
          <cell r="AU37">
            <v>0</v>
          </cell>
          <cell r="AV37">
            <v>0</v>
          </cell>
          <cell r="AW37">
            <v>-301</v>
          </cell>
          <cell r="AX37">
            <v>0</v>
          </cell>
          <cell r="AY37">
            <v>-1658</v>
          </cell>
          <cell r="AZ37">
            <v>-1366</v>
          </cell>
          <cell r="BA37">
            <v>-1722</v>
          </cell>
          <cell r="BB37">
            <v>-4746</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Y37" t="str">
            <v>mstag:preferredDividendsPaid</v>
          </cell>
          <cell r="BZ37">
            <v>3</v>
          </cell>
          <cell r="CA37" t="str">
            <v>ISO4217:USD</v>
          </cell>
          <cell r="CB37" t="b">
            <v>1</v>
          </cell>
          <cell r="CC37" t="b">
            <v>0</v>
          </cell>
        </row>
        <row r="38">
          <cell r="A38" t="str">
            <v>Income Before Minority Int. &amp; Gain on Sale</v>
          </cell>
          <cell r="B38">
            <v>2495</v>
          </cell>
          <cell r="C38">
            <v>3374</v>
          </cell>
          <cell r="D38">
            <v>3585</v>
          </cell>
          <cell r="E38">
            <v>2948</v>
          </cell>
          <cell r="F38">
            <v>12402</v>
          </cell>
          <cell r="H38">
            <v>7144</v>
          </cell>
          <cell r="I38">
            <v>9915</v>
          </cell>
          <cell r="J38">
            <v>12761</v>
          </cell>
          <cell r="K38">
            <v>10788</v>
          </cell>
          <cell r="L38">
            <v>40608</v>
          </cell>
          <cell r="N38">
            <v>12408</v>
          </cell>
          <cell r="O38">
            <v>12827</v>
          </cell>
          <cell r="P38">
            <v>12730.125</v>
          </cell>
          <cell r="Q38">
            <v>12052.125</v>
          </cell>
          <cell r="R38">
            <v>50017.25</v>
          </cell>
          <cell r="T38">
            <v>12462</v>
          </cell>
          <cell r="U38">
            <v>13342</v>
          </cell>
          <cell r="V38">
            <v>13243</v>
          </cell>
          <cell r="W38">
            <v>13497</v>
          </cell>
          <cell r="X38">
            <v>52544</v>
          </cell>
          <cell r="Y38">
            <v>13414</v>
          </cell>
          <cell r="Z38">
            <v>14470</v>
          </cell>
          <cell r="AA38">
            <v>13278</v>
          </cell>
          <cell r="AB38">
            <v>13228</v>
          </cell>
          <cell r="AC38">
            <v>54390</v>
          </cell>
          <cell r="AD38">
            <v>12126</v>
          </cell>
          <cell r="AE38">
            <v>13472</v>
          </cell>
          <cell r="AF38">
            <v>11544</v>
          </cell>
          <cell r="AG38">
            <v>11091</v>
          </cell>
          <cell r="AH38">
            <v>48233</v>
          </cell>
          <cell r="AI38">
            <v>7768</v>
          </cell>
          <cell r="AJ38">
            <v>11910</v>
          </cell>
          <cell r="AK38">
            <v>10431</v>
          </cell>
          <cell r="AL38">
            <v>9608</v>
          </cell>
          <cell r="AM38">
            <v>39717</v>
          </cell>
          <cell r="AN38">
            <v>5563</v>
          </cell>
          <cell r="AO38">
            <v>7119</v>
          </cell>
          <cell r="AP38">
            <v>3487</v>
          </cell>
          <cell r="AQ38">
            <v>7253</v>
          </cell>
          <cell r="AR38">
            <v>23422</v>
          </cell>
          <cell r="AS38">
            <v>6865</v>
          </cell>
          <cell r="AT38">
            <v>6677</v>
          </cell>
          <cell r="AU38">
            <v>6452</v>
          </cell>
          <cell r="AV38">
            <v>5050</v>
          </cell>
          <cell r="AW38">
            <v>25044</v>
          </cell>
          <cell r="AX38">
            <v>6075</v>
          </cell>
          <cell r="AY38">
            <v>4279</v>
          </cell>
          <cell r="AZ38">
            <v>4663</v>
          </cell>
          <cell r="BA38">
            <v>4975</v>
          </cell>
          <cell r="BB38">
            <v>19992</v>
          </cell>
          <cell r="BC38">
            <v>7953</v>
          </cell>
          <cell r="BD38">
            <v>5075</v>
          </cell>
          <cell r="BE38">
            <v>5728</v>
          </cell>
          <cell r="BF38">
            <v>5128</v>
          </cell>
          <cell r="BG38">
            <v>23884</v>
          </cell>
          <cell r="BH38">
            <v>4724.9698757713486</v>
          </cell>
          <cell r="BI38">
            <v>4519.4853487210166</v>
          </cell>
          <cell r="BJ38">
            <v>4291.5478895773995</v>
          </cell>
          <cell r="BK38">
            <v>3697.9172213260281</v>
          </cell>
          <cell r="BL38">
            <v>17233.9203353958</v>
          </cell>
          <cell r="BM38">
            <v>3647.9545288939808</v>
          </cell>
          <cell r="BN38">
            <v>2903.1499683572511</v>
          </cell>
          <cell r="BO38">
            <v>1479.1283911714745</v>
          </cell>
          <cell r="BP38">
            <v>430.94531601406015</v>
          </cell>
          <cell r="BQ38">
            <v>8461.1782044367719</v>
          </cell>
          <cell r="BR38">
            <v>-17.814187384445177</v>
          </cell>
          <cell r="BS38">
            <v>-809.64363554639203</v>
          </cell>
          <cell r="BT38">
            <v>-2153.5187864346772</v>
          </cell>
          <cell r="BU38">
            <v>-3110.7268606075359</v>
          </cell>
          <cell r="BV38">
            <v>-6091.7034699730939</v>
          </cell>
        </row>
        <row r="39">
          <cell r="A39" t="str">
            <v xml:space="preserve">  Minority Interest in Earnings</v>
          </cell>
          <cell r="B39">
            <v>1813</v>
          </cell>
          <cell r="C39">
            <v>2579</v>
          </cell>
          <cell r="D39">
            <v>2403</v>
          </cell>
          <cell r="E39">
            <v>1771</v>
          </cell>
          <cell r="F39">
            <v>8566</v>
          </cell>
          <cell r="H39">
            <v>2814</v>
          </cell>
          <cell r="I39">
            <v>2869</v>
          </cell>
          <cell r="J39">
            <v>3013</v>
          </cell>
          <cell r="K39">
            <v>2512</v>
          </cell>
          <cell r="L39">
            <v>11208</v>
          </cell>
          <cell r="N39">
            <v>2966</v>
          </cell>
          <cell r="O39">
            <v>3434</v>
          </cell>
          <cell r="P39">
            <v>3347</v>
          </cell>
          <cell r="Q39">
            <v>2421</v>
          </cell>
          <cell r="R39">
            <v>12168</v>
          </cell>
          <cell r="T39">
            <v>2991</v>
          </cell>
          <cell r="U39">
            <v>3199</v>
          </cell>
          <cell r="V39">
            <v>3203</v>
          </cell>
          <cell r="W39">
            <v>5163</v>
          </cell>
          <cell r="X39">
            <v>14556</v>
          </cell>
          <cell r="Y39">
            <v>3236</v>
          </cell>
          <cell r="Z39">
            <v>3543</v>
          </cell>
          <cell r="AA39">
            <v>3268</v>
          </cell>
          <cell r="AB39">
            <v>3335</v>
          </cell>
          <cell r="AC39">
            <v>13382</v>
          </cell>
          <cell r="AD39">
            <v>4432</v>
          </cell>
          <cell r="AE39">
            <v>3933</v>
          </cell>
          <cell r="AF39">
            <v>3356</v>
          </cell>
          <cell r="AG39">
            <v>3224</v>
          </cell>
          <cell r="AH39">
            <v>14945</v>
          </cell>
          <cell r="AI39">
            <v>1965</v>
          </cell>
          <cell r="AJ39">
            <v>4446</v>
          </cell>
          <cell r="AK39">
            <v>2653</v>
          </cell>
          <cell r="AL39">
            <v>2281</v>
          </cell>
          <cell r="AM39">
            <v>11345</v>
          </cell>
          <cell r="AN39">
            <v>1405</v>
          </cell>
          <cell r="AO39">
            <v>1744</v>
          </cell>
          <cell r="AP39">
            <v>954</v>
          </cell>
          <cell r="AQ39">
            <v>5658</v>
          </cell>
          <cell r="AR39">
            <v>9761</v>
          </cell>
          <cell r="AS39">
            <v>2455</v>
          </cell>
          <cell r="AT39">
            <v>1921</v>
          </cell>
          <cell r="AU39">
            <v>4787</v>
          </cell>
          <cell r="AV39">
            <v>1707</v>
          </cell>
          <cell r="AW39">
            <v>10870</v>
          </cell>
          <cell r="AX39">
            <v>1724</v>
          </cell>
          <cell r="AY39">
            <v>1501</v>
          </cell>
          <cell r="AZ39">
            <v>1185</v>
          </cell>
          <cell r="BA39">
            <v>1263</v>
          </cell>
          <cell r="BB39">
            <v>5673</v>
          </cell>
          <cell r="BC39">
            <v>2030</v>
          </cell>
          <cell r="BD39">
            <v>1294</v>
          </cell>
          <cell r="BE39">
            <v>1461</v>
          </cell>
          <cell r="BF39">
            <v>1370</v>
          </cell>
          <cell r="BG39">
            <v>6155</v>
          </cell>
          <cell r="BH39">
            <v>1373.0411969645318</v>
          </cell>
          <cell r="BI39">
            <v>1387.4221682651937</v>
          </cell>
          <cell r="BJ39">
            <v>1405.188707853968</v>
          </cell>
          <cell r="BK39">
            <v>1414.5381101922774</v>
          </cell>
          <cell r="BL39">
            <v>5580.1901832759704</v>
          </cell>
          <cell r="BM39">
            <v>1444.3727722248079</v>
          </cell>
          <cell r="BN39">
            <v>1464.9468720838088</v>
          </cell>
          <cell r="BO39">
            <v>1473.1780013422738</v>
          </cell>
          <cell r="BP39">
            <v>1493.8682066699091</v>
          </cell>
          <cell r="BQ39">
            <v>5876.3658523207996</v>
          </cell>
          <cell r="BR39">
            <v>1529.3570958867956</v>
          </cell>
          <cell r="BS39">
            <v>1553.3907057574306</v>
          </cell>
          <cell r="BT39">
            <v>1564.2020553464147</v>
          </cell>
          <cell r="BU39">
            <v>1587.8624289732836</v>
          </cell>
          <cell r="BV39">
            <v>6234.8122859639243</v>
          </cell>
          <cell r="BY39" t="str">
            <v>mstag:otherMinorityInterestsInNetIncome</v>
          </cell>
          <cell r="BZ39">
            <v>3</v>
          </cell>
          <cell r="CA39" t="str">
            <v>ISO4217:USD</v>
          </cell>
          <cell r="CB39" t="b">
            <v>0</v>
          </cell>
          <cell r="CC39" t="b">
            <v>0</v>
          </cell>
        </row>
        <row r="40">
          <cell r="A40" t="str">
            <v>Income Before Gain on Sale</v>
          </cell>
          <cell r="N40">
            <v>9442</v>
          </cell>
          <cell r="O40">
            <v>9393</v>
          </cell>
          <cell r="P40">
            <v>9383.125</v>
          </cell>
          <cell r="Q40">
            <v>9631.125</v>
          </cell>
          <cell r="R40">
            <v>37849.25</v>
          </cell>
          <cell r="T40">
            <v>9471</v>
          </cell>
          <cell r="U40">
            <v>10143</v>
          </cell>
          <cell r="V40">
            <v>10040</v>
          </cell>
          <cell r="W40">
            <v>8334</v>
          </cell>
          <cell r="X40">
            <v>37988</v>
          </cell>
          <cell r="Y40">
            <v>10178</v>
          </cell>
          <cell r="Z40">
            <v>10927</v>
          </cell>
          <cell r="AA40">
            <v>10010</v>
          </cell>
          <cell r="AB40">
            <v>9893</v>
          </cell>
          <cell r="AC40">
            <v>41008</v>
          </cell>
          <cell r="AD40">
            <v>7694</v>
          </cell>
          <cell r="AE40">
            <v>9539</v>
          </cell>
          <cell r="AF40">
            <v>8188</v>
          </cell>
          <cell r="AG40">
            <v>7867</v>
          </cell>
          <cell r="AH40">
            <v>33288</v>
          </cell>
          <cell r="AI40">
            <v>5803</v>
          </cell>
          <cell r="AJ40">
            <v>7464</v>
          </cell>
          <cell r="AK40">
            <v>7778</v>
          </cell>
          <cell r="AL40">
            <v>7327</v>
          </cell>
          <cell r="AM40">
            <v>28372</v>
          </cell>
          <cell r="AN40">
            <v>4158</v>
          </cell>
          <cell r="AO40">
            <v>5375</v>
          </cell>
          <cell r="AP40">
            <v>2533</v>
          </cell>
          <cell r="AQ40">
            <v>1595</v>
          </cell>
          <cell r="AR40">
            <v>13661</v>
          </cell>
          <cell r="AS40">
            <v>4410</v>
          </cell>
          <cell r="AT40">
            <v>4756</v>
          </cell>
          <cell r="AU40">
            <v>1665</v>
          </cell>
          <cell r="AV40">
            <v>3343</v>
          </cell>
          <cell r="AW40">
            <v>14174</v>
          </cell>
          <cell r="AX40">
            <v>4351</v>
          </cell>
          <cell r="AY40">
            <v>2778</v>
          </cell>
          <cell r="AZ40">
            <v>3478</v>
          </cell>
          <cell r="BA40">
            <v>3712</v>
          </cell>
          <cell r="BB40">
            <v>14319</v>
          </cell>
          <cell r="BC40">
            <v>5923</v>
          </cell>
          <cell r="BD40">
            <v>3781</v>
          </cell>
          <cell r="BE40">
            <v>4267</v>
          </cell>
          <cell r="BF40">
            <v>3758</v>
          </cell>
          <cell r="BG40">
            <v>17729</v>
          </cell>
          <cell r="BH40">
            <v>3351.9286788068166</v>
          </cell>
          <cell r="BI40">
            <v>3132.0631804558229</v>
          </cell>
          <cell r="BJ40">
            <v>2886.3591817234314</v>
          </cell>
          <cell r="BK40">
            <v>2283.3791111337505</v>
          </cell>
          <cell r="BL40">
            <v>11653.73015211983</v>
          </cell>
          <cell r="BM40">
            <v>2203.581756669173</v>
          </cell>
          <cell r="BN40">
            <v>1438.2030962734423</v>
          </cell>
          <cell r="BO40">
            <v>5.9503898292007307</v>
          </cell>
          <cell r="BP40">
            <v>-1062.922890655849</v>
          </cell>
          <cell r="BQ40">
            <v>2584.8123521159723</v>
          </cell>
          <cell r="BR40">
            <v>-1547.1712832712408</v>
          </cell>
          <cell r="BS40">
            <v>-2363.0343413038227</v>
          </cell>
          <cell r="BT40">
            <v>-3717.7208417810916</v>
          </cell>
          <cell r="BU40">
            <v>-4698.5892895808192</v>
          </cell>
          <cell r="BV40">
            <v>-12326.515755937018</v>
          </cell>
        </row>
        <row r="41">
          <cell r="A41" t="str">
            <v>Gain or loss on marketable securities</v>
          </cell>
          <cell r="Y41">
            <v>0</v>
          </cell>
          <cell r="Z41">
            <v>0</v>
          </cell>
          <cell r="AA41">
            <v>0</v>
          </cell>
          <cell r="AB41">
            <v>-7</v>
          </cell>
          <cell r="AC41">
            <v>-7</v>
          </cell>
          <cell r="AD41">
            <v>25</v>
          </cell>
          <cell r="AE41">
            <v>0</v>
          </cell>
          <cell r="AF41">
            <v>16</v>
          </cell>
          <cell r="AG41">
            <v>0</v>
          </cell>
          <cell r="AH41">
            <v>41</v>
          </cell>
          <cell r="AI41">
            <v>0</v>
          </cell>
          <cell r="AJ41">
            <v>2043</v>
          </cell>
          <cell r="AK41">
            <v>0</v>
          </cell>
          <cell r="AL41">
            <v>0</v>
          </cell>
          <cell r="AM41">
            <v>2043</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Y41" t="str">
            <v>mstag:gainsLossesFromSaleOfOperatingAssetsOneTimeIncomeStatement</v>
          </cell>
          <cell r="BZ41">
            <v>3</v>
          </cell>
          <cell r="CA41" t="str">
            <v>ISO4217:USD</v>
          </cell>
          <cell r="CB41" t="b">
            <v>0</v>
          </cell>
          <cell r="CC41" t="b">
            <v>0</v>
          </cell>
        </row>
        <row r="42">
          <cell r="A42" t="str">
            <v>Gain on disposition of Real Estate</v>
          </cell>
          <cell r="N42">
            <v>0</v>
          </cell>
          <cell r="O42">
            <v>0</v>
          </cell>
          <cell r="P42">
            <v>0</v>
          </cell>
          <cell r="Q42">
            <v>0</v>
          </cell>
          <cell r="R42">
            <v>0</v>
          </cell>
          <cell r="T42">
            <v>0</v>
          </cell>
          <cell r="U42">
            <v>97</v>
          </cell>
          <cell r="V42">
            <v>159</v>
          </cell>
          <cell r="W42">
            <v>7849</v>
          </cell>
          <cell r="X42">
            <v>8105</v>
          </cell>
          <cell r="Y42">
            <v>15</v>
          </cell>
          <cell r="Z42">
            <v>0</v>
          </cell>
          <cell r="AA42">
            <v>0</v>
          </cell>
          <cell r="AB42">
            <v>0</v>
          </cell>
          <cell r="AC42">
            <v>15</v>
          </cell>
          <cell r="AD42">
            <v>5366</v>
          </cell>
          <cell r="AE42">
            <v>0</v>
          </cell>
          <cell r="AF42">
            <v>1707</v>
          </cell>
          <cell r="AG42">
            <v>1616</v>
          </cell>
          <cell r="AH42">
            <v>8689</v>
          </cell>
          <cell r="AI42">
            <v>0</v>
          </cell>
          <cell r="AJ42">
            <v>3484</v>
          </cell>
          <cell r="AK42">
            <v>14</v>
          </cell>
          <cell r="AL42">
            <v>-601</v>
          </cell>
          <cell r="AM42">
            <v>2897</v>
          </cell>
          <cell r="AN42">
            <v>0</v>
          </cell>
          <cell r="AO42">
            <v>-168</v>
          </cell>
          <cell r="AP42">
            <v>313</v>
          </cell>
          <cell r="AQ42">
            <v>15317</v>
          </cell>
          <cell r="AR42">
            <v>15462</v>
          </cell>
          <cell r="AS42">
            <v>2914</v>
          </cell>
          <cell r="AT42">
            <v>1016</v>
          </cell>
          <cell r="AU42">
            <v>12599</v>
          </cell>
          <cell r="AV42">
            <v>1580</v>
          </cell>
          <cell r="AW42">
            <v>18109</v>
          </cell>
          <cell r="AX42">
            <v>711</v>
          </cell>
          <cell r="AY42">
            <v>1617</v>
          </cell>
          <cell r="AZ42">
            <v>0</v>
          </cell>
          <cell r="BA42">
            <v>0</v>
          </cell>
          <cell r="BB42">
            <v>2328</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Y42" t="str">
            <v>mstag:gainsLossesFromSaleOfOperatingAssetsOneTimeIncomeStatement</v>
          </cell>
          <cell r="BZ42">
            <v>3</v>
          </cell>
          <cell r="CA42" t="str">
            <v>ISO4217:USD</v>
          </cell>
          <cell r="CB42" t="b">
            <v>0</v>
          </cell>
          <cell r="CC42" t="b">
            <v>0</v>
          </cell>
        </row>
        <row r="43">
          <cell r="A43" t="str">
            <v>Net Income</v>
          </cell>
          <cell r="B43">
            <v>682</v>
          </cell>
          <cell r="C43">
            <v>795</v>
          </cell>
          <cell r="D43">
            <v>1182</v>
          </cell>
          <cell r="E43">
            <v>1177</v>
          </cell>
          <cell r="F43">
            <v>3836</v>
          </cell>
          <cell r="H43">
            <v>4330</v>
          </cell>
          <cell r="I43">
            <v>7046</v>
          </cell>
          <cell r="J43">
            <v>9748</v>
          </cell>
          <cell r="K43">
            <v>8276</v>
          </cell>
          <cell r="L43">
            <v>29400</v>
          </cell>
          <cell r="N43">
            <v>9442</v>
          </cell>
          <cell r="O43">
            <v>9393</v>
          </cell>
          <cell r="P43">
            <v>9383.125</v>
          </cell>
          <cell r="Q43">
            <v>9631.125</v>
          </cell>
          <cell r="R43">
            <v>37849.25</v>
          </cell>
          <cell r="T43">
            <v>9471</v>
          </cell>
          <cell r="U43">
            <v>10240</v>
          </cell>
          <cell r="V43">
            <v>10199</v>
          </cell>
          <cell r="W43">
            <v>16183</v>
          </cell>
          <cell r="X43">
            <v>46093</v>
          </cell>
          <cell r="Y43">
            <v>10193</v>
          </cell>
          <cell r="Z43">
            <v>10927</v>
          </cell>
          <cell r="AA43">
            <v>10010</v>
          </cell>
          <cell r="AB43">
            <v>9886</v>
          </cell>
          <cell r="AC43">
            <v>41016</v>
          </cell>
          <cell r="AD43">
            <v>13085</v>
          </cell>
          <cell r="AE43">
            <v>9539</v>
          </cell>
          <cell r="AF43">
            <v>9911</v>
          </cell>
          <cell r="AG43">
            <v>9483</v>
          </cell>
          <cell r="AH43">
            <v>42018</v>
          </cell>
          <cell r="AI43">
            <v>5803</v>
          </cell>
          <cell r="AJ43">
            <v>12991</v>
          </cell>
          <cell r="AK43">
            <v>7792</v>
          </cell>
          <cell r="AL43">
            <v>6726</v>
          </cell>
          <cell r="AM43">
            <v>33312</v>
          </cell>
          <cell r="AN43">
            <v>4158</v>
          </cell>
          <cell r="AO43">
            <v>5207</v>
          </cell>
          <cell r="AP43">
            <v>2846</v>
          </cell>
          <cell r="AQ43">
            <v>16912</v>
          </cell>
          <cell r="AR43">
            <v>29123</v>
          </cell>
          <cell r="AS43">
            <v>7324</v>
          </cell>
          <cell r="AT43">
            <v>5772</v>
          </cell>
          <cell r="AU43">
            <v>14264</v>
          </cell>
          <cell r="AV43">
            <v>4923</v>
          </cell>
          <cell r="AW43">
            <v>32283</v>
          </cell>
          <cell r="AX43">
            <v>5062</v>
          </cell>
          <cell r="AY43">
            <v>4395</v>
          </cell>
          <cell r="AZ43">
            <v>3478</v>
          </cell>
          <cell r="BA43">
            <v>3712</v>
          </cell>
          <cell r="BB43">
            <v>16647</v>
          </cell>
          <cell r="BC43">
            <v>5923</v>
          </cell>
          <cell r="BD43">
            <v>3781</v>
          </cell>
          <cell r="BE43">
            <v>4267</v>
          </cell>
          <cell r="BF43">
            <v>3758</v>
          </cell>
          <cell r="BG43">
            <v>17729</v>
          </cell>
          <cell r="BH43">
            <v>3351.9286788068166</v>
          </cell>
          <cell r="BI43">
            <v>3132.0631804558229</v>
          </cell>
          <cell r="BJ43">
            <v>2886.3591817234314</v>
          </cell>
          <cell r="BK43">
            <v>2283.3791111337505</v>
          </cell>
          <cell r="BL43">
            <v>11653.73015211983</v>
          </cell>
          <cell r="BM43">
            <v>2203.581756669173</v>
          </cell>
          <cell r="BN43">
            <v>1438.2030962734423</v>
          </cell>
          <cell r="BO43">
            <v>5.9503898292007307</v>
          </cell>
          <cell r="BP43">
            <v>-1062.922890655849</v>
          </cell>
          <cell r="BQ43">
            <v>2584.8123521159723</v>
          </cell>
          <cell r="BR43">
            <v>-1547.1712832712408</v>
          </cell>
          <cell r="BS43">
            <v>-2363.0343413038227</v>
          </cell>
          <cell r="BT43">
            <v>-3717.7208417810916</v>
          </cell>
          <cell r="BU43">
            <v>-4698.5892895808192</v>
          </cell>
          <cell r="BV43">
            <v>-12326.515755937018</v>
          </cell>
        </row>
        <row r="44">
          <cell r="A44" t="str">
            <v>Adjustment: Gains and Extraordinary Items</v>
          </cell>
          <cell r="B44">
            <v>0</v>
          </cell>
          <cell r="C44">
            <v>0</v>
          </cell>
          <cell r="D44">
            <v>0</v>
          </cell>
          <cell r="E44">
            <v>0</v>
          </cell>
          <cell r="F44">
            <v>0</v>
          </cell>
          <cell r="H44">
            <v>0</v>
          </cell>
          <cell r="I44">
            <v>0</v>
          </cell>
          <cell r="J44">
            <v>0</v>
          </cell>
          <cell r="K44">
            <v>0</v>
          </cell>
          <cell r="L44">
            <v>0</v>
          </cell>
          <cell r="N44">
            <v>0</v>
          </cell>
          <cell r="O44">
            <v>0</v>
          </cell>
          <cell r="P44">
            <v>0</v>
          </cell>
          <cell r="Q44">
            <v>0</v>
          </cell>
          <cell r="R44">
            <v>0</v>
          </cell>
          <cell r="T44">
            <v>0</v>
          </cell>
          <cell r="U44">
            <v>97</v>
          </cell>
          <cell r="V44">
            <v>159</v>
          </cell>
          <cell r="W44">
            <v>7849</v>
          </cell>
          <cell r="X44">
            <v>8105</v>
          </cell>
          <cell r="Y44">
            <v>15</v>
          </cell>
          <cell r="Z44">
            <v>0</v>
          </cell>
          <cell r="AA44">
            <v>0</v>
          </cell>
          <cell r="AB44">
            <v>0</v>
          </cell>
          <cell r="AC44">
            <v>15</v>
          </cell>
          <cell r="AD44">
            <v>5366</v>
          </cell>
          <cell r="AE44">
            <v>0</v>
          </cell>
          <cell r="AF44">
            <v>1707</v>
          </cell>
          <cell r="AG44">
            <v>1616</v>
          </cell>
          <cell r="AH44">
            <v>8689</v>
          </cell>
          <cell r="AI44">
            <v>0</v>
          </cell>
          <cell r="AJ44">
            <v>3484</v>
          </cell>
          <cell r="AK44">
            <v>14</v>
          </cell>
          <cell r="AL44">
            <v>-601</v>
          </cell>
          <cell r="AM44">
            <v>2897</v>
          </cell>
          <cell r="AN44">
            <v>0</v>
          </cell>
          <cell r="AO44">
            <v>-168</v>
          </cell>
          <cell r="AP44">
            <v>313</v>
          </cell>
          <cell r="AQ44">
            <v>15317</v>
          </cell>
          <cell r="AR44">
            <v>15462</v>
          </cell>
          <cell r="AS44">
            <v>2914</v>
          </cell>
          <cell r="AT44">
            <v>1016</v>
          </cell>
          <cell r="AU44">
            <v>12599</v>
          </cell>
          <cell r="AV44">
            <v>1580</v>
          </cell>
          <cell r="AW44">
            <v>18109</v>
          </cell>
          <cell r="AX44">
            <v>711</v>
          </cell>
          <cell r="AY44">
            <v>1617</v>
          </cell>
          <cell r="AZ44">
            <v>0</v>
          </cell>
          <cell r="BA44">
            <v>0</v>
          </cell>
          <cell r="BB44">
            <v>2328</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row>
        <row r="45">
          <cell r="A45" t="str">
            <v xml:space="preserve">   Normalized Earnings</v>
          </cell>
          <cell r="B45">
            <v>682</v>
          </cell>
          <cell r="C45">
            <v>795</v>
          </cell>
          <cell r="D45">
            <v>1182</v>
          </cell>
          <cell r="E45">
            <v>1177</v>
          </cell>
          <cell r="F45">
            <v>3836</v>
          </cell>
          <cell r="H45">
            <v>4330</v>
          </cell>
          <cell r="I45">
            <v>7046</v>
          </cell>
          <cell r="J45">
            <v>9748</v>
          </cell>
          <cell r="K45">
            <v>8276</v>
          </cell>
          <cell r="L45">
            <v>29400</v>
          </cell>
          <cell r="N45">
            <v>9442</v>
          </cell>
          <cell r="O45">
            <v>9393</v>
          </cell>
          <cell r="P45">
            <v>9383.125</v>
          </cell>
          <cell r="Q45">
            <v>9631.125</v>
          </cell>
          <cell r="R45">
            <v>37849.25</v>
          </cell>
          <cell r="T45">
            <v>9471</v>
          </cell>
          <cell r="U45">
            <v>10143</v>
          </cell>
          <cell r="V45">
            <v>10040</v>
          </cell>
          <cell r="W45">
            <v>8334</v>
          </cell>
          <cell r="X45">
            <v>37988</v>
          </cell>
          <cell r="Y45">
            <v>10178</v>
          </cell>
          <cell r="Z45">
            <v>10927</v>
          </cell>
          <cell r="AA45">
            <v>10010</v>
          </cell>
          <cell r="AB45">
            <v>9886</v>
          </cell>
          <cell r="AC45">
            <v>41001</v>
          </cell>
          <cell r="AD45">
            <v>7719</v>
          </cell>
          <cell r="AE45">
            <v>9539</v>
          </cell>
          <cell r="AF45">
            <v>8204</v>
          </cell>
          <cell r="AG45">
            <v>7867</v>
          </cell>
          <cell r="AH45">
            <v>33329</v>
          </cell>
          <cell r="AI45">
            <v>5803</v>
          </cell>
          <cell r="AJ45">
            <v>9507</v>
          </cell>
          <cell r="AK45">
            <v>7778</v>
          </cell>
          <cell r="AL45">
            <v>7327</v>
          </cell>
          <cell r="AM45">
            <v>30415</v>
          </cell>
          <cell r="AN45">
            <v>4158</v>
          </cell>
          <cell r="AO45">
            <v>5375</v>
          </cell>
          <cell r="AP45">
            <v>2533</v>
          </cell>
          <cell r="AQ45">
            <v>1595</v>
          </cell>
          <cell r="AR45">
            <v>13661</v>
          </cell>
          <cell r="AS45">
            <v>4410</v>
          </cell>
          <cell r="AT45">
            <v>4756</v>
          </cell>
          <cell r="AU45">
            <v>1665</v>
          </cell>
          <cell r="AV45">
            <v>3343</v>
          </cell>
          <cell r="AW45">
            <v>14174</v>
          </cell>
          <cell r="AX45">
            <v>4351</v>
          </cell>
          <cell r="AY45">
            <v>2778</v>
          </cell>
          <cell r="AZ45">
            <v>3478</v>
          </cell>
          <cell r="BA45">
            <v>3712</v>
          </cell>
          <cell r="BB45">
            <v>14319</v>
          </cell>
          <cell r="BC45">
            <v>5923</v>
          </cell>
          <cell r="BD45">
            <v>3781</v>
          </cell>
          <cell r="BE45">
            <v>4267</v>
          </cell>
          <cell r="BF45">
            <v>3758</v>
          </cell>
          <cell r="BG45">
            <v>17729</v>
          </cell>
          <cell r="BH45">
            <v>3351.9286788068166</v>
          </cell>
          <cell r="BI45">
            <v>3132.0631804558229</v>
          </cell>
          <cell r="BJ45">
            <v>2886.3591817234314</v>
          </cell>
          <cell r="BK45">
            <v>2283.3791111337505</v>
          </cell>
          <cell r="BL45">
            <v>11653.73015211983</v>
          </cell>
          <cell r="BM45">
            <v>2203.581756669173</v>
          </cell>
          <cell r="BN45">
            <v>1438.2030962734423</v>
          </cell>
          <cell r="BO45">
            <v>5.9503898292007307</v>
          </cell>
          <cell r="BP45">
            <v>-1062.922890655849</v>
          </cell>
          <cell r="BQ45">
            <v>2584.8123521159723</v>
          </cell>
          <cell r="BR45">
            <v>-1547.1712832712408</v>
          </cell>
          <cell r="BS45">
            <v>-2363.0343413038227</v>
          </cell>
          <cell r="BT45">
            <v>-3717.7208417810916</v>
          </cell>
          <cell r="BU45">
            <v>-4698.5892895808192</v>
          </cell>
          <cell r="BV45">
            <v>-12326.515755937018</v>
          </cell>
        </row>
        <row r="46">
          <cell r="U46">
            <v>1.7017543859649122E-2</v>
          </cell>
          <cell r="V46">
            <v>8.8826815642458097E-3</v>
          </cell>
          <cell r="W46">
            <v>0.01</v>
          </cell>
          <cell r="AA46">
            <v>0</v>
          </cell>
          <cell r="AB46">
            <v>0</v>
          </cell>
          <cell r="AC46">
            <v>7.1800450847789871E-3</v>
          </cell>
        </row>
        <row r="48">
          <cell r="A48" t="str">
            <v>-Gain or loss on marketable securities</v>
          </cell>
          <cell r="Y48">
            <v>0</v>
          </cell>
          <cell r="Z48">
            <v>0</v>
          </cell>
          <cell r="AA48">
            <v>0</v>
          </cell>
          <cell r="AB48">
            <v>7</v>
          </cell>
          <cell r="AC48">
            <v>7</v>
          </cell>
          <cell r="AD48">
            <v>-25</v>
          </cell>
          <cell r="AE48">
            <v>0</v>
          </cell>
          <cell r="AF48">
            <v>-16</v>
          </cell>
          <cell r="AG48">
            <v>0</v>
          </cell>
          <cell r="AH48">
            <v>-41</v>
          </cell>
          <cell r="AI48">
            <v>0</v>
          </cell>
          <cell r="AJ48">
            <v>-2043</v>
          </cell>
          <cell r="AK48">
            <v>0</v>
          </cell>
          <cell r="AL48">
            <v>0</v>
          </cell>
          <cell r="AM48">
            <v>-2043</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row>
        <row r="49">
          <cell r="A49" t="str">
            <v>-Gain on Sale of real estate</v>
          </cell>
          <cell r="N49">
            <v>0</v>
          </cell>
          <cell r="O49">
            <v>0</v>
          </cell>
          <cell r="P49">
            <v>0</v>
          </cell>
          <cell r="Q49">
            <v>0</v>
          </cell>
          <cell r="R49">
            <v>0</v>
          </cell>
          <cell r="T49">
            <v>0</v>
          </cell>
          <cell r="U49">
            <v>-97</v>
          </cell>
          <cell r="V49">
            <v>-159</v>
          </cell>
          <cell r="W49">
            <v>-7849</v>
          </cell>
          <cell r="X49">
            <v>-8105</v>
          </cell>
          <cell r="Y49">
            <v>-15</v>
          </cell>
          <cell r="Z49">
            <v>0</v>
          </cell>
          <cell r="AA49">
            <v>0</v>
          </cell>
          <cell r="AB49">
            <v>0</v>
          </cell>
          <cell r="AC49">
            <v>-15</v>
          </cell>
          <cell r="AD49">
            <v>-5366</v>
          </cell>
          <cell r="AE49">
            <v>0</v>
          </cell>
          <cell r="AF49">
            <v>-1141</v>
          </cell>
          <cell r="AG49">
            <v>-1616</v>
          </cell>
          <cell r="AH49">
            <v>-8123</v>
          </cell>
          <cell r="AI49">
            <v>0</v>
          </cell>
          <cell r="AJ49">
            <v>-3484</v>
          </cell>
          <cell r="AK49">
            <v>-14</v>
          </cell>
          <cell r="AL49">
            <v>601</v>
          </cell>
          <cell r="AM49">
            <v>-2897</v>
          </cell>
          <cell r="AN49">
            <v>0</v>
          </cell>
          <cell r="AO49">
            <v>168</v>
          </cell>
          <cell r="AP49">
            <v>-313</v>
          </cell>
          <cell r="AQ49">
            <v>-15317</v>
          </cell>
          <cell r="AR49">
            <v>-15462</v>
          </cell>
          <cell r="AS49">
            <v>-2914</v>
          </cell>
          <cell r="AT49">
            <v>-1016</v>
          </cell>
          <cell r="AU49">
            <v>-12599</v>
          </cell>
          <cell r="AV49">
            <v>-1580</v>
          </cell>
          <cell r="AW49">
            <v>-18109</v>
          </cell>
          <cell r="AX49">
            <v>-711</v>
          </cell>
          <cell r="AY49">
            <v>-1617</v>
          </cell>
          <cell r="AZ49">
            <v>0</v>
          </cell>
          <cell r="BA49">
            <v>0</v>
          </cell>
          <cell r="BB49">
            <v>-2328</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row>
        <row r="50">
          <cell r="A50" t="str">
            <v>-Equity income from sale of JV properties</v>
          </cell>
          <cell r="AD50">
            <v>0</v>
          </cell>
          <cell r="AE50">
            <v>-148</v>
          </cell>
          <cell r="AF50">
            <v>-117</v>
          </cell>
          <cell r="AG50">
            <v>-596</v>
          </cell>
          <cell r="AH50">
            <v>-861</v>
          </cell>
          <cell r="AI50">
            <v>-1076</v>
          </cell>
          <cell r="AJ50">
            <v>-300</v>
          </cell>
          <cell r="AK50">
            <v>0</v>
          </cell>
          <cell r="AL50">
            <v>0</v>
          </cell>
          <cell r="AM50">
            <v>-1376</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Y50" t="str">
            <v>mstag:otherFfoAdjustmentNareit</v>
          </cell>
          <cell r="BZ50">
            <v>3</v>
          </cell>
          <cell r="CA50" t="str">
            <v>ISO4217:USD</v>
          </cell>
          <cell r="CB50" t="b">
            <v>0</v>
          </cell>
          <cell r="CC50" t="b">
            <v>0</v>
          </cell>
        </row>
        <row r="51">
          <cell r="A51" t="str">
            <v xml:space="preserve">  + Depreciation and Amortization</v>
          </cell>
          <cell r="B51">
            <v>820</v>
          </cell>
          <cell r="C51">
            <v>1195</v>
          </cell>
          <cell r="D51">
            <v>1395</v>
          </cell>
          <cell r="E51">
            <v>1785</v>
          </cell>
          <cell r="F51">
            <v>5195</v>
          </cell>
          <cell r="H51">
            <v>2300</v>
          </cell>
          <cell r="I51">
            <v>4256</v>
          </cell>
          <cell r="J51">
            <v>4865</v>
          </cell>
          <cell r="K51">
            <v>7487</v>
          </cell>
          <cell r="L51">
            <v>18908</v>
          </cell>
          <cell r="N51">
            <v>6733</v>
          </cell>
          <cell r="O51">
            <v>7314</v>
          </cell>
          <cell r="P51">
            <v>7594</v>
          </cell>
          <cell r="Q51">
            <v>8121</v>
          </cell>
          <cell r="R51">
            <v>29762</v>
          </cell>
          <cell r="T51">
            <v>8376</v>
          </cell>
          <cell r="U51">
            <v>8898</v>
          </cell>
          <cell r="V51">
            <v>9449</v>
          </cell>
          <cell r="W51">
            <v>8914</v>
          </cell>
          <cell r="X51">
            <v>35637</v>
          </cell>
          <cell r="Y51">
            <v>9646</v>
          </cell>
          <cell r="Z51">
            <v>9733</v>
          </cell>
          <cell r="AA51">
            <v>10679</v>
          </cell>
          <cell r="AB51">
            <v>11009</v>
          </cell>
          <cell r="AC51">
            <v>41067</v>
          </cell>
          <cell r="AD51">
            <v>13978</v>
          </cell>
          <cell r="AE51">
            <v>14313</v>
          </cell>
          <cell r="AF51">
            <v>14595</v>
          </cell>
          <cell r="AG51">
            <v>15259</v>
          </cell>
          <cell r="AH51">
            <v>58145</v>
          </cell>
          <cell r="AI51">
            <v>13685</v>
          </cell>
          <cell r="AJ51">
            <v>14170</v>
          </cell>
          <cell r="AK51">
            <v>15382</v>
          </cell>
          <cell r="AL51">
            <v>15870</v>
          </cell>
          <cell r="AM51">
            <v>59107</v>
          </cell>
          <cell r="AN51">
            <v>17884</v>
          </cell>
          <cell r="AO51">
            <v>18334</v>
          </cell>
          <cell r="AP51">
            <v>18802</v>
          </cell>
          <cell r="AQ51">
            <v>18777</v>
          </cell>
          <cell r="AR51">
            <v>73797</v>
          </cell>
          <cell r="AS51">
            <v>19016</v>
          </cell>
          <cell r="AT51">
            <v>19084</v>
          </cell>
          <cell r="AU51">
            <v>19318</v>
          </cell>
          <cell r="AV51">
            <v>20002</v>
          </cell>
          <cell r="AW51">
            <v>77420</v>
          </cell>
          <cell r="AX51">
            <v>20612</v>
          </cell>
          <cell r="AY51">
            <v>20950</v>
          </cell>
          <cell r="AZ51">
            <v>22184</v>
          </cell>
          <cell r="BA51">
            <v>22496</v>
          </cell>
          <cell r="BB51">
            <v>86242</v>
          </cell>
          <cell r="BC51">
            <v>21640</v>
          </cell>
          <cell r="BD51">
            <v>24916</v>
          </cell>
          <cell r="BE51">
            <v>25285</v>
          </cell>
          <cell r="BF51">
            <v>26680</v>
          </cell>
          <cell r="BG51">
            <v>98521</v>
          </cell>
          <cell r="BH51">
            <v>27091.088242663885</v>
          </cell>
          <cell r="BI51">
            <v>27688.313208295429</v>
          </cell>
          <cell r="BJ51">
            <v>28321.691411923159</v>
          </cell>
          <cell r="BK51">
            <v>28990.110620123811</v>
          </cell>
          <cell r="BL51">
            <v>112091.20348300629</v>
          </cell>
          <cell r="BM51">
            <v>29851.826560297191</v>
          </cell>
          <cell r="BN51">
            <v>30908.26203645335</v>
          </cell>
          <cell r="BO51">
            <v>32002.340625910114</v>
          </cell>
          <cell r="BP51">
            <v>33133.440401148844</v>
          </cell>
          <cell r="BQ51">
            <v>125895.8696238095</v>
          </cell>
          <cell r="BR51">
            <v>34231.397766389397</v>
          </cell>
          <cell r="BS51">
            <v>35296.99799691503</v>
          </cell>
          <cell r="BT51">
            <v>36402.792818692244</v>
          </cell>
          <cell r="BU51">
            <v>37548.13493489418</v>
          </cell>
          <cell r="BV51">
            <v>143479.32351689087</v>
          </cell>
          <cell r="BY51" t="str">
            <v>mstag:depreciationRealEstate</v>
          </cell>
          <cell r="BZ51">
            <v>3</v>
          </cell>
          <cell r="CA51" t="str">
            <v>ISO4217:USD</v>
          </cell>
          <cell r="CB51" t="b">
            <v>0</v>
          </cell>
          <cell r="CC51" t="b">
            <v>0</v>
          </cell>
        </row>
        <row r="52">
          <cell r="A52" t="str">
            <v xml:space="preserve">  + D&amp;A from uncon. JV</v>
          </cell>
          <cell r="Y52">
            <v>0</v>
          </cell>
          <cell r="Z52">
            <v>0</v>
          </cell>
          <cell r="AA52">
            <v>0</v>
          </cell>
          <cell r="AB52">
            <v>15</v>
          </cell>
          <cell r="AC52">
            <v>15</v>
          </cell>
          <cell r="AD52">
            <v>20</v>
          </cell>
          <cell r="AE52">
            <v>20</v>
          </cell>
          <cell r="AF52">
            <v>17</v>
          </cell>
          <cell r="AG52">
            <v>6</v>
          </cell>
          <cell r="AH52">
            <v>63</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Y52" t="str">
            <v>mstag:jointVentureRealEstateDepreciation</v>
          </cell>
          <cell r="BZ52">
            <v>3</v>
          </cell>
          <cell r="CA52" t="str">
            <v>ISO4217:USD</v>
          </cell>
          <cell r="CB52" t="b">
            <v>0</v>
          </cell>
          <cell r="CC52" t="b">
            <v>0</v>
          </cell>
        </row>
        <row r="53">
          <cell r="A53" t="str">
            <v xml:space="preserve">  + Minority Interest in Income</v>
          </cell>
          <cell r="B53">
            <v>1813</v>
          </cell>
          <cell r="C53">
            <v>2579</v>
          </cell>
          <cell r="D53">
            <v>2403</v>
          </cell>
          <cell r="E53">
            <v>1771</v>
          </cell>
          <cell r="F53">
            <v>8566</v>
          </cell>
          <cell r="H53">
            <v>2814</v>
          </cell>
          <cell r="I53">
            <v>2869</v>
          </cell>
          <cell r="J53">
            <v>3013</v>
          </cell>
          <cell r="K53">
            <v>2512</v>
          </cell>
          <cell r="L53">
            <v>11208</v>
          </cell>
          <cell r="N53">
            <v>2966</v>
          </cell>
          <cell r="O53">
            <v>3220</v>
          </cell>
          <cell r="P53">
            <v>3347</v>
          </cell>
          <cell r="Q53">
            <v>2616</v>
          </cell>
          <cell r="R53">
            <v>12149</v>
          </cell>
          <cell r="T53">
            <v>2991</v>
          </cell>
          <cell r="U53">
            <v>3199</v>
          </cell>
          <cell r="V53">
            <v>3203</v>
          </cell>
          <cell r="W53">
            <v>5163</v>
          </cell>
          <cell r="X53">
            <v>14556</v>
          </cell>
          <cell r="Y53">
            <v>3236</v>
          </cell>
          <cell r="Z53">
            <v>3543</v>
          </cell>
          <cell r="AA53">
            <v>3268</v>
          </cell>
          <cell r="AB53">
            <v>3335</v>
          </cell>
          <cell r="AC53">
            <v>13382</v>
          </cell>
          <cell r="AD53">
            <v>4432</v>
          </cell>
          <cell r="AE53">
            <v>3230</v>
          </cell>
          <cell r="AF53">
            <v>3356</v>
          </cell>
          <cell r="AG53">
            <v>3224</v>
          </cell>
          <cell r="AH53">
            <v>14242</v>
          </cell>
          <cell r="AI53">
            <v>1965</v>
          </cell>
          <cell r="AJ53">
            <v>4446</v>
          </cell>
          <cell r="AK53">
            <v>2653</v>
          </cell>
          <cell r="AL53">
            <v>2281</v>
          </cell>
          <cell r="AM53">
            <v>11345</v>
          </cell>
          <cell r="AN53">
            <v>1405</v>
          </cell>
          <cell r="AO53">
            <v>1744</v>
          </cell>
          <cell r="AP53">
            <v>954</v>
          </cell>
          <cell r="AQ53">
            <v>5658</v>
          </cell>
          <cell r="AR53">
            <v>9761</v>
          </cell>
          <cell r="AS53">
            <v>2455</v>
          </cell>
          <cell r="AT53">
            <v>1921</v>
          </cell>
          <cell r="AU53">
            <v>4787</v>
          </cell>
          <cell r="AV53">
            <v>1707</v>
          </cell>
          <cell r="AW53">
            <v>10870</v>
          </cell>
          <cell r="AX53">
            <v>1724</v>
          </cell>
          <cell r="AY53">
            <v>1501</v>
          </cell>
          <cell r="AZ53">
            <v>1185</v>
          </cell>
          <cell r="BA53">
            <v>1263</v>
          </cell>
          <cell r="BB53">
            <v>5673</v>
          </cell>
          <cell r="BC53">
            <v>2030</v>
          </cell>
          <cell r="BD53">
            <v>1294</v>
          </cell>
          <cell r="BE53">
            <v>1461</v>
          </cell>
          <cell r="BF53">
            <v>1370</v>
          </cell>
          <cell r="BG53">
            <v>6155</v>
          </cell>
          <cell r="BH53">
            <v>1373.0411969645318</v>
          </cell>
          <cell r="BI53">
            <v>1387.4221682651937</v>
          </cell>
          <cell r="BJ53">
            <v>1405.188707853968</v>
          </cell>
          <cell r="BK53">
            <v>1414.5381101922774</v>
          </cell>
          <cell r="BL53">
            <v>5580.1901832759704</v>
          </cell>
          <cell r="BM53">
            <v>1444.3727722248079</v>
          </cell>
          <cell r="BN53">
            <v>1464.9468720838088</v>
          </cell>
          <cell r="BO53">
            <v>1473.1780013422738</v>
          </cell>
          <cell r="BP53">
            <v>1493.8682066699091</v>
          </cell>
          <cell r="BQ53">
            <v>5876.3658523207996</v>
          </cell>
          <cell r="BR53">
            <v>1529.3570958867956</v>
          </cell>
          <cell r="BS53">
            <v>1553.3907057574306</v>
          </cell>
          <cell r="BT53">
            <v>1564.2020553464147</v>
          </cell>
          <cell r="BU53">
            <v>1587.8624289732836</v>
          </cell>
          <cell r="BV53">
            <v>6234.8122859639243</v>
          </cell>
          <cell r="BY53" t="str">
            <v>mstag:otherFfoAdjustmentNareit</v>
          </cell>
          <cell r="BZ53">
            <v>3</v>
          </cell>
          <cell r="CA53" t="str">
            <v>ISO4217:USD</v>
          </cell>
          <cell r="CB53" t="b">
            <v>0</v>
          </cell>
          <cell r="CC53" t="b">
            <v>0</v>
          </cell>
        </row>
        <row r="54">
          <cell r="A54" t="str">
            <v xml:space="preserve">  + Impairment Charge on Prop. Held for Sale</v>
          </cell>
          <cell r="AD54">
            <v>0</v>
          </cell>
          <cell r="AE54">
            <v>0</v>
          </cell>
          <cell r="AF54">
            <v>0</v>
          </cell>
          <cell r="AG54">
            <v>0</v>
          </cell>
          <cell r="AH54">
            <v>0</v>
          </cell>
          <cell r="AI54">
            <v>5907</v>
          </cell>
          <cell r="AJ54">
            <v>0</v>
          </cell>
          <cell r="AK54">
            <v>0</v>
          </cell>
          <cell r="AL54">
            <v>0</v>
          </cell>
          <cell r="AM54">
            <v>5907</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row>
        <row r="55">
          <cell r="A55" t="str">
            <v xml:space="preserve">  - Adjustment For Straight-lining</v>
          </cell>
          <cell r="B55">
            <v>0</v>
          </cell>
          <cell r="C55">
            <v>0</v>
          </cell>
          <cell r="D55">
            <v>0</v>
          </cell>
          <cell r="E55">
            <v>0</v>
          </cell>
          <cell r="F55">
            <v>0</v>
          </cell>
          <cell r="H55">
            <v>0</v>
          </cell>
          <cell r="I55">
            <v>0</v>
          </cell>
          <cell r="J55">
            <v>-924</v>
          </cell>
          <cell r="K55">
            <v>-1162</v>
          </cell>
          <cell r="L55">
            <v>-2086</v>
          </cell>
          <cell r="N55">
            <v>-751</v>
          </cell>
          <cell r="O55">
            <v>-856</v>
          </cell>
          <cell r="P55">
            <v>-937</v>
          </cell>
          <cell r="Q55">
            <v>-863</v>
          </cell>
          <cell r="R55">
            <v>-3407</v>
          </cell>
          <cell r="T55">
            <v>-630</v>
          </cell>
          <cell r="U55">
            <v>-594</v>
          </cell>
          <cell r="V55">
            <v>-727</v>
          </cell>
          <cell r="W55">
            <v>-253</v>
          </cell>
          <cell r="X55">
            <v>-2204</v>
          </cell>
          <cell r="Y55">
            <v>-370</v>
          </cell>
          <cell r="Z55">
            <v>-513</v>
          </cell>
          <cell r="AA55">
            <v>-288</v>
          </cell>
          <cell r="AB55">
            <v>-733</v>
          </cell>
          <cell r="AC55">
            <v>-1904</v>
          </cell>
          <cell r="AD55">
            <v>-960</v>
          </cell>
          <cell r="AE55">
            <v>-777</v>
          </cell>
          <cell r="AF55">
            <v>-541</v>
          </cell>
          <cell r="AG55">
            <v>-120</v>
          </cell>
          <cell r="AH55">
            <v>-2398</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Y55" t="str">
            <v>mstag:otherFfoAdjustmentNareit</v>
          </cell>
          <cell r="BZ55">
            <v>3</v>
          </cell>
          <cell r="CA55" t="str">
            <v>ISO4217:USD</v>
          </cell>
          <cell r="CB55" t="b">
            <v>0</v>
          </cell>
          <cell r="CC55" t="b">
            <v>0</v>
          </cell>
        </row>
        <row r="56">
          <cell r="A56" t="str">
            <v xml:space="preserve">   Funds From Operations</v>
          </cell>
          <cell r="B56">
            <v>3315</v>
          </cell>
          <cell r="C56">
            <v>4569</v>
          </cell>
          <cell r="D56">
            <v>4980</v>
          </cell>
          <cell r="E56">
            <v>4733</v>
          </cell>
          <cell r="F56">
            <v>17597</v>
          </cell>
          <cell r="H56">
            <v>9444</v>
          </cell>
          <cell r="I56">
            <v>14171</v>
          </cell>
          <cell r="J56">
            <v>16702</v>
          </cell>
          <cell r="K56">
            <v>17113</v>
          </cell>
          <cell r="L56">
            <v>57430</v>
          </cell>
          <cell r="N56">
            <v>18390</v>
          </cell>
          <cell r="O56">
            <v>19071</v>
          </cell>
          <cell r="P56">
            <v>19387.125</v>
          </cell>
          <cell r="Q56">
            <v>19505.125</v>
          </cell>
          <cell r="R56">
            <v>76353.25</v>
          </cell>
          <cell r="T56">
            <v>20208</v>
          </cell>
          <cell r="U56">
            <v>21646</v>
          </cell>
          <cell r="V56">
            <v>21965</v>
          </cell>
          <cell r="W56">
            <v>22158</v>
          </cell>
          <cell r="X56">
            <v>85977</v>
          </cell>
          <cell r="Y56">
            <v>22690</v>
          </cell>
          <cell r="Z56">
            <v>23690</v>
          </cell>
          <cell r="AA56">
            <v>23669</v>
          </cell>
          <cell r="AB56">
            <v>23519</v>
          </cell>
          <cell r="AC56">
            <v>93568</v>
          </cell>
          <cell r="AD56">
            <v>25164</v>
          </cell>
          <cell r="AE56">
            <v>26177</v>
          </cell>
          <cell r="AF56">
            <v>26064</v>
          </cell>
          <cell r="AG56">
            <v>25640</v>
          </cell>
          <cell r="AH56">
            <v>103045</v>
          </cell>
          <cell r="AI56">
            <v>26284</v>
          </cell>
          <cell r="AJ56">
            <v>25780</v>
          </cell>
          <cell r="AK56">
            <v>25813</v>
          </cell>
          <cell r="AL56">
            <v>25478</v>
          </cell>
          <cell r="AM56">
            <v>103355</v>
          </cell>
          <cell r="AN56">
            <v>23447</v>
          </cell>
          <cell r="AO56">
            <v>25453</v>
          </cell>
          <cell r="AP56">
            <v>22289</v>
          </cell>
          <cell r="AQ56">
            <v>26030</v>
          </cell>
          <cell r="AR56">
            <v>97219</v>
          </cell>
          <cell r="AS56">
            <v>25881</v>
          </cell>
          <cell r="AT56">
            <v>25761</v>
          </cell>
          <cell r="AU56">
            <v>25770</v>
          </cell>
          <cell r="AV56">
            <v>25052</v>
          </cell>
          <cell r="AW56">
            <v>102464</v>
          </cell>
          <cell r="AX56">
            <v>26687</v>
          </cell>
          <cell r="AY56">
            <v>25229</v>
          </cell>
          <cell r="AZ56">
            <v>26847</v>
          </cell>
          <cell r="BA56">
            <v>27471</v>
          </cell>
          <cell r="BB56">
            <v>106234</v>
          </cell>
          <cell r="BC56">
            <v>29593</v>
          </cell>
          <cell r="BD56">
            <v>29991</v>
          </cell>
          <cell r="BE56">
            <v>31013</v>
          </cell>
          <cell r="BF56">
            <v>31808</v>
          </cell>
          <cell r="BG56">
            <v>122405</v>
          </cell>
          <cell r="BH56">
            <v>31816.058118435234</v>
          </cell>
          <cell r="BI56">
            <v>32207.798557016446</v>
          </cell>
          <cell r="BJ56">
            <v>32613.239301500558</v>
          </cell>
          <cell r="BK56">
            <v>32688.027841449839</v>
          </cell>
          <cell r="BL56">
            <v>129325.12381840206</v>
          </cell>
          <cell r="BM56">
            <v>33499.781089191172</v>
          </cell>
          <cell r="BN56">
            <v>33811.412004810605</v>
          </cell>
          <cell r="BO56">
            <v>33481.469017081588</v>
          </cell>
          <cell r="BP56">
            <v>33564.385717162906</v>
          </cell>
          <cell r="BQ56">
            <v>134357.04782824626</v>
          </cell>
          <cell r="BR56">
            <v>34213.583579004953</v>
          </cell>
          <cell r="BS56">
            <v>34487.354361368642</v>
          </cell>
          <cell r="BT56">
            <v>34249.27403225757</v>
          </cell>
          <cell r="BU56">
            <v>34437.408074286643</v>
          </cell>
          <cell r="BV56">
            <v>137387.62004691781</v>
          </cell>
        </row>
        <row r="58">
          <cell r="A58" t="str">
            <v xml:space="preserve"> - TIs &amp; Leasing Commissions</v>
          </cell>
          <cell r="B58">
            <v>0</v>
          </cell>
          <cell r="C58">
            <v>0</v>
          </cell>
          <cell r="D58">
            <v>0</v>
          </cell>
          <cell r="E58">
            <v>596</v>
          </cell>
          <cell r="F58">
            <v>1774</v>
          </cell>
          <cell r="H58">
            <v>587</v>
          </cell>
          <cell r="I58">
            <v>1391</v>
          </cell>
          <cell r="J58">
            <v>1935</v>
          </cell>
          <cell r="K58">
            <v>3324</v>
          </cell>
          <cell r="L58">
            <v>7237</v>
          </cell>
          <cell r="N58">
            <v>1751</v>
          </cell>
          <cell r="O58">
            <v>1792</v>
          </cell>
          <cell r="P58">
            <v>1793</v>
          </cell>
          <cell r="Q58">
            <v>2432</v>
          </cell>
          <cell r="R58">
            <v>7768</v>
          </cell>
          <cell r="T58">
            <v>1695</v>
          </cell>
          <cell r="U58">
            <v>1871</v>
          </cell>
          <cell r="V58">
            <v>1731</v>
          </cell>
          <cell r="W58">
            <v>3242</v>
          </cell>
          <cell r="X58">
            <v>8539</v>
          </cell>
          <cell r="Y58">
            <v>1320</v>
          </cell>
          <cell r="Z58">
            <v>1297</v>
          </cell>
          <cell r="AA58">
            <v>2140</v>
          </cell>
          <cell r="AB58">
            <v>2682</v>
          </cell>
          <cell r="AC58">
            <v>7439</v>
          </cell>
          <cell r="AD58">
            <v>3021</v>
          </cell>
          <cell r="AE58">
            <v>2723</v>
          </cell>
          <cell r="AF58">
            <v>4430</v>
          </cell>
          <cell r="AG58">
            <v>5870</v>
          </cell>
          <cell r="AH58">
            <v>16044</v>
          </cell>
          <cell r="AI58">
            <v>3914</v>
          </cell>
          <cell r="AJ58">
            <v>4644</v>
          </cell>
          <cell r="AK58">
            <v>4255</v>
          </cell>
          <cell r="AL58">
            <v>6104</v>
          </cell>
          <cell r="AM58">
            <v>18917</v>
          </cell>
          <cell r="AN58">
            <v>4239</v>
          </cell>
          <cell r="AO58">
            <v>8481</v>
          </cell>
          <cell r="AP58">
            <v>11353</v>
          </cell>
          <cell r="AQ58">
            <v>10379</v>
          </cell>
          <cell r="AR58">
            <v>34452</v>
          </cell>
          <cell r="AS58">
            <v>8001</v>
          </cell>
          <cell r="AT58">
            <v>6938</v>
          </cell>
          <cell r="AU58">
            <v>6485</v>
          </cell>
          <cell r="AV58">
            <v>6373</v>
          </cell>
          <cell r="AW58">
            <v>27797</v>
          </cell>
          <cell r="AX58">
            <v>3924</v>
          </cell>
          <cell r="AY58">
            <v>7683</v>
          </cell>
          <cell r="AZ58">
            <v>4303</v>
          </cell>
          <cell r="BA58">
            <v>6973</v>
          </cell>
          <cell r="BB58">
            <v>22883</v>
          </cell>
          <cell r="BC58">
            <v>5415</v>
          </cell>
          <cell r="BD58">
            <v>4388</v>
          </cell>
          <cell r="BE58">
            <v>5673</v>
          </cell>
          <cell r="BF58">
            <v>8228</v>
          </cell>
          <cell r="BG58">
            <v>23704</v>
          </cell>
          <cell r="BH58">
            <v>6088.3319255211381</v>
          </cell>
          <cell r="BI58">
            <v>4870.1775064542599</v>
          </cell>
          <cell r="BJ58">
            <v>6168.2521998906732</v>
          </cell>
          <cell r="BK58">
            <v>8745.0101628187404</v>
          </cell>
          <cell r="BL58">
            <v>25871.771794684813</v>
          </cell>
          <cell r="BM58">
            <v>6404.6300146935282</v>
          </cell>
          <cell r="BN58">
            <v>5142.3074156974144</v>
          </cell>
          <cell r="BO58">
            <v>6466.699737067891</v>
          </cell>
          <cell r="BP58">
            <v>9235.447638426931</v>
          </cell>
          <cell r="BQ58">
            <v>27249.084805885766</v>
          </cell>
          <cell r="BR58">
            <v>6781.4670477439413</v>
          </cell>
          <cell r="BS58">
            <v>5452.7660339854883</v>
          </cell>
          <cell r="BT58">
            <v>6866.2612466472565</v>
          </cell>
          <cell r="BU58">
            <v>9816.5422186058422</v>
          </cell>
          <cell r="BV58">
            <v>28917.036546982526</v>
          </cell>
          <cell r="BY58" t="str">
            <v>mstag:tenantImprovementsAndLeasingCommissions</v>
          </cell>
          <cell r="BZ58">
            <v>3</v>
          </cell>
          <cell r="CA58" t="str">
            <v>ISO4217:USD</v>
          </cell>
          <cell r="CB58" t="b">
            <v>0</v>
          </cell>
          <cell r="CC58" t="b">
            <v>0</v>
          </cell>
        </row>
        <row r="59">
          <cell r="A59" t="str">
            <v xml:space="preserve"> - Capital Expenditures</v>
          </cell>
          <cell r="B59">
            <v>0</v>
          </cell>
          <cell r="C59">
            <v>0</v>
          </cell>
          <cell r="D59">
            <v>0</v>
          </cell>
          <cell r="E59">
            <v>299</v>
          </cell>
          <cell r="F59">
            <v>1442</v>
          </cell>
          <cell r="H59">
            <v>270</v>
          </cell>
          <cell r="I59">
            <v>927</v>
          </cell>
          <cell r="J59">
            <v>920</v>
          </cell>
          <cell r="K59">
            <v>1259</v>
          </cell>
          <cell r="L59">
            <v>3376</v>
          </cell>
          <cell r="N59">
            <v>209</v>
          </cell>
          <cell r="O59">
            <v>1213</v>
          </cell>
          <cell r="P59">
            <v>731</v>
          </cell>
          <cell r="Q59">
            <v>1758</v>
          </cell>
          <cell r="R59">
            <v>3911</v>
          </cell>
          <cell r="T59">
            <v>532</v>
          </cell>
          <cell r="U59">
            <v>649</v>
          </cell>
          <cell r="V59">
            <v>1120</v>
          </cell>
          <cell r="W59">
            <v>927</v>
          </cell>
          <cell r="X59">
            <v>3228</v>
          </cell>
          <cell r="Y59">
            <v>573</v>
          </cell>
          <cell r="Z59">
            <v>650</v>
          </cell>
          <cell r="AA59">
            <v>1366</v>
          </cell>
          <cell r="AB59">
            <v>1613</v>
          </cell>
          <cell r="AC59">
            <v>4202</v>
          </cell>
          <cell r="AD59">
            <v>842</v>
          </cell>
          <cell r="AE59">
            <v>1776</v>
          </cell>
          <cell r="AF59">
            <v>890</v>
          </cell>
          <cell r="AG59">
            <v>2549</v>
          </cell>
          <cell r="AH59">
            <v>6057</v>
          </cell>
          <cell r="AI59">
            <v>573</v>
          </cell>
          <cell r="AJ59">
            <v>610</v>
          </cell>
          <cell r="AK59">
            <v>1614</v>
          </cell>
          <cell r="AL59">
            <v>1239</v>
          </cell>
          <cell r="AM59">
            <v>4036</v>
          </cell>
          <cell r="AN59">
            <v>880</v>
          </cell>
          <cell r="AO59">
            <v>802</v>
          </cell>
          <cell r="AP59">
            <v>3226</v>
          </cell>
          <cell r="AQ59">
            <v>3852</v>
          </cell>
          <cell r="AR59">
            <v>8760</v>
          </cell>
          <cell r="AS59">
            <v>339</v>
          </cell>
          <cell r="AT59">
            <v>1165</v>
          </cell>
          <cell r="AU59">
            <v>3385</v>
          </cell>
          <cell r="AV59">
            <v>3187</v>
          </cell>
          <cell r="AW59">
            <v>8076</v>
          </cell>
          <cell r="AX59">
            <v>1004</v>
          </cell>
          <cell r="AY59">
            <v>1859</v>
          </cell>
          <cell r="AZ59">
            <v>3548</v>
          </cell>
          <cell r="BA59">
            <v>4362</v>
          </cell>
          <cell r="BB59">
            <v>10773</v>
          </cell>
          <cell r="BC59">
            <v>1822</v>
          </cell>
          <cell r="BD59">
            <v>3069</v>
          </cell>
          <cell r="BE59">
            <v>5646</v>
          </cell>
          <cell r="BF59">
            <v>3140</v>
          </cell>
          <cell r="BG59">
            <v>13677</v>
          </cell>
          <cell r="BH59">
            <v>1967.0636578570388</v>
          </cell>
          <cell r="BI59">
            <v>3235.0668031639761</v>
          </cell>
          <cell r="BJ59">
            <v>5892.2026118845379</v>
          </cell>
          <cell r="BK59">
            <v>3242.0800481779202</v>
          </cell>
          <cell r="BL59">
            <v>14336.413121083473</v>
          </cell>
          <cell r="BM59">
            <v>2069.2556020335019</v>
          </cell>
          <cell r="BN59">
            <v>3415.8319671387699</v>
          </cell>
          <cell r="BO59">
            <v>6177.2936394688641</v>
          </cell>
          <cell r="BP59">
            <v>3423.9023130974556</v>
          </cell>
          <cell r="BQ59">
            <v>15086.283521738591</v>
          </cell>
          <cell r="BR59">
            <v>2191.0069194248726</v>
          </cell>
          <cell r="BS59">
            <v>3622.0573805757281</v>
          </cell>
          <cell r="BT59">
            <v>6558.9734563858501</v>
          </cell>
          <cell r="BU59">
            <v>3639.3343262599342</v>
          </cell>
          <cell r="BV59">
            <v>16011.372082646383</v>
          </cell>
          <cell r="BY59" t="str">
            <v>mstag:recurringButNonRevenueEnhancingCapex</v>
          </cell>
          <cell r="BZ59">
            <v>3</v>
          </cell>
          <cell r="CA59" t="str">
            <v>ISO4217:USD</v>
          </cell>
          <cell r="CB59" t="b">
            <v>0</v>
          </cell>
          <cell r="CC59" t="b">
            <v>0</v>
          </cell>
        </row>
        <row r="60">
          <cell r="A60" t="str">
            <v xml:space="preserve"> - Straight Line Rent Adjustment</v>
          </cell>
          <cell r="AD60">
            <v>960</v>
          </cell>
          <cell r="AE60">
            <v>0</v>
          </cell>
          <cell r="AF60">
            <v>0</v>
          </cell>
          <cell r="AG60">
            <v>0</v>
          </cell>
          <cell r="AH60">
            <v>960</v>
          </cell>
          <cell r="AI60">
            <v>635</v>
          </cell>
          <cell r="AJ60">
            <v>-76</v>
          </cell>
          <cell r="AK60">
            <v>793</v>
          </cell>
          <cell r="AL60">
            <v>819</v>
          </cell>
          <cell r="AM60">
            <v>2171</v>
          </cell>
          <cell r="AN60">
            <v>652</v>
          </cell>
          <cell r="AO60">
            <v>688</v>
          </cell>
          <cell r="AP60">
            <v>824</v>
          </cell>
          <cell r="AQ60">
            <v>862</v>
          </cell>
          <cell r="AR60">
            <v>3026</v>
          </cell>
          <cell r="AS60">
            <v>1149</v>
          </cell>
          <cell r="AT60">
            <v>1030</v>
          </cell>
          <cell r="AU60">
            <v>957</v>
          </cell>
          <cell r="AV60">
            <v>323</v>
          </cell>
          <cell r="AW60">
            <v>3459</v>
          </cell>
          <cell r="AX60">
            <v>536</v>
          </cell>
          <cell r="AY60">
            <v>972</v>
          </cell>
          <cell r="AZ60">
            <v>757</v>
          </cell>
          <cell r="BA60">
            <v>307</v>
          </cell>
          <cell r="BB60">
            <v>2572</v>
          </cell>
          <cell r="BC60">
            <v>181</v>
          </cell>
          <cell r="BD60">
            <v>87</v>
          </cell>
          <cell r="BE60">
            <v>230</v>
          </cell>
          <cell r="BF60">
            <v>33</v>
          </cell>
          <cell r="BG60">
            <v>531</v>
          </cell>
          <cell r="BH60">
            <v>33</v>
          </cell>
          <cell r="BI60">
            <v>33</v>
          </cell>
          <cell r="BJ60">
            <v>33</v>
          </cell>
          <cell r="BK60">
            <v>33</v>
          </cell>
          <cell r="BL60">
            <v>132</v>
          </cell>
          <cell r="BM60">
            <v>33</v>
          </cell>
          <cell r="BN60">
            <v>33</v>
          </cell>
          <cell r="BO60">
            <v>33</v>
          </cell>
          <cell r="BP60">
            <v>33</v>
          </cell>
          <cell r="BQ60">
            <v>132</v>
          </cell>
          <cell r="BR60">
            <v>33</v>
          </cell>
          <cell r="BS60">
            <v>33</v>
          </cell>
          <cell r="BT60">
            <v>33</v>
          </cell>
          <cell r="BU60">
            <v>33</v>
          </cell>
          <cell r="BV60">
            <v>132</v>
          </cell>
          <cell r="BY60" t="str">
            <v>mstag:straightLiningOfRents</v>
          </cell>
          <cell r="BZ60">
            <v>3</v>
          </cell>
          <cell r="CA60" t="str">
            <v>ISO4217:USD</v>
          </cell>
          <cell r="CB60" t="b">
            <v>0</v>
          </cell>
          <cell r="CC60" t="b">
            <v>0</v>
          </cell>
        </row>
        <row r="61">
          <cell r="A61" t="str">
            <v xml:space="preserve"> + Stock Based Comp. Expense</v>
          </cell>
          <cell r="AD61">
            <v>90</v>
          </cell>
          <cell r="AE61">
            <v>0</v>
          </cell>
          <cell r="AF61">
            <v>0</v>
          </cell>
          <cell r="AG61">
            <v>0</v>
          </cell>
          <cell r="AH61">
            <v>90</v>
          </cell>
          <cell r="AI61">
            <v>174</v>
          </cell>
          <cell r="AJ61">
            <v>279</v>
          </cell>
          <cell r="AK61">
            <v>270</v>
          </cell>
          <cell r="AL61">
            <v>268</v>
          </cell>
          <cell r="AM61">
            <v>991</v>
          </cell>
          <cell r="AN61">
            <v>322</v>
          </cell>
          <cell r="AO61">
            <v>291</v>
          </cell>
          <cell r="AP61">
            <v>276</v>
          </cell>
          <cell r="AQ61">
            <v>65</v>
          </cell>
          <cell r="AR61">
            <v>954</v>
          </cell>
          <cell r="AS61">
            <v>127</v>
          </cell>
          <cell r="AT61">
            <v>306</v>
          </cell>
          <cell r="AU61">
            <v>315</v>
          </cell>
          <cell r="AV61">
            <v>311</v>
          </cell>
          <cell r="AW61">
            <v>1059</v>
          </cell>
          <cell r="AX61">
            <v>526</v>
          </cell>
          <cell r="AY61">
            <v>719</v>
          </cell>
          <cell r="AZ61">
            <v>762</v>
          </cell>
          <cell r="BA61">
            <v>796</v>
          </cell>
          <cell r="BB61">
            <v>2803</v>
          </cell>
          <cell r="BC61">
            <v>638</v>
          </cell>
          <cell r="BD61">
            <v>1065</v>
          </cell>
          <cell r="BE61">
            <v>1042</v>
          </cell>
          <cell r="BF61">
            <v>978</v>
          </cell>
          <cell r="BG61">
            <v>3723</v>
          </cell>
          <cell r="BH61">
            <v>978</v>
          </cell>
          <cell r="BI61">
            <v>978</v>
          </cell>
          <cell r="BJ61">
            <v>978</v>
          </cell>
          <cell r="BK61">
            <v>978</v>
          </cell>
          <cell r="BL61">
            <v>3912</v>
          </cell>
          <cell r="BM61">
            <v>978</v>
          </cell>
          <cell r="BN61">
            <v>978</v>
          </cell>
          <cell r="BO61">
            <v>978</v>
          </cell>
          <cell r="BP61">
            <v>978</v>
          </cell>
          <cell r="BQ61">
            <v>3912</v>
          </cell>
          <cell r="BR61">
            <v>978</v>
          </cell>
          <cell r="BS61">
            <v>978</v>
          </cell>
          <cell r="BT61">
            <v>978</v>
          </cell>
          <cell r="BU61">
            <v>978</v>
          </cell>
          <cell r="BV61">
            <v>3912</v>
          </cell>
          <cell r="BY61" t="str">
            <v>mstag:otherFfoAdjustmentAffo</v>
          </cell>
          <cell r="BZ61">
            <v>3</v>
          </cell>
          <cell r="CA61" t="str">
            <v>ISO4217:USD</v>
          </cell>
          <cell r="CB61" t="b">
            <v>0</v>
          </cell>
          <cell r="CC61" t="b">
            <v>0</v>
          </cell>
        </row>
        <row r="62">
          <cell r="A62" t="str">
            <v xml:space="preserve"> + Impact of EITF D-42</v>
          </cell>
          <cell r="AM62">
            <v>0</v>
          </cell>
          <cell r="AN62">
            <v>2133</v>
          </cell>
          <cell r="AO62">
            <v>0</v>
          </cell>
          <cell r="AP62">
            <v>2872</v>
          </cell>
          <cell r="AQ62">
            <v>0</v>
          </cell>
          <cell r="AR62">
            <v>5005</v>
          </cell>
          <cell r="AS62">
            <v>0</v>
          </cell>
          <cell r="AT62">
            <v>301</v>
          </cell>
          <cell r="AU62">
            <v>0</v>
          </cell>
          <cell r="AV62">
            <v>0</v>
          </cell>
          <cell r="AW62">
            <v>301</v>
          </cell>
          <cell r="AX62">
            <v>0</v>
          </cell>
          <cell r="AY62">
            <v>1658</v>
          </cell>
          <cell r="AZ62">
            <v>1366</v>
          </cell>
          <cell r="BA62">
            <v>1722</v>
          </cell>
          <cell r="BB62">
            <v>4746</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Y62" t="str">
            <v>mstag:otherFfoAdjustmentAffo</v>
          </cell>
          <cell r="BZ62">
            <v>3</v>
          </cell>
          <cell r="CA62" t="str">
            <v>ISO4217:USD</v>
          </cell>
          <cell r="CB62" t="b">
            <v>0</v>
          </cell>
          <cell r="CC62" t="b">
            <v>0</v>
          </cell>
        </row>
        <row r="63">
          <cell r="A63" t="str">
            <v xml:space="preserve">   Adjusted Funds From Operations</v>
          </cell>
          <cell r="B63">
            <v>3315</v>
          </cell>
          <cell r="C63">
            <v>4569</v>
          </cell>
          <cell r="D63">
            <v>4980</v>
          </cell>
          <cell r="E63">
            <v>3838</v>
          </cell>
          <cell r="F63">
            <v>14381</v>
          </cell>
          <cell r="H63">
            <v>8587</v>
          </cell>
          <cell r="I63">
            <v>11853</v>
          </cell>
          <cell r="J63">
            <v>13847</v>
          </cell>
          <cell r="K63">
            <v>12530</v>
          </cell>
          <cell r="L63">
            <v>46817</v>
          </cell>
          <cell r="N63">
            <v>16430</v>
          </cell>
          <cell r="O63">
            <v>16066</v>
          </cell>
          <cell r="P63">
            <v>16863.125</v>
          </cell>
          <cell r="Q63">
            <v>15315.125</v>
          </cell>
          <cell r="R63">
            <v>64674.25</v>
          </cell>
          <cell r="T63">
            <v>17981</v>
          </cell>
          <cell r="U63">
            <v>19126</v>
          </cell>
          <cell r="V63">
            <v>19114</v>
          </cell>
          <cell r="W63">
            <v>17989</v>
          </cell>
          <cell r="X63">
            <v>74210</v>
          </cell>
          <cell r="Y63">
            <v>20797</v>
          </cell>
          <cell r="Z63">
            <v>21743</v>
          </cell>
          <cell r="AA63">
            <v>20163</v>
          </cell>
          <cell r="AB63">
            <v>19224</v>
          </cell>
          <cell r="AC63">
            <v>81927</v>
          </cell>
          <cell r="AD63">
            <v>20431</v>
          </cell>
          <cell r="AE63">
            <v>21678</v>
          </cell>
          <cell r="AF63">
            <v>20744</v>
          </cell>
          <cell r="AG63">
            <v>17221</v>
          </cell>
          <cell r="AH63">
            <v>80074</v>
          </cell>
          <cell r="AI63">
            <v>21336</v>
          </cell>
          <cell r="AJ63">
            <v>20881</v>
          </cell>
          <cell r="AK63">
            <v>19421</v>
          </cell>
          <cell r="AL63">
            <v>17584</v>
          </cell>
          <cell r="AM63">
            <v>79222</v>
          </cell>
          <cell r="AN63">
            <v>20131</v>
          </cell>
          <cell r="AO63">
            <v>15773</v>
          </cell>
          <cell r="AP63">
            <v>10034</v>
          </cell>
          <cell r="AQ63">
            <v>11002</v>
          </cell>
          <cell r="AR63">
            <v>56940</v>
          </cell>
          <cell r="AS63">
            <v>16519</v>
          </cell>
          <cell r="AT63">
            <v>17235</v>
          </cell>
          <cell r="AU63">
            <v>15258</v>
          </cell>
          <cell r="AV63">
            <v>15480</v>
          </cell>
          <cell r="AW63">
            <v>64492</v>
          </cell>
          <cell r="AX63">
            <v>21749</v>
          </cell>
          <cell r="AY63">
            <v>17092</v>
          </cell>
          <cell r="AZ63">
            <v>20367</v>
          </cell>
          <cell r="BA63">
            <v>18347</v>
          </cell>
          <cell r="BB63">
            <v>77555</v>
          </cell>
          <cell r="BC63">
            <v>22813</v>
          </cell>
          <cell r="BD63">
            <v>23512</v>
          </cell>
          <cell r="BE63">
            <v>20506</v>
          </cell>
          <cell r="BF63">
            <v>21385</v>
          </cell>
          <cell r="BG63">
            <v>88216</v>
          </cell>
          <cell r="BH63">
            <v>24705.662535057058</v>
          </cell>
          <cell r="BI63">
            <v>25047.55424739821</v>
          </cell>
          <cell r="BJ63">
            <v>21497.784489725345</v>
          </cell>
          <cell r="BK63">
            <v>21645.93763045318</v>
          </cell>
          <cell r="BL63">
            <v>92896.938902633774</v>
          </cell>
          <cell r="BM63">
            <v>25970.895472464141</v>
          </cell>
          <cell r="BN63">
            <v>26198.272621974422</v>
          </cell>
          <cell r="BO63">
            <v>21782.475640544835</v>
          </cell>
          <cell r="BP63">
            <v>21850.03576563852</v>
          </cell>
          <cell r="BQ63">
            <v>95801.679500621904</v>
          </cell>
          <cell r="BR63">
            <v>26186.109611836138</v>
          </cell>
          <cell r="BS63">
            <v>26357.530946807427</v>
          </cell>
          <cell r="BT63">
            <v>21769.039329224463</v>
          </cell>
          <cell r="BU63">
            <v>21926.531529420867</v>
          </cell>
          <cell r="BV63">
            <v>96239.211417288898</v>
          </cell>
        </row>
        <row r="64">
          <cell r="AD64">
            <v>2.1948796331677491</v>
          </cell>
          <cell r="AE64">
            <v>2.1406377759607524</v>
          </cell>
          <cell r="AI64">
            <v>-0.05</v>
          </cell>
          <cell r="AN64">
            <v>0.01</v>
          </cell>
        </row>
        <row r="66">
          <cell r="A66" t="str">
            <v>Diluted GAAP EPS before gains</v>
          </cell>
          <cell r="Y66">
            <v>0.44066328960471057</v>
          </cell>
          <cell r="Z66">
            <v>0.48328173374613004</v>
          </cell>
          <cell r="AA66">
            <v>0.44897959183673469</v>
          </cell>
          <cell r="AB66">
            <v>0.45574405310713628</v>
          </cell>
          <cell r="AC66">
            <v>1.8275462447069311</v>
          </cell>
          <cell r="AD66">
            <v>0.35512513801987489</v>
          </cell>
          <cell r="AE66">
            <v>0.4375888802238635</v>
          </cell>
          <cell r="AF66">
            <v>0.38066072754268743</v>
          </cell>
          <cell r="AG66">
            <v>0.36198407951042194</v>
          </cell>
          <cell r="AH66">
            <v>1.5328611507151726</v>
          </cell>
          <cell r="AI66">
            <v>0.26965613382899628</v>
          </cell>
          <cell r="AJ66">
            <v>0.44263897942080266</v>
          </cell>
          <cell r="AK66">
            <v>0.35980940926122956</v>
          </cell>
          <cell r="AL66">
            <v>0.33673422491842459</v>
          </cell>
          <cell r="AM66">
            <v>1.4085257137564544</v>
          </cell>
          <cell r="AN66">
            <v>0.19092662319772247</v>
          </cell>
          <cell r="AO66">
            <v>0.244140625</v>
          </cell>
          <cell r="AP66">
            <v>0.11525685944396415</v>
          </cell>
          <cell r="AQ66">
            <v>7.2523075524030367E-2</v>
          </cell>
          <cell r="AR66">
            <v>0.62262431065129209</v>
          </cell>
          <cell r="AS66">
            <v>0.20034526621842633</v>
          </cell>
          <cell r="AT66">
            <v>0.2158972263834037</v>
          </cell>
          <cell r="AU66">
            <v>7.5578756241488881E-2</v>
          </cell>
          <cell r="AV66">
            <v>0.15250912408759124</v>
          </cell>
          <cell r="AW66">
            <v>0.64374602597874464</v>
          </cell>
          <cell r="AX66">
            <v>0.20043302008476138</v>
          </cell>
          <cell r="AY66">
            <v>0.12870048644892287</v>
          </cell>
          <cell r="AZ66">
            <v>0.1610259734246956</v>
          </cell>
          <cell r="BA66">
            <v>0.17132834856457121</v>
          </cell>
          <cell r="BB66">
            <v>0.66170660135400539</v>
          </cell>
          <cell r="BC66">
            <v>0.27786639144304748</v>
          </cell>
          <cell r="BD66">
            <v>0.17439232507725658</v>
          </cell>
          <cell r="BE66">
            <v>0.19990630124150854</v>
          </cell>
          <cell r="BF66">
            <v>0.1746363678609601</v>
          </cell>
          <cell r="BG66">
            <v>0.82593960005124567</v>
          </cell>
          <cell r="BH66">
            <v>0.15460212530818765</v>
          </cell>
          <cell r="BI66">
            <v>0.14446119553783604</v>
          </cell>
          <cell r="BJ66">
            <v>0.13312850798964215</v>
          </cell>
          <cell r="BK66">
            <v>0.10531705692236291</v>
          </cell>
          <cell r="BL66">
            <v>0.53750888575802913</v>
          </cell>
          <cell r="BM66">
            <v>0.10163653690646986</v>
          </cell>
          <cell r="BN66">
            <v>6.6334721473799277E-2</v>
          </cell>
          <cell r="BO66">
            <v>2.7445181630001987E-4</v>
          </cell>
          <cell r="BP66">
            <v>-4.9025547283605413E-2</v>
          </cell>
          <cell r="BQ66">
            <v>0.11922016291296399</v>
          </cell>
          <cell r="BR66">
            <v>-7.1360697535687509E-2</v>
          </cell>
          <cell r="BS66">
            <v>-0.1089910216919802</v>
          </cell>
          <cell r="BT66">
            <v>-0.17147367934048668</v>
          </cell>
          <cell r="BU66">
            <v>-0.21671460216691202</v>
          </cell>
          <cell r="BV66">
            <v>-0.56854000073506838</v>
          </cell>
        </row>
        <row r="67">
          <cell r="A67" t="str">
            <v>Diluted EPS before Extraordinary</v>
          </cell>
          <cell r="E67">
            <v>0.27779088978050509</v>
          </cell>
          <cell r="F67">
            <v>1.2259507829977629</v>
          </cell>
          <cell r="H67">
            <v>0.38126144884985835</v>
          </cell>
          <cell r="I67">
            <v>0.3765784655694191</v>
          </cell>
          <cell r="J67">
            <v>0.41138183995634325</v>
          </cell>
          <cell r="K67">
            <v>0.3492130469640069</v>
          </cell>
          <cell r="L67">
            <v>1.5132019146636471</v>
          </cell>
          <cell r="N67">
            <v>0.39831259228010968</v>
          </cell>
          <cell r="O67">
            <v>0.39606173047731491</v>
          </cell>
          <cell r="P67">
            <v>0.39551192884842351</v>
          </cell>
          <cell r="Q67">
            <v>0.40630800708741138</v>
          </cell>
          <cell r="R67">
            <v>1.5961897331548041</v>
          </cell>
          <cell r="T67">
            <v>0.40058368227382313</v>
          </cell>
          <cell r="U67">
            <v>0.43843123822572361</v>
          </cell>
          <cell r="V67">
            <v>0.44119046589090277</v>
          </cell>
          <cell r="W67">
            <v>0.69766339023969648</v>
          </cell>
          <cell r="X67">
            <v>1.9758659122085047</v>
          </cell>
          <cell r="Y67">
            <v>0.44131272459626791</v>
          </cell>
          <cell r="Z67">
            <v>0.48328173374613004</v>
          </cell>
          <cell r="AA67">
            <v>0.44897959183673469</v>
          </cell>
          <cell r="AB67">
            <v>0.45574405310713628</v>
          </cell>
          <cell r="AC67">
            <v>1.8282148428794294</v>
          </cell>
          <cell r="AD67">
            <v>0.60199668752300328</v>
          </cell>
          <cell r="AE67">
            <v>0.4375888802238635</v>
          </cell>
          <cell r="AF67">
            <v>0.45986451373422421</v>
          </cell>
          <cell r="AG67">
            <v>0.4363410481755855</v>
          </cell>
          <cell r="AH67">
            <v>1.9324840178448237</v>
          </cell>
          <cell r="AI67">
            <v>0.26965613382899628</v>
          </cell>
          <cell r="AJ67">
            <v>0.60485147592885746</v>
          </cell>
          <cell r="AK67">
            <v>0.3604570476939446</v>
          </cell>
          <cell r="AL67">
            <v>0.30911347028815661</v>
          </cell>
          <cell r="AM67">
            <v>1.5426864565725797</v>
          </cell>
          <cell r="AN67">
            <v>0.19092662319772247</v>
          </cell>
          <cell r="AO67">
            <v>0.23650981104651161</v>
          </cell>
          <cell r="AP67">
            <v>0.12949902170450925</v>
          </cell>
          <cell r="AQ67">
            <v>0.76897194561906057</v>
          </cell>
          <cell r="AR67">
            <v>1.3273323914133357</v>
          </cell>
          <cell r="AS67">
            <v>0.33272760312556787</v>
          </cell>
          <cell r="AT67">
            <v>0.2620182486722048</v>
          </cell>
          <cell r="AU67">
            <v>0.64748070812528369</v>
          </cell>
          <cell r="AV67">
            <v>0.22458941605839416</v>
          </cell>
          <cell r="AW67">
            <v>1.4662094649831956</v>
          </cell>
          <cell r="AX67">
            <v>0.2331859222406486</v>
          </cell>
          <cell r="AY67">
            <v>0.20361362056984017</v>
          </cell>
          <cell r="AZ67">
            <v>0.1610259734246956</v>
          </cell>
          <cell r="BA67">
            <v>0.17132834856457121</v>
          </cell>
          <cell r="BB67">
            <v>0.76928764527831051</v>
          </cell>
          <cell r="BC67">
            <v>0.27786639144304748</v>
          </cell>
          <cell r="BD67">
            <v>0.17439232507725658</v>
          </cell>
          <cell r="BE67">
            <v>0.19990630124150854</v>
          </cell>
          <cell r="BF67">
            <v>0.1746363678609601</v>
          </cell>
          <cell r="BG67">
            <v>0.82593960005124567</v>
          </cell>
          <cell r="BH67">
            <v>0.15460212530818765</v>
          </cell>
          <cell r="BI67">
            <v>0.14446119553783604</v>
          </cell>
          <cell r="BJ67">
            <v>0.13312850798964215</v>
          </cell>
          <cell r="BK67">
            <v>0.10531705692236291</v>
          </cell>
          <cell r="BL67">
            <v>0.53750888575802913</v>
          </cell>
          <cell r="BM67">
            <v>0.10163653690646986</v>
          </cell>
          <cell r="BN67">
            <v>6.6334721473799277E-2</v>
          </cell>
          <cell r="BO67">
            <v>2.7445181630001987E-4</v>
          </cell>
          <cell r="BP67">
            <v>-4.9025547283605413E-2</v>
          </cell>
          <cell r="BQ67">
            <v>0.11922016291296399</v>
          </cell>
          <cell r="BR67">
            <v>-7.1360697535687509E-2</v>
          </cell>
          <cell r="BS67">
            <v>-0.1089910216919802</v>
          </cell>
          <cell r="BT67">
            <v>-0.17147367934048668</v>
          </cell>
          <cell r="BU67">
            <v>-0.21671460216691202</v>
          </cell>
          <cell r="BV67">
            <v>-0.56854000073506838</v>
          </cell>
        </row>
        <row r="68">
          <cell r="A68" t="str">
            <v>Diluted EPS after Extraordinary</v>
          </cell>
          <cell r="E68">
            <v>0.27779088978050509</v>
          </cell>
          <cell r="F68">
            <v>1.2259507829977629</v>
          </cell>
          <cell r="H68">
            <v>0.38126144884985835</v>
          </cell>
          <cell r="I68">
            <v>0.3765784655694191</v>
          </cell>
          <cell r="J68">
            <v>0.41138183995634325</v>
          </cell>
          <cell r="K68">
            <v>0.3492130469640069</v>
          </cell>
          <cell r="L68">
            <v>1.5132019146636471</v>
          </cell>
          <cell r="N68">
            <v>0.39831259228010968</v>
          </cell>
          <cell r="O68">
            <v>0.39606173047731491</v>
          </cell>
          <cell r="P68">
            <v>0.39551192884842351</v>
          </cell>
          <cell r="Q68">
            <v>0.40630800708741138</v>
          </cell>
          <cell r="R68">
            <v>1.5961897331548041</v>
          </cell>
          <cell r="T68">
            <v>0.40058368227382313</v>
          </cell>
          <cell r="U68">
            <v>0.43843123822572361</v>
          </cell>
          <cell r="V68">
            <v>0.44119046589090277</v>
          </cell>
          <cell r="W68">
            <v>0.69766339023969648</v>
          </cell>
          <cell r="X68">
            <v>1.9758659122085047</v>
          </cell>
          <cell r="Y68">
            <v>0.44131272459626791</v>
          </cell>
          <cell r="Z68">
            <v>0.48328173374613004</v>
          </cell>
          <cell r="AA68">
            <v>0.44897959183673469</v>
          </cell>
          <cell r="AB68">
            <v>0.45574405310713628</v>
          </cell>
          <cell r="AC68">
            <v>1.8282148428794294</v>
          </cell>
          <cell r="AD68">
            <v>0.60199668752300328</v>
          </cell>
          <cell r="AE68">
            <v>0.4375888802238635</v>
          </cell>
          <cell r="AF68">
            <v>0.45986451373422421</v>
          </cell>
          <cell r="AG68">
            <v>0.4363410481755855</v>
          </cell>
          <cell r="AH68">
            <v>1.9324840178448237</v>
          </cell>
          <cell r="AI68">
            <v>0.26965613382899628</v>
          </cell>
          <cell r="AJ68">
            <v>0.60485147592885746</v>
          </cell>
          <cell r="AK68">
            <v>0.3604570476939446</v>
          </cell>
          <cell r="AL68">
            <v>0.30911347028815661</v>
          </cell>
          <cell r="AM68">
            <v>1.5426864565725797</v>
          </cell>
          <cell r="AN68">
            <v>0.19092662319772247</v>
          </cell>
          <cell r="AO68">
            <v>0.23650981104651161</v>
          </cell>
          <cell r="AP68">
            <v>0.12949902170450925</v>
          </cell>
          <cell r="AQ68">
            <v>0.76897194561906057</v>
          </cell>
          <cell r="AR68">
            <v>1.3273323914133357</v>
          </cell>
          <cell r="AS68">
            <v>0.33272760312556787</v>
          </cell>
          <cell r="AT68">
            <v>0.2620182486722048</v>
          </cell>
          <cell r="AU68">
            <v>0.64748070812528369</v>
          </cell>
          <cell r="AV68">
            <v>0.22458941605839416</v>
          </cell>
          <cell r="AW68">
            <v>1.4662094649831956</v>
          </cell>
          <cell r="AX68">
            <v>0.2331859222406486</v>
          </cell>
          <cell r="AY68">
            <v>0.20361362056984017</v>
          </cell>
          <cell r="AZ68">
            <v>0.1610259734246956</v>
          </cell>
          <cell r="BA68">
            <v>0.17132834856457121</v>
          </cell>
          <cell r="BB68">
            <v>0.76928764527831051</v>
          </cell>
          <cell r="BC68">
            <v>0.27786639144304748</v>
          </cell>
          <cell r="BD68">
            <v>0.17439232507725658</v>
          </cell>
          <cell r="BE68">
            <v>0.19990630124150854</v>
          </cell>
          <cell r="BF68">
            <v>0.1746363678609601</v>
          </cell>
          <cell r="BG68">
            <v>0.82593960005124567</v>
          </cell>
          <cell r="BH68">
            <v>0.15460212530818765</v>
          </cell>
          <cell r="BI68">
            <v>0.14446119553783604</v>
          </cell>
          <cell r="BJ68">
            <v>0.13312850798964215</v>
          </cell>
          <cell r="BK68">
            <v>0.10531705692236291</v>
          </cell>
          <cell r="BL68">
            <v>0.53750888575802913</v>
          </cell>
          <cell r="BM68">
            <v>0.10163653690646986</v>
          </cell>
          <cell r="BN68">
            <v>6.6334721473799277E-2</v>
          </cell>
          <cell r="BO68">
            <v>2.7445181630001987E-4</v>
          </cell>
          <cell r="BP68">
            <v>-4.9025547283605413E-2</v>
          </cell>
          <cell r="BQ68">
            <v>0.11922016291296399</v>
          </cell>
          <cell r="BR68">
            <v>-7.1360697535687509E-2</v>
          </cell>
          <cell r="BS68">
            <v>-0.1089910216919802</v>
          </cell>
          <cell r="BT68">
            <v>-0.17147367934048668</v>
          </cell>
          <cell r="BU68">
            <v>-0.21671460216691202</v>
          </cell>
          <cell r="BV68">
            <v>-0.56854000073506838</v>
          </cell>
        </row>
        <row r="69">
          <cell r="A69" t="str">
            <v>Normalized EPS</v>
          </cell>
          <cell r="E69">
            <v>0.27779088978050509</v>
          </cell>
          <cell r="F69">
            <v>1.2259507829977629</v>
          </cell>
          <cell r="H69">
            <v>0.38126144884985835</v>
          </cell>
          <cell r="I69">
            <v>0.3765784655694191</v>
          </cell>
          <cell r="J69">
            <v>0.41138183995634325</v>
          </cell>
          <cell r="K69">
            <v>0.3492130469640069</v>
          </cell>
          <cell r="L69">
            <v>1.5132019146636471</v>
          </cell>
          <cell r="N69">
            <v>0.39831259228010968</v>
          </cell>
          <cell r="O69">
            <v>0.39606173047731491</v>
          </cell>
          <cell r="P69">
            <v>0.39551192884842351</v>
          </cell>
          <cell r="Q69">
            <v>0.40630800708741138</v>
          </cell>
          <cell r="R69">
            <v>1.5961897331548041</v>
          </cell>
          <cell r="T69">
            <v>0.52709047075244253</v>
          </cell>
          <cell r="U69">
            <v>0.57124507621168008</v>
          </cell>
          <cell r="V69">
            <v>0.57286845178872692</v>
          </cell>
          <cell r="W69">
            <v>0.58186756337299539</v>
          </cell>
          <cell r="X69">
            <v>2.2530715621258448</v>
          </cell>
          <cell r="Y69">
            <v>0.44066328960471057</v>
          </cell>
          <cell r="Z69">
            <v>0.48328173374613004</v>
          </cell>
          <cell r="AA69">
            <v>0.44897959183673469</v>
          </cell>
          <cell r="AB69">
            <v>0.45574405310713628</v>
          </cell>
          <cell r="AC69">
            <v>1.8275462447069311</v>
          </cell>
          <cell r="AD69">
            <v>0.35512513801987489</v>
          </cell>
          <cell r="AE69">
            <v>0.4375888802238635</v>
          </cell>
          <cell r="AF69">
            <v>0.38066072754268743</v>
          </cell>
          <cell r="AG69">
            <v>0.36198407951042194</v>
          </cell>
          <cell r="AH69">
            <v>1.5328611507151726</v>
          </cell>
          <cell r="AI69">
            <v>0.26965613382899628</v>
          </cell>
          <cell r="AJ69">
            <v>0.44263897942080266</v>
          </cell>
          <cell r="AK69">
            <v>0.35980940926122956</v>
          </cell>
          <cell r="AL69">
            <v>0.33673422491842459</v>
          </cell>
          <cell r="AM69">
            <v>1.4085257137564544</v>
          </cell>
          <cell r="AN69">
            <v>0.19092662319772247</v>
          </cell>
          <cell r="AO69">
            <v>0.244140625</v>
          </cell>
          <cell r="AP69">
            <v>0.11525685944396415</v>
          </cell>
          <cell r="AQ69">
            <v>7.2523075524030367E-2</v>
          </cell>
          <cell r="AR69">
            <v>0.62262431065129209</v>
          </cell>
          <cell r="AS69">
            <v>0.20034526621842633</v>
          </cell>
          <cell r="AT69">
            <v>0.2158972263834037</v>
          </cell>
          <cell r="AU69">
            <v>7.5578756241488881E-2</v>
          </cell>
          <cell r="AV69">
            <v>0.15250912408759124</v>
          </cell>
          <cell r="AW69">
            <v>0.64374602597874464</v>
          </cell>
          <cell r="AX69">
            <v>0.20043302008476138</v>
          </cell>
          <cell r="AY69">
            <v>0.12870048644892287</v>
          </cell>
          <cell r="AZ69">
            <v>0.1610259734246956</v>
          </cell>
          <cell r="BA69">
            <v>0.17132834856457121</v>
          </cell>
          <cell r="BB69">
            <v>0.66170660135400539</v>
          </cell>
          <cell r="BC69">
            <v>0.27786639144304748</v>
          </cell>
          <cell r="BD69">
            <v>0.17439232507725658</v>
          </cell>
          <cell r="BE69">
            <v>0.19990630124150854</v>
          </cell>
          <cell r="BF69">
            <v>0.1746363678609601</v>
          </cell>
          <cell r="BG69">
            <v>0.82593960005124567</v>
          </cell>
          <cell r="BH69">
            <v>0.15460212530818765</v>
          </cell>
          <cell r="BI69">
            <v>0.14446119553783604</v>
          </cell>
          <cell r="BJ69">
            <v>0.13312850798964215</v>
          </cell>
          <cell r="BK69">
            <v>0.10531705692236291</v>
          </cell>
          <cell r="BL69">
            <v>0.53750888575802913</v>
          </cell>
          <cell r="BM69">
            <v>0.10163653690646986</v>
          </cell>
          <cell r="BN69">
            <v>6.6334721473799277E-2</v>
          </cell>
          <cell r="BO69">
            <v>2.7445181630001987E-4</v>
          </cell>
          <cell r="BP69">
            <v>-4.9025547283605413E-2</v>
          </cell>
          <cell r="BQ69">
            <v>0.11922016291296399</v>
          </cell>
          <cell r="BR69">
            <v>-7.1360697535687509E-2</v>
          </cell>
          <cell r="BS69">
            <v>-0.1089910216919802</v>
          </cell>
          <cell r="BT69">
            <v>-0.17147367934048668</v>
          </cell>
          <cell r="BU69">
            <v>-0.21671460216691202</v>
          </cell>
          <cell r="BV69">
            <v>-0.56854000073506838</v>
          </cell>
        </row>
        <row r="71">
          <cell r="A71" t="str">
            <v xml:space="preserve">FFO Per Share - Diluted </v>
          </cell>
          <cell r="B71">
            <v>1.5117326873545271</v>
          </cell>
          <cell r="C71">
            <v>2.0789169429683332</v>
          </cell>
          <cell r="D71">
            <v>1.4005377727568404</v>
          </cell>
          <cell r="E71">
            <v>0.40463366675215867</v>
          </cell>
          <cell r="F71">
            <v>1.74400396432111</v>
          </cell>
          <cell r="H71">
            <v>0.50472886696386021</v>
          </cell>
          <cell r="I71">
            <v>0.54250172347947156</v>
          </cell>
          <cell r="J71">
            <v>0.53721891014423506</v>
          </cell>
          <cell r="K71">
            <v>0.55025723472668808</v>
          </cell>
          <cell r="L71">
            <v>2.146467356414747</v>
          </cell>
          <cell r="N71">
            <v>0.59223238438747905</v>
          </cell>
          <cell r="O71">
            <v>0.61260479907487708</v>
          </cell>
          <cell r="P71">
            <v>0.62360079127665735</v>
          </cell>
          <cell r="Q71">
            <v>0.62622804764503803</v>
          </cell>
          <cell r="R71">
            <v>2.4546660223840515</v>
          </cell>
          <cell r="T71">
            <v>0.65006755452615328</v>
          </cell>
          <cell r="U71">
            <v>0.70361461448446239</v>
          </cell>
          <cell r="V71">
            <v>0.7189382037182509</v>
          </cell>
          <cell r="W71">
            <v>0.7257303812393554</v>
          </cell>
          <cell r="X71">
            <v>2.7975010981502271</v>
          </cell>
          <cell r="Y71">
            <v>0.74623429586265866</v>
          </cell>
          <cell r="Z71">
            <v>0.79008804695837775</v>
          </cell>
          <cell r="AA71">
            <v>0.79962837837837841</v>
          </cell>
          <cell r="AB71">
            <v>0.8110839052315757</v>
          </cell>
          <cell r="AC71">
            <v>3.1454864817164903</v>
          </cell>
          <cell r="AD71">
            <v>0.86649908749698701</v>
          </cell>
          <cell r="AE71">
            <v>0.89942963166575041</v>
          </cell>
          <cell r="AF71">
            <v>0.89637858100904499</v>
          </cell>
          <cell r="AG71">
            <v>0.882980921551071</v>
          </cell>
          <cell r="AH71">
            <v>3.5474042963370973</v>
          </cell>
          <cell r="AI71">
            <v>0.91184735472679967</v>
          </cell>
          <cell r="AJ71">
            <v>0.89566758155855886</v>
          </cell>
          <cell r="AK71">
            <v>0.89250397621188027</v>
          </cell>
          <cell r="AL71">
            <v>0.87661712083677401</v>
          </cell>
          <cell r="AM71">
            <v>3.5764832084710281</v>
          </cell>
          <cell r="AN71">
            <v>0.80620981329298902</v>
          </cell>
          <cell r="AO71">
            <v>0.8680808976501484</v>
          </cell>
          <cell r="AP71">
            <v>0.76118434533160306</v>
          </cell>
          <cell r="AQ71">
            <v>0.88845654993514911</v>
          </cell>
          <cell r="AR71">
            <v>3.3241810845927646</v>
          </cell>
          <cell r="AS71">
            <v>0.88279837636865988</v>
          </cell>
          <cell r="AT71">
            <v>0.87819595009204332</v>
          </cell>
          <cell r="AU71">
            <v>0.8784728140446566</v>
          </cell>
          <cell r="AV71">
            <v>0.8572112917023097</v>
          </cell>
          <cell r="AW71">
            <v>3.4943218633836919</v>
          </cell>
          <cell r="AX71">
            <v>0.91982904215351735</v>
          </cell>
          <cell r="AY71">
            <v>0.87327795084804427</v>
          </cell>
          <cell r="AZ71">
            <v>0.92883337946305011</v>
          </cell>
          <cell r="BA71">
            <v>0.94999481273991082</v>
          </cell>
          <cell r="BB71">
            <v>3.6719781549203279</v>
          </cell>
          <cell r="BC71">
            <v>1.0206242455595793</v>
          </cell>
          <cell r="BD71">
            <v>1.0346719105775202</v>
          </cell>
          <cell r="BE71">
            <v>1.0723349815013312</v>
          </cell>
          <cell r="BF71">
            <v>1.1035248404107687</v>
          </cell>
          <cell r="BG71">
            <v>4.2308556417745367</v>
          </cell>
          <cell r="BH71">
            <v>1.0976353452851457</v>
          </cell>
          <cell r="BI71">
            <v>1.1111501606643361</v>
          </cell>
          <cell r="BJ71">
            <v>1.1251376285620838</v>
          </cell>
          <cell r="BK71">
            <v>1.1277177893276009</v>
          </cell>
          <cell r="BL71">
            <v>4.4616409238391661</v>
          </cell>
          <cell r="BM71">
            <v>1.1557228002894906</v>
          </cell>
          <cell r="BN71">
            <v>1.166473884109936</v>
          </cell>
          <cell r="BO71">
            <v>1.1550910445415576</v>
          </cell>
          <cell r="BP71">
            <v>1.1579516220645452</v>
          </cell>
          <cell r="BQ71">
            <v>4.635239351005529</v>
          </cell>
          <cell r="BR71">
            <v>1.1803485675500225</v>
          </cell>
          <cell r="BS71">
            <v>1.1897934989777355</v>
          </cell>
          <cell r="BT71">
            <v>1.1815798672551427</v>
          </cell>
          <cell r="BU71">
            <v>1.188070381366406</v>
          </cell>
          <cell r="BV71">
            <v>4.7397923151493071</v>
          </cell>
        </row>
        <row r="73">
          <cell r="A73" t="str">
            <v>Adjusted FFO Per Share - Diluted</v>
          </cell>
          <cell r="B73">
            <v>1.5117326873545271</v>
          </cell>
          <cell r="C73">
            <v>2.0789169429683332</v>
          </cell>
          <cell r="D73">
            <v>1.4005377727568404</v>
          </cell>
          <cell r="E73">
            <v>0.32811832093699239</v>
          </cell>
          <cell r="F73">
            <v>1.4252725470763132</v>
          </cell>
          <cell r="H73">
            <v>0.45892702039587757</v>
          </cell>
          <cell r="I73">
            <v>0.45376282043625543</v>
          </cell>
          <cell r="J73">
            <v>0.44538799238218313</v>
          </cell>
          <cell r="K73">
            <v>0.40289389067524117</v>
          </cell>
          <cell r="L73">
            <v>1.7498025809728228</v>
          </cell>
          <cell r="N73">
            <v>0.52911245652453953</v>
          </cell>
          <cell r="O73">
            <v>0.51607722206161066</v>
          </cell>
          <cell r="P73">
            <v>0.54241451960500497</v>
          </cell>
          <cell r="Q73">
            <v>0.49170465855459594</v>
          </cell>
          <cell r="R73">
            <v>2.0793088567457509</v>
          </cell>
          <cell r="T73">
            <v>0.57842758798172811</v>
          </cell>
          <cell r="U73">
            <v>0.62170068911714993</v>
          </cell>
          <cell r="V73">
            <v>0.62562189054726369</v>
          </cell>
          <cell r="W73">
            <v>0.58918511725402856</v>
          </cell>
          <cell r="X73">
            <v>2.4146289879122129</v>
          </cell>
          <cell r="Y73">
            <v>0.68397684667499836</v>
          </cell>
          <cell r="Z73">
            <v>0.72515341515474918</v>
          </cell>
          <cell r="AA73">
            <v>0.68118243243243248</v>
          </cell>
          <cell r="AB73">
            <v>0.66296513432424042</v>
          </cell>
          <cell r="AC73">
            <v>2.754149612982931</v>
          </cell>
          <cell r="AD73">
            <v>0.7035226059708688</v>
          </cell>
          <cell r="AE73">
            <v>0.74484606926882901</v>
          </cell>
          <cell r="AF73">
            <v>0.71341610207380401</v>
          </cell>
          <cell r="AG73">
            <v>0.59305048557063156</v>
          </cell>
          <cell r="AH73">
            <v>2.7566097493803361</v>
          </cell>
          <cell r="AI73">
            <v>0.74019080659150038</v>
          </cell>
          <cell r="AJ73">
            <v>0.72546294687836566</v>
          </cell>
          <cell r="AK73">
            <v>0.67149574718207594</v>
          </cell>
          <cell r="AL73">
            <v>0.60500963391136797</v>
          </cell>
          <cell r="AM73">
            <v>2.7413879613128711</v>
          </cell>
          <cell r="AN73">
            <v>0.69219131451363336</v>
          </cell>
          <cell r="AO73">
            <v>0.53794208928754139</v>
          </cell>
          <cell r="AP73">
            <v>0.34266785055665594</v>
          </cell>
          <cell r="AQ73">
            <v>0.37552051334562087</v>
          </cell>
          <cell r="AR73">
            <v>1.946932913902756</v>
          </cell>
          <cell r="AS73">
            <v>0.56346147286557291</v>
          </cell>
          <cell r="AT73">
            <v>0.58754346492125176</v>
          </cell>
          <cell r="AU73">
            <v>0.52012953809442641</v>
          </cell>
          <cell r="AV73">
            <v>0.52968349016253213</v>
          </cell>
          <cell r="AW73">
            <v>2.1993656856392594</v>
          </cell>
          <cell r="AX73">
            <v>0.74962947644159517</v>
          </cell>
          <cell r="AY73">
            <v>0.59162339910003459</v>
          </cell>
          <cell r="AZ73">
            <v>0.70464295599225024</v>
          </cell>
          <cell r="BA73">
            <v>0.63447107237956912</v>
          </cell>
          <cell r="BB73">
            <v>2.6806885347896721</v>
          </cell>
          <cell r="BC73">
            <v>0.78679082600448358</v>
          </cell>
          <cell r="BD73">
            <v>0.81115021044642244</v>
          </cell>
          <cell r="BE73">
            <v>0.70903495729746546</v>
          </cell>
          <cell r="BF73">
            <v>0.74191645850679988</v>
          </cell>
          <cell r="BG73">
            <v>3.0491332976167844</v>
          </cell>
          <cell r="BH73">
            <v>0.85233086783471534</v>
          </cell>
          <cell r="BI73">
            <v>0.86412593139440452</v>
          </cell>
          <cell r="BJ73">
            <v>0.74166095665926124</v>
          </cell>
          <cell r="BK73">
            <v>0.74677215312403156</v>
          </cell>
          <cell r="BL73">
            <v>3.2048899090124121</v>
          </cell>
          <cell r="BM73">
            <v>0.89598066212875671</v>
          </cell>
          <cell r="BN73">
            <v>0.90382504043243017</v>
          </cell>
          <cell r="BO73">
            <v>0.75148263439401208</v>
          </cell>
          <cell r="BP73">
            <v>0.75381341908640453</v>
          </cell>
          <cell r="BQ73">
            <v>3.3051017560416032</v>
          </cell>
          <cell r="BR73">
            <v>0.90340542371614363</v>
          </cell>
          <cell r="BS73">
            <v>0.90931935923574925</v>
          </cell>
          <cell r="BT73">
            <v>0.75101908953372187</v>
          </cell>
          <cell r="BU73">
            <v>0.75645247807289262</v>
          </cell>
          <cell r="BV73">
            <v>3.3201963505585073</v>
          </cell>
        </row>
        <row r="74">
          <cell r="A74" t="str">
            <v>NOI Per Share</v>
          </cell>
          <cell r="B74">
            <v>1.5956418319920032</v>
          </cell>
          <cell r="C74">
            <v>2.1071272407280257</v>
          </cell>
          <cell r="D74">
            <v>1.4565030371702161</v>
          </cell>
          <cell r="E74">
            <v>0.45285115841668805</v>
          </cell>
          <cell r="F74">
            <v>1.8440039643211099</v>
          </cell>
          <cell r="H74">
            <v>0.52925984429723716</v>
          </cell>
          <cell r="I74">
            <v>0.58315776965371457</v>
          </cell>
          <cell r="J74">
            <v>0.59032323421609056</v>
          </cell>
          <cell r="K74">
            <v>0.6176848874598071</v>
          </cell>
          <cell r="L74">
            <v>2.343398167853878</v>
          </cell>
          <cell r="N74">
            <v>0.67087466185752931</v>
          </cell>
          <cell r="O74">
            <v>0.71623140920625739</v>
          </cell>
          <cell r="P74">
            <v>0.7637749686384252</v>
          </cell>
          <cell r="Q74">
            <v>0.76858124377949721</v>
          </cell>
          <cell r="R74">
            <v>2.919462283481709</v>
          </cell>
          <cell r="T74">
            <v>0.79132085183040601</v>
          </cell>
          <cell r="U74">
            <v>0.86474450656611623</v>
          </cell>
          <cell r="V74">
            <v>0.8884524744697565</v>
          </cell>
          <cell r="W74">
            <v>0.88975501113585742</v>
          </cell>
          <cell r="X74">
            <v>3.433126718401744</v>
          </cell>
          <cell r="Y74">
            <v>0.92481747023613758</v>
          </cell>
          <cell r="Z74">
            <v>0.99666488794023478</v>
          </cell>
          <cell r="AA74">
            <v>1.058918918918919</v>
          </cell>
          <cell r="AB74">
            <v>1.1315653343449323</v>
          </cell>
          <cell r="AC74">
            <v>4.1066671148949041</v>
          </cell>
          <cell r="AD74">
            <v>1.2579800971040942</v>
          </cell>
          <cell r="AE74">
            <v>1.2838785046728971</v>
          </cell>
          <cell r="AF74">
            <v>1.2590019603122744</v>
          </cell>
          <cell r="AG74">
            <v>1.225153247468834</v>
          </cell>
          <cell r="AH74">
            <v>5.0290209308730374</v>
          </cell>
          <cell r="AI74">
            <v>1.2093668690372941</v>
          </cell>
          <cell r="AJ74">
            <v>1.2185317722266615</v>
          </cell>
          <cell r="AK74">
            <v>1.2221838047161331</v>
          </cell>
          <cell r="AL74">
            <v>1.2142169006330856</v>
          </cell>
          <cell r="AM74">
            <v>4.8643009152724188</v>
          </cell>
          <cell r="AN74">
            <v>1.3292301344428017</v>
          </cell>
          <cell r="AO74">
            <v>1.3344701749599264</v>
          </cell>
          <cell r="AP74">
            <v>1.3263096783006625</v>
          </cell>
          <cell r="AQ74">
            <v>1.3465765581268345</v>
          </cell>
          <cell r="AR74">
            <v>5.3366272310743348</v>
          </cell>
          <cell r="AS74">
            <v>1.3472729133267387</v>
          </cell>
          <cell r="AT74">
            <v>1.324572168814345</v>
          </cell>
          <cell r="AU74">
            <v>1.3156638827339355</v>
          </cell>
          <cell r="AV74">
            <v>1.3304704875962361</v>
          </cell>
          <cell r="AW74">
            <v>5.3142925348702388</v>
          </cell>
          <cell r="AX74">
            <v>1.4116775238686106</v>
          </cell>
          <cell r="AY74">
            <v>1.4229837313949463</v>
          </cell>
          <cell r="AZ74">
            <v>1.4748477719346804</v>
          </cell>
          <cell r="BA74">
            <v>1.5033371373240654</v>
          </cell>
          <cell r="BB74">
            <v>5.8127268328090977</v>
          </cell>
          <cell r="BC74">
            <v>1.5474392136575272</v>
          </cell>
          <cell r="BD74">
            <v>1.6019802663354723</v>
          </cell>
          <cell r="BE74">
            <v>1.6425089035648837</v>
          </cell>
          <cell r="BF74">
            <v>1.6768318068276435</v>
          </cell>
          <cell r="BG74">
            <v>6.4683476487565459</v>
          </cell>
          <cell r="BH74">
            <v>1.6711616675980678</v>
          </cell>
          <cell r="BI74">
            <v>1.6886650957789742</v>
          </cell>
          <cell r="BJ74">
            <v>1.7102891810520617</v>
          </cell>
          <cell r="BK74">
            <v>1.7216685648879408</v>
          </cell>
          <cell r="BL74">
            <v>6.791784509317047</v>
          </cell>
          <cell r="BM74">
            <v>1.7579810540286409</v>
          </cell>
          <cell r="BN74">
            <v>1.7830222888478942</v>
          </cell>
          <cell r="BO74">
            <v>1.7930405954567574</v>
          </cell>
          <cell r="BP74">
            <v>1.8182231450515682</v>
          </cell>
          <cell r="BQ74">
            <v>7.1522670833848609</v>
          </cell>
          <cell r="BR74">
            <v>1.8614175309272509</v>
          </cell>
          <cell r="BS74">
            <v>1.8906694190997289</v>
          </cell>
          <cell r="BT74">
            <v>1.9038281743126497</v>
          </cell>
          <cell r="BU74">
            <v>1.9326257876207469</v>
          </cell>
          <cell r="BV74">
            <v>7.5885409119603766</v>
          </cell>
        </row>
        <row r="75">
          <cell r="A75" t="str">
            <v>EBITDA Per Share</v>
          </cell>
          <cell r="B75">
            <v>1.4985078765149249</v>
          </cell>
          <cell r="C75">
            <v>2.0288664146850071</v>
          </cell>
          <cell r="D75">
            <v>1.3490722280952938</v>
          </cell>
          <cell r="E75">
            <v>0.39351970590749763</v>
          </cell>
          <cell r="F75">
            <v>1.6992071357779981</v>
          </cell>
          <cell r="H75">
            <v>0.50547708849472583</v>
          </cell>
          <cell r="I75">
            <v>0.56206409597950746</v>
          </cell>
          <cell r="J75">
            <v>0.57124942187532113</v>
          </cell>
          <cell r="K75">
            <v>0.59697749196141481</v>
          </cell>
          <cell r="L75">
            <v>2.2599389721917831</v>
          </cell>
          <cell r="N75">
            <v>0.64504701790544894</v>
          </cell>
          <cell r="O75">
            <v>0.6906941633741287</v>
          </cell>
          <cell r="P75">
            <v>0.7399080060471549</v>
          </cell>
          <cell r="Q75">
            <v>0.74244710566025618</v>
          </cell>
          <cell r="R75">
            <v>2.818096292986989</v>
          </cell>
          <cell r="T75">
            <v>0.76291578202406229</v>
          </cell>
          <cell r="U75">
            <v>0.83285658561955533</v>
          </cell>
          <cell r="V75">
            <v>0.85588504844200053</v>
          </cell>
          <cell r="W75">
            <v>0.85389099960696979</v>
          </cell>
          <cell r="X75">
            <v>3.3044723184798346</v>
          </cell>
          <cell r="Y75">
            <v>0.88771952904032103</v>
          </cell>
          <cell r="Z75">
            <v>0.96358057630736393</v>
          </cell>
          <cell r="AA75">
            <v>1.0238851351351352</v>
          </cell>
          <cell r="AB75">
            <v>1.0914577370072767</v>
          </cell>
          <cell r="AC75">
            <v>3.9614411658416464</v>
          </cell>
          <cell r="AD75">
            <v>1.2188629868117489</v>
          </cell>
          <cell r="AE75">
            <v>1.2471825178669598</v>
          </cell>
          <cell r="AF75">
            <v>1.2179385768820716</v>
          </cell>
          <cell r="AG75">
            <v>1.1815896411598594</v>
          </cell>
          <cell r="AH75">
            <v>4.8684935279537314</v>
          </cell>
          <cell r="AI75">
            <v>1.1728013876843018</v>
          </cell>
          <cell r="AJ75">
            <v>1.1699266928395233</v>
          </cell>
          <cell r="AK75">
            <v>1.1856718069289813</v>
          </cell>
          <cell r="AL75">
            <v>1.1737888797137352</v>
          </cell>
          <cell r="AM75">
            <v>4.7022163780126993</v>
          </cell>
          <cell r="AN75">
            <v>1.2917168105078569</v>
          </cell>
          <cell r="AO75">
            <v>1.3002285051669451</v>
          </cell>
          <cell r="AP75">
            <v>1.2868656512533296</v>
          </cell>
          <cell r="AQ75">
            <v>1.2995084988736432</v>
          </cell>
          <cell r="AR75">
            <v>5.1783491759556863</v>
          </cell>
          <cell r="AS75">
            <v>1.2982228741003514</v>
          </cell>
          <cell r="AT75">
            <v>1.2793686507124837</v>
          </cell>
          <cell r="AU75">
            <v>1.2645645133799217</v>
          </cell>
          <cell r="AV75">
            <v>1.2764071856287424</v>
          </cell>
          <cell r="AW75">
            <v>5.1150291579988405</v>
          </cell>
          <cell r="AX75">
            <v>1.3548064660669354</v>
          </cell>
          <cell r="AY75">
            <v>1.3581862236067843</v>
          </cell>
          <cell r="AZ75">
            <v>1.4145792969831166</v>
          </cell>
          <cell r="BA75">
            <v>1.4417124874641214</v>
          </cell>
          <cell r="BB75">
            <v>5.5691818464622722</v>
          </cell>
          <cell r="BC75">
            <v>1.4887394378341092</v>
          </cell>
          <cell r="BD75">
            <v>1.5291175050024151</v>
          </cell>
          <cell r="BE75">
            <v>1.5690674596314098</v>
          </cell>
          <cell r="BF75">
            <v>1.6081737441021371</v>
          </cell>
          <cell r="BG75">
            <v>6.1947012771546586</v>
          </cell>
          <cell r="BH75">
            <v>1.598723664596619</v>
          </cell>
          <cell r="BI75">
            <v>1.616312871297408</v>
          </cell>
          <cell r="BJ75">
            <v>1.6380228208688983</v>
          </cell>
          <cell r="BK75">
            <v>1.6494881548674787</v>
          </cell>
          <cell r="BL75">
            <v>6.5025475116304037</v>
          </cell>
          <cell r="BM75">
            <v>1.6860280337691238</v>
          </cell>
          <cell r="BN75">
            <v>1.7112968857390831</v>
          </cell>
          <cell r="BO75">
            <v>1.7215430371158031</v>
          </cell>
          <cell r="BP75">
            <v>1.7469536593232387</v>
          </cell>
          <cell r="BQ75">
            <v>6.8658216159472492</v>
          </cell>
          <cell r="BR75">
            <v>1.790300475932145</v>
          </cell>
          <cell r="BS75">
            <v>1.81970494726858</v>
          </cell>
          <cell r="BT75">
            <v>1.8330164382286218</v>
          </cell>
          <cell r="BU75">
            <v>1.8619669400195868</v>
          </cell>
          <cell r="BV75">
            <v>7.3049888014489337</v>
          </cell>
        </row>
        <row r="77">
          <cell r="A77" t="str">
            <v>Dividends Per Share</v>
          </cell>
          <cell r="B77" t="str">
            <v>na</v>
          </cell>
          <cell r="C77" t="str">
            <v>na</v>
          </cell>
          <cell r="D77" t="str">
            <v>na</v>
          </cell>
          <cell r="E77" t="str">
            <v>na</v>
          </cell>
          <cell r="F77" t="str">
            <v>na</v>
          </cell>
          <cell r="H77">
            <v>0.34699999999999998</v>
          </cell>
          <cell r="I77">
            <v>0.25</v>
          </cell>
          <cell r="J77">
            <v>0.25</v>
          </cell>
          <cell r="K77">
            <v>0.25</v>
          </cell>
          <cell r="L77">
            <v>1.097</v>
          </cell>
          <cell r="N77">
            <v>0.25</v>
          </cell>
          <cell r="O77">
            <v>0.25</v>
          </cell>
          <cell r="P77">
            <v>0.25</v>
          </cell>
          <cell r="Q77">
            <v>0.25</v>
          </cell>
          <cell r="R77">
            <v>1</v>
          </cell>
          <cell r="T77">
            <v>0.25</v>
          </cell>
          <cell r="U77">
            <v>0.25</v>
          </cell>
          <cell r="V77">
            <v>0.25</v>
          </cell>
          <cell r="W77">
            <v>0.25</v>
          </cell>
          <cell r="X77">
            <v>1</v>
          </cell>
          <cell r="Y77">
            <v>0.28999999999999998</v>
          </cell>
          <cell r="Z77">
            <v>0.28999999999999998</v>
          </cell>
          <cell r="AA77">
            <v>0.28999999999999998</v>
          </cell>
          <cell r="AB77">
            <v>0.28999999999999998</v>
          </cell>
          <cell r="AC77">
            <v>1.1599999999999999</v>
          </cell>
          <cell r="AD77">
            <v>0.28999999999999998</v>
          </cell>
          <cell r="AE77">
            <v>0.28999999999999998</v>
          </cell>
          <cell r="AF77">
            <v>0.28999999999999998</v>
          </cell>
          <cell r="AG77">
            <v>0.28999999999999998</v>
          </cell>
          <cell r="AH77">
            <v>1.1599999999999999</v>
          </cell>
          <cell r="AI77">
            <v>0.28999999999999998</v>
          </cell>
          <cell r="AJ77">
            <v>0.28999999999999998</v>
          </cell>
          <cell r="AK77">
            <v>0.28999999999999998</v>
          </cell>
          <cell r="AL77">
            <v>0.28999999999999998</v>
          </cell>
          <cell r="AM77">
            <v>1.1599999999999999</v>
          </cell>
          <cell r="AN77">
            <v>0.28999999999999998</v>
          </cell>
          <cell r="AO77">
            <v>0.28999999999999998</v>
          </cell>
          <cell r="AP77">
            <v>0.28999999999999998</v>
          </cell>
          <cell r="AQ77">
            <v>0.28999999999999998</v>
          </cell>
          <cell r="AR77">
            <v>1.1599999999999999</v>
          </cell>
          <cell r="AS77">
            <v>0.28999999999999998</v>
          </cell>
          <cell r="AT77">
            <v>0.28999999999999998</v>
          </cell>
          <cell r="AU77">
            <v>0.28999999999999998</v>
          </cell>
          <cell r="AV77">
            <v>0.28999999999999998</v>
          </cell>
          <cell r="AW77">
            <v>1.1599999999999999</v>
          </cell>
          <cell r="AX77">
            <v>0.28999999999999998</v>
          </cell>
          <cell r="AY77">
            <v>0.28999999999999998</v>
          </cell>
          <cell r="AZ77">
            <v>0.28999999999999998</v>
          </cell>
          <cell r="BA77">
            <v>0.28999999999999998</v>
          </cell>
          <cell r="BB77">
            <v>1.1599999999999999</v>
          </cell>
          <cell r="BC77">
            <v>0.44</v>
          </cell>
          <cell r="BD77">
            <v>0.44</v>
          </cell>
          <cell r="BE77">
            <v>0.44</v>
          </cell>
          <cell r="BF77">
            <v>0.44</v>
          </cell>
          <cell r="BG77">
            <v>1.76</v>
          </cell>
          <cell r="BH77">
            <v>0.44</v>
          </cell>
          <cell r="BI77">
            <v>0.44</v>
          </cell>
          <cell r="BJ77">
            <v>0.44</v>
          </cell>
          <cell r="BK77">
            <v>0.44</v>
          </cell>
          <cell r="BL77">
            <v>1.76</v>
          </cell>
          <cell r="BM77">
            <v>0.44</v>
          </cell>
          <cell r="BN77">
            <v>0.44</v>
          </cell>
          <cell r="BO77">
            <v>0.44</v>
          </cell>
          <cell r="BP77">
            <v>0.44</v>
          </cell>
          <cell r="BQ77">
            <v>1.76</v>
          </cell>
          <cell r="BR77">
            <v>0.44</v>
          </cell>
          <cell r="BS77">
            <v>0.44</v>
          </cell>
          <cell r="BT77">
            <v>0.44</v>
          </cell>
          <cell r="BU77">
            <v>0.44</v>
          </cell>
          <cell r="BV77">
            <v>1.76</v>
          </cell>
          <cell r="BY77" t="str">
            <v>mstag:dividendsPerShare</v>
          </cell>
          <cell r="BZ77">
            <v>0</v>
          </cell>
          <cell r="CA77" t="str">
            <v>ISO4217:USD</v>
          </cell>
          <cell r="CB77" t="b">
            <v>0</v>
          </cell>
          <cell r="CC77" t="b">
            <v>0</v>
          </cell>
        </row>
        <row r="79">
          <cell r="A79" t="str">
            <v xml:space="preserve">Payout Ratio (Net Income) </v>
          </cell>
          <cell r="B79" t="str">
            <v>na</v>
          </cell>
          <cell r="C79" t="str">
            <v>na</v>
          </cell>
          <cell r="D79" t="str">
            <v>na</v>
          </cell>
          <cell r="E79" t="str">
            <v>na</v>
          </cell>
          <cell r="F79" t="str">
            <v>na</v>
          </cell>
          <cell r="H79">
            <v>0.91013660323325629</v>
          </cell>
          <cell r="I79">
            <v>0.66387226795344878</v>
          </cell>
          <cell r="J79">
            <v>0.60770791444398842</v>
          </cell>
          <cell r="K79">
            <v>0.71589536007733212</v>
          </cell>
          <cell r="L79">
            <v>0.72495282312925169</v>
          </cell>
          <cell r="N79">
            <v>0.62764774412200808</v>
          </cell>
          <cell r="O79">
            <v>0.63121473437666342</v>
          </cell>
          <cell r="P79">
            <v>0.63209218677146473</v>
          </cell>
          <cell r="Q79">
            <v>0.61529675920518112</v>
          </cell>
          <cell r="R79">
            <v>0.62649193841357487</v>
          </cell>
          <cell r="T79">
            <v>0.62408932530883754</v>
          </cell>
          <cell r="U79">
            <v>0.57021484374999998</v>
          </cell>
          <cell r="V79">
            <v>0.56664869104814197</v>
          </cell>
          <cell r="W79">
            <v>0.35833899771365013</v>
          </cell>
          <cell r="X79">
            <v>0.50610721801575076</v>
          </cell>
          <cell r="Y79">
            <v>0.65713038359658582</v>
          </cell>
          <cell r="Z79">
            <v>0.60006406149903901</v>
          </cell>
          <cell r="AA79">
            <v>0.64590909090909088</v>
          </cell>
          <cell r="AB79">
            <v>0.63632207161642718</v>
          </cell>
          <cell r="AC79">
            <v>0.63449873220206743</v>
          </cell>
          <cell r="AD79">
            <v>0.48173022544898736</v>
          </cell>
          <cell r="AE79">
            <v>0.66272250760037732</v>
          </cell>
          <cell r="AF79">
            <v>0.63062052265159918</v>
          </cell>
          <cell r="AG79">
            <v>0.66461773700305804</v>
          </cell>
          <cell r="AH79">
            <v>0.60026369651101907</v>
          </cell>
          <cell r="AI79">
            <v>1.0754437359986213</v>
          </cell>
          <cell r="AJ79">
            <v>0.47945654684012001</v>
          </cell>
          <cell r="AK79">
            <v>0.80453413757700198</v>
          </cell>
          <cell r="AL79">
            <v>0.93816681534344337</v>
          </cell>
          <cell r="AM79">
            <v>0.75193503842459164</v>
          </cell>
          <cell r="AN79">
            <v>1.5189081289081288</v>
          </cell>
          <cell r="AO79">
            <v>1.2261647781832148</v>
          </cell>
          <cell r="AP79">
            <v>2.2393991567111735</v>
          </cell>
          <cell r="AQ79">
            <v>0.37712689214758749</v>
          </cell>
          <cell r="AR79">
            <v>0.87393331730934309</v>
          </cell>
          <cell r="AS79">
            <v>0.87158383397050787</v>
          </cell>
          <cell r="AT79">
            <v>1.1067931392931394</v>
          </cell>
          <cell r="AU79">
            <v>0.44788979248457655</v>
          </cell>
          <cell r="AV79">
            <v>1.2912451757058703</v>
          </cell>
          <cell r="AW79">
            <v>0.79115571663104411</v>
          </cell>
          <cell r="AX79">
            <v>1.243642828921375</v>
          </cell>
          <cell r="AY79">
            <v>1.4242662116040954</v>
          </cell>
          <cell r="AZ79">
            <v>1.8009516963772281</v>
          </cell>
          <cell r="BA79">
            <v>1.69265625</v>
          </cell>
          <cell r="BB79">
            <v>1.5078885084399591</v>
          </cell>
          <cell r="BC79">
            <v>1.5834948505824751</v>
          </cell>
          <cell r="BD79">
            <v>2.5230468130124306</v>
          </cell>
          <cell r="BE79">
            <v>2.2010311694398874</v>
          </cell>
          <cell r="BF79">
            <v>2.5195210218201169</v>
          </cell>
          <cell r="BG79">
            <v>2.130906424502228</v>
          </cell>
          <cell r="BH79">
            <v>2.8460152091887045</v>
          </cell>
          <cell r="BI79">
            <v>3.0458006273716527</v>
          </cell>
          <cell r="BJ79">
            <v>3.3050772268418531</v>
          </cell>
          <cell r="BK79">
            <v>4.1778607649884947</v>
          </cell>
          <cell r="BL79">
            <v>3.2743644740271343</v>
          </cell>
          <cell r="BM79">
            <v>4.3291518325236344</v>
          </cell>
          <cell r="BN79">
            <v>6.6330270215092426</v>
          </cell>
          <cell r="BO79">
            <v>1603.1958029347104</v>
          </cell>
          <cell r="BP79">
            <v>-8.974912558439506</v>
          </cell>
          <cell r="BQ79">
            <v>14.762603547898841</v>
          </cell>
          <cell r="BR79">
            <v>-6.1658590119576093</v>
          </cell>
          <cell r="BS79">
            <v>-4.0370297770350767</v>
          </cell>
          <cell r="BT79">
            <v>-2.5659914786473674</v>
          </cell>
          <cell r="BU79">
            <v>-2.0303200411992322</v>
          </cell>
          <cell r="BV79">
            <v>-3.0956484991812125</v>
          </cell>
        </row>
        <row r="80">
          <cell r="A80" t="str">
            <v xml:space="preserve">Payout Ratio (FFO) </v>
          </cell>
          <cell r="B80" t="str">
            <v>na</v>
          </cell>
          <cell r="C80" t="str">
            <v>na</v>
          </cell>
          <cell r="D80" t="str">
            <v>na</v>
          </cell>
          <cell r="E80" t="str">
            <v>na</v>
          </cell>
          <cell r="F80" t="str">
            <v>na</v>
          </cell>
          <cell r="H80">
            <v>0.68749782846251595</v>
          </cell>
          <cell r="I80">
            <v>0.46082802907345988</v>
          </cell>
          <cell r="J80">
            <v>0.46535964255777745</v>
          </cell>
          <cell r="K80">
            <v>0.45433296324431721</v>
          </cell>
          <cell r="L80">
            <v>0.51107229593853387</v>
          </cell>
          <cell r="N80">
            <v>0.42213159325720501</v>
          </cell>
          <cell r="O80">
            <v>0.40809344030202932</v>
          </cell>
          <cell r="P80">
            <v>0.40089750285305326</v>
          </cell>
          <cell r="Q80">
            <v>0.39921559077421959</v>
          </cell>
          <cell r="R80">
            <v>0.40738739644457517</v>
          </cell>
          <cell r="T80">
            <v>0.38457541567695963</v>
          </cell>
          <cell r="U80">
            <v>0.35530814007206873</v>
          </cell>
          <cell r="V80">
            <v>0.34773503300705666</v>
          </cell>
          <cell r="W80">
            <v>0.34448054878599155</v>
          </cell>
          <cell r="X80">
            <v>0.35746187933982343</v>
          </cell>
          <cell r="Y80">
            <v>0.38861789334508595</v>
          </cell>
          <cell r="Z80">
            <v>0.36704769945124527</v>
          </cell>
          <cell r="AA80">
            <v>0.36266846930584307</v>
          </cell>
          <cell r="AB80">
            <v>0.35754623921085077</v>
          </cell>
          <cell r="AC80">
            <v>0.36878238286593701</v>
          </cell>
          <cell r="AD80">
            <v>0.33468009855348907</v>
          </cell>
          <cell r="AE80">
            <v>0.32242655766512585</v>
          </cell>
          <cell r="AF80">
            <v>0.3235240178023327</v>
          </cell>
          <cell r="AG80">
            <v>0.32843291731669266</v>
          </cell>
          <cell r="AH80">
            <v>0.32699966034256878</v>
          </cell>
          <cell r="AI80">
            <v>0.31803568711002889</v>
          </cell>
          <cell r="AJ80">
            <v>0.32378083785880524</v>
          </cell>
          <cell r="AK80">
            <v>0.32492852438693676</v>
          </cell>
          <cell r="AL80">
            <v>0.33081717560248053</v>
          </cell>
          <cell r="AM80">
            <v>0.32434096076629088</v>
          </cell>
          <cell r="AN80">
            <v>0.35970785175075698</v>
          </cell>
          <cell r="AO80">
            <v>0.33407024712214667</v>
          </cell>
          <cell r="AP80">
            <v>0.38098523935573597</v>
          </cell>
          <cell r="AQ80">
            <v>0.32640875912408757</v>
          </cell>
          <cell r="AR80">
            <v>0.34895812546930127</v>
          </cell>
          <cell r="AS80">
            <v>0.32850083072524239</v>
          </cell>
          <cell r="AT80">
            <v>0.33022242925352274</v>
          </cell>
          <cell r="AU80">
            <v>0.33011835467597977</v>
          </cell>
          <cell r="AV80">
            <v>0.33830632284847512</v>
          </cell>
          <cell r="AW80">
            <v>0.33196712991880073</v>
          </cell>
          <cell r="AX80">
            <v>0.31527597706748606</v>
          </cell>
          <cell r="AY80">
            <v>0.33208212771017481</v>
          </cell>
          <cell r="AZ80">
            <v>0.31221961485454608</v>
          </cell>
          <cell r="BA80">
            <v>0.30526482472425465</v>
          </cell>
          <cell r="BB80">
            <v>0.31590601878871166</v>
          </cell>
          <cell r="BC80">
            <v>0.43110870814043861</v>
          </cell>
          <cell r="BD80">
            <v>0.4252555766730019</v>
          </cell>
          <cell r="BE80">
            <v>0.41031954341727661</v>
          </cell>
          <cell r="BF80">
            <v>0.39872233400402418</v>
          </cell>
          <cell r="BG80">
            <v>0.41599150361504839</v>
          </cell>
          <cell r="BH80">
            <v>0.40086172688407368</v>
          </cell>
          <cell r="BI80">
            <v>0.39598608322832995</v>
          </cell>
          <cell r="BJ80">
            <v>0.39106326979954997</v>
          </cell>
          <cell r="BK80">
            <v>0.3901685369904016</v>
          </cell>
          <cell r="BL80">
            <v>0.39447369926075315</v>
          </cell>
          <cell r="BM80">
            <v>0.38071412962501633</v>
          </cell>
          <cell r="BN80">
            <v>0.37720518735465453</v>
          </cell>
          <cell r="BO80">
            <v>0.38092235419817572</v>
          </cell>
          <cell r="BP80">
            <v>0.37998133222138536</v>
          </cell>
          <cell r="BQ80">
            <v>0.3796999176791595</v>
          </cell>
          <cell r="BR80">
            <v>0.37277124071347939</v>
          </cell>
          <cell r="BS80">
            <v>0.36981207274879696</v>
          </cell>
          <cell r="BT80">
            <v>0.37238278358799187</v>
          </cell>
          <cell r="BU80">
            <v>0.37034842960562125</v>
          </cell>
          <cell r="BV80">
            <v>0.37132428658840061</v>
          </cell>
        </row>
        <row r="81">
          <cell r="A81" t="str">
            <v xml:space="preserve">Payout Ratio (AFFO) </v>
          </cell>
          <cell r="B81" t="str">
            <v>na</v>
          </cell>
          <cell r="C81" t="str">
            <v>na</v>
          </cell>
          <cell r="D81" t="str">
            <v>na</v>
          </cell>
          <cell r="E81" t="str">
            <v>na</v>
          </cell>
          <cell r="F81" t="str">
            <v>na</v>
          </cell>
          <cell r="H81">
            <v>0.75611150483288692</v>
          </cell>
          <cell r="I81">
            <v>0.55094862060237915</v>
          </cell>
          <cell r="J81">
            <v>0.56130835198960061</v>
          </cell>
          <cell r="K81">
            <v>0.62051077414205902</v>
          </cell>
          <cell r="L81">
            <v>0.62692786713693738</v>
          </cell>
          <cell r="N81">
            <v>0.47248934875228238</v>
          </cell>
          <cell r="O81">
            <v>0.48442362753641227</v>
          </cell>
          <cell r="P81">
            <v>0.46090211630406586</v>
          </cell>
          <cell r="Q81">
            <v>0.50843528864439569</v>
          </cell>
          <cell r="R81">
            <v>0.48092903406618626</v>
          </cell>
          <cell r="T81">
            <v>0.43220621767421169</v>
          </cell>
          <cell r="U81">
            <v>0.40212276482275433</v>
          </cell>
          <cell r="V81">
            <v>0.39960238568588469</v>
          </cell>
          <cell r="W81">
            <v>0.42431485908054922</v>
          </cell>
          <cell r="X81">
            <v>0.41414229888155235</v>
          </cell>
          <cell r="Y81">
            <v>0.42399096023464922</v>
          </cell>
          <cell r="Z81">
            <v>0.39991537506323871</v>
          </cell>
          <cell r="AA81">
            <v>0.42573029807072355</v>
          </cell>
          <cell r="AB81">
            <v>0.43742873491468998</v>
          </cell>
          <cell r="AC81">
            <v>0.42118263820230201</v>
          </cell>
          <cell r="AD81">
            <v>0.41221134550438054</v>
          </cell>
          <cell r="AE81">
            <v>0.38934219023895189</v>
          </cell>
          <cell r="AF81">
            <v>0.40649489008870032</v>
          </cell>
          <cell r="AG81">
            <v>0.48899715463678067</v>
          </cell>
          <cell r="AH81">
            <v>0.42080675375277865</v>
          </cell>
          <cell r="AI81">
            <v>0.3917908698912636</v>
          </cell>
          <cell r="AJ81">
            <v>0.39974474402566929</v>
          </cell>
          <cell r="AK81">
            <v>0.43187168528912001</v>
          </cell>
          <cell r="AL81">
            <v>0.47933121019108282</v>
          </cell>
          <cell r="AM81">
            <v>0.42314331877508765</v>
          </cell>
          <cell r="AN81">
            <v>0.41895931647707513</v>
          </cell>
          <cell r="AO81">
            <v>0.53909148544981922</v>
          </cell>
          <cell r="AP81">
            <v>0.84630057803468206</v>
          </cell>
          <cell r="AQ81">
            <v>0.77226140701690593</v>
          </cell>
          <cell r="AR81">
            <v>0.59580892167193533</v>
          </cell>
          <cell r="AS81">
            <v>0.51467582783461463</v>
          </cell>
          <cell r="AT81">
            <v>0.49358050478677112</v>
          </cell>
          <cell r="AU81">
            <v>0.55755341460217589</v>
          </cell>
          <cell r="AV81">
            <v>0.54749677002583974</v>
          </cell>
          <cell r="AW81">
            <v>0.52742479687403088</v>
          </cell>
          <cell r="AX81">
            <v>0.3868577865648995</v>
          </cell>
          <cell r="AY81">
            <v>0.49017669084952026</v>
          </cell>
          <cell r="AZ81">
            <v>0.4115559483478175</v>
          </cell>
          <cell r="BA81">
            <v>0.45707363601678747</v>
          </cell>
          <cell r="BB81">
            <v>0.4327246470246921</v>
          </cell>
          <cell r="BC81">
            <v>0.55923377021873488</v>
          </cell>
          <cell r="BD81">
            <v>0.5424396053079279</v>
          </cell>
          <cell r="BE81">
            <v>0.62056178679410912</v>
          </cell>
          <cell r="BF81">
            <v>0.59305868599485623</v>
          </cell>
          <cell r="BG81">
            <v>0.57721320395393128</v>
          </cell>
          <cell r="BH81">
            <v>0.51623145025568307</v>
          </cell>
          <cell r="BI81">
            <v>0.50918504353872363</v>
          </cell>
          <cell r="BJ81">
            <v>0.59326299443068531</v>
          </cell>
          <cell r="BK81">
            <v>0.5892024738192404</v>
          </cell>
          <cell r="BL81">
            <v>0.54916082922247544</v>
          </cell>
          <cell r="BM81">
            <v>0.49108202732256057</v>
          </cell>
          <cell r="BN81">
            <v>0.48681988251784258</v>
          </cell>
          <cell r="BO81">
            <v>0.58550920521910865</v>
          </cell>
          <cell r="BP81">
            <v>0.58369881572719229</v>
          </cell>
          <cell r="BQ81">
            <v>0.53251007984331655</v>
          </cell>
          <cell r="BR81">
            <v>0.48704600221467248</v>
          </cell>
          <cell r="BS81">
            <v>0.48387840369944884</v>
          </cell>
          <cell r="BT81">
            <v>0.58587059387954921</v>
          </cell>
          <cell r="BU81">
            <v>0.58166244774678511</v>
          </cell>
          <cell r="BV81">
            <v>0.53008913153703741</v>
          </cell>
        </row>
        <row r="83">
          <cell r="A83" t="str">
            <v>Weighted Avg. Diluted Shrs. (Thous.)</v>
          </cell>
          <cell r="B83">
            <v>0</v>
          </cell>
          <cell r="C83">
            <v>0</v>
          </cell>
          <cell r="D83">
            <v>0</v>
          </cell>
          <cell r="E83">
            <v>4237</v>
          </cell>
          <cell r="F83">
            <v>3129</v>
          </cell>
          <cell r="H83">
            <v>11357.036</v>
          </cell>
          <cell r="I83">
            <v>18710.576000000001</v>
          </cell>
          <cell r="J83">
            <v>23695.746999999999</v>
          </cell>
          <cell r="K83">
            <v>23699</v>
          </cell>
          <cell r="L83">
            <v>19429</v>
          </cell>
          <cell r="N83">
            <v>23705</v>
          </cell>
          <cell r="O83">
            <v>23716</v>
          </cell>
          <cell r="P83">
            <v>23724</v>
          </cell>
          <cell r="Q83">
            <v>23704</v>
          </cell>
          <cell r="R83">
            <v>23712.25</v>
          </cell>
          <cell r="T83">
            <v>23643</v>
          </cell>
          <cell r="U83">
            <v>23356</v>
          </cell>
          <cell r="V83">
            <v>23117</v>
          </cell>
          <cell r="W83">
            <v>23196</v>
          </cell>
          <cell r="X83">
            <v>23328</v>
          </cell>
          <cell r="Y83">
            <v>23097</v>
          </cell>
          <cell r="Z83">
            <v>22610</v>
          </cell>
          <cell r="AA83">
            <v>22295</v>
          </cell>
          <cell r="AB83">
            <v>21692</v>
          </cell>
          <cell r="AC83">
            <v>22435</v>
          </cell>
          <cell r="AD83">
            <v>21736</v>
          </cell>
          <cell r="AE83">
            <v>21799</v>
          </cell>
          <cell r="AF83">
            <v>21552</v>
          </cell>
          <cell r="AG83">
            <v>21733</v>
          </cell>
          <cell r="AH83">
            <v>21743</v>
          </cell>
          <cell r="AI83">
            <v>21520</v>
          </cell>
          <cell r="AJ83">
            <v>21478</v>
          </cell>
          <cell r="AK83">
            <v>21617</v>
          </cell>
          <cell r="AL83">
            <v>21759</v>
          </cell>
          <cell r="AM83">
            <v>21593.5</v>
          </cell>
          <cell r="AN83">
            <v>21778</v>
          </cell>
          <cell r="AO83">
            <v>22016</v>
          </cell>
          <cell r="AP83">
            <v>21977</v>
          </cell>
          <cell r="AQ83">
            <v>21993</v>
          </cell>
          <cell r="AR83">
            <v>21941</v>
          </cell>
          <cell r="AS83">
            <v>22012</v>
          </cell>
          <cell r="AT83">
            <v>22029</v>
          </cell>
          <cell r="AU83">
            <v>22030</v>
          </cell>
          <cell r="AV83">
            <v>21920</v>
          </cell>
          <cell r="AW83">
            <v>22018</v>
          </cell>
          <cell r="AX83">
            <v>21708</v>
          </cell>
          <cell r="AY83">
            <v>21585</v>
          </cell>
          <cell r="AZ83">
            <v>21599</v>
          </cell>
          <cell r="BA83">
            <v>21666</v>
          </cell>
          <cell r="BB83">
            <v>21639.5</v>
          </cell>
          <cell r="BC83">
            <v>21316</v>
          </cell>
          <cell r="BD83">
            <v>21681</v>
          </cell>
          <cell r="BE83">
            <v>21345</v>
          </cell>
          <cell r="BF83">
            <v>21519</v>
          </cell>
          <cell r="BG83">
            <v>21465.25</v>
          </cell>
          <cell r="BH83">
            <v>21681</v>
          </cell>
          <cell r="BI83">
            <v>21681</v>
          </cell>
          <cell r="BJ83">
            <v>21681</v>
          </cell>
          <cell r="BK83">
            <v>21681</v>
          </cell>
          <cell r="BL83">
            <v>21681</v>
          </cell>
          <cell r="BM83">
            <v>21681</v>
          </cell>
          <cell r="BN83">
            <v>21681</v>
          </cell>
          <cell r="BO83">
            <v>21681</v>
          </cell>
          <cell r="BP83">
            <v>21681</v>
          </cell>
          <cell r="BQ83">
            <v>21681</v>
          </cell>
          <cell r="BR83">
            <v>21681</v>
          </cell>
          <cell r="BS83">
            <v>21681</v>
          </cell>
          <cell r="BT83">
            <v>21681</v>
          </cell>
          <cell r="BU83">
            <v>21681</v>
          </cell>
          <cell r="BV83">
            <v>21681</v>
          </cell>
          <cell r="BY83" t="str">
            <v>mstag:averageDilutedSharesOutstanding</v>
          </cell>
          <cell r="BZ83">
            <v>3</v>
          </cell>
          <cell r="CA83" t="str">
            <v>ms_eqr_gcim_Decimal:ms_eqr_gcim_decimal</v>
          </cell>
          <cell r="CB83" t="b">
            <v>0</v>
          </cell>
          <cell r="CC83" t="b">
            <v>0</v>
          </cell>
        </row>
        <row r="84">
          <cell r="A84" t="str">
            <v>Diluted Shares and Units (Thous.)</v>
          </cell>
          <cell r="B84">
            <v>2192.848</v>
          </cell>
          <cell r="C84">
            <v>2197.779</v>
          </cell>
          <cell r="D84">
            <v>3555.777</v>
          </cell>
          <cell r="E84">
            <v>11697</v>
          </cell>
          <cell r="F84">
            <v>10090</v>
          </cell>
          <cell r="H84">
            <v>18711.036</v>
          </cell>
          <cell r="I84">
            <v>26121.576000000001</v>
          </cell>
          <cell r="J84">
            <v>31089.746999999999</v>
          </cell>
          <cell r="K84">
            <v>31100</v>
          </cell>
          <cell r="L84">
            <v>26755.589749999999</v>
          </cell>
          <cell r="N84">
            <v>31052</v>
          </cell>
          <cell r="O84">
            <v>31131</v>
          </cell>
          <cell r="P84">
            <v>31089</v>
          </cell>
          <cell r="Q84">
            <v>31147</v>
          </cell>
          <cell r="R84">
            <v>31104.75</v>
          </cell>
          <cell r="T84">
            <v>31086</v>
          </cell>
          <cell r="U84">
            <v>30764</v>
          </cell>
          <cell r="V84">
            <v>30552</v>
          </cell>
          <cell r="W84">
            <v>30532</v>
          </cell>
          <cell r="X84">
            <v>30733.5</v>
          </cell>
          <cell r="Y84">
            <v>30406</v>
          </cell>
          <cell r="Z84">
            <v>29984</v>
          </cell>
          <cell r="AA84">
            <v>29600</v>
          </cell>
          <cell r="AB84">
            <v>28997</v>
          </cell>
          <cell r="AC84">
            <v>29746.75</v>
          </cell>
          <cell r="AD84">
            <v>29041</v>
          </cell>
          <cell r="AE84">
            <v>29104</v>
          </cell>
          <cell r="AF84">
            <v>29077</v>
          </cell>
          <cell r="AG84">
            <v>29038</v>
          </cell>
          <cell r="AH84">
            <v>29048</v>
          </cell>
          <cell r="AI84">
            <v>28825</v>
          </cell>
          <cell r="AJ84">
            <v>28783</v>
          </cell>
          <cell r="AK84">
            <v>28922</v>
          </cell>
          <cell r="AL84">
            <v>29064</v>
          </cell>
          <cell r="AM84">
            <v>28898.5</v>
          </cell>
          <cell r="AN84">
            <v>29083</v>
          </cell>
          <cell r="AO84">
            <v>29321</v>
          </cell>
          <cell r="AP84">
            <v>29282</v>
          </cell>
          <cell r="AQ84">
            <v>29298</v>
          </cell>
          <cell r="AR84">
            <v>29246</v>
          </cell>
          <cell r="AS84">
            <v>29317</v>
          </cell>
          <cell r="AT84">
            <v>29334</v>
          </cell>
          <cell r="AU84">
            <v>29335</v>
          </cell>
          <cell r="AV84">
            <v>29225</v>
          </cell>
          <cell r="AW84">
            <v>29323</v>
          </cell>
          <cell r="AX84">
            <v>29013</v>
          </cell>
          <cell r="AY84">
            <v>28890</v>
          </cell>
          <cell r="AZ84">
            <v>28904</v>
          </cell>
          <cell r="BA84">
            <v>28917</v>
          </cell>
          <cell r="BB84">
            <v>28931</v>
          </cell>
          <cell r="BC84">
            <v>28995</v>
          </cell>
          <cell r="BD84">
            <v>28986</v>
          </cell>
          <cell r="BE84">
            <v>28921</v>
          </cell>
          <cell r="BF84">
            <v>28824</v>
          </cell>
          <cell r="BG84">
            <v>28931.5</v>
          </cell>
          <cell r="BH84">
            <v>28986</v>
          </cell>
          <cell r="BI84">
            <v>28986</v>
          </cell>
          <cell r="BJ84">
            <v>28986</v>
          </cell>
          <cell r="BK84">
            <v>28986</v>
          </cell>
          <cell r="BL84">
            <v>28986</v>
          </cell>
          <cell r="BM84">
            <v>28986</v>
          </cell>
          <cell r="BN84">
            <v>28986</v>
          </cell>
          <cell r="BO84">
            <v>28986</v>
          </cell>
          <cell r="BP84">
            <v>28986</v>
          </cell>
          <cell r="BQ84">
            <v>28986</v>
          </cell>
          <cell r="BR84">
            <v>28986</v>
          </cell>
          <cell r="BS84">
            <v>28986</v>
          </cell>
          <cell r="BT84">
            <v>28986</v>
          </cell>
          <cell r="BU84">
            <v>28986</v>
          </cell>
          <cell r="BV84">
            <v>28986</v>
          </cell>
          <cell r="BY84" t="str">
            <v>mstag:averageDilutedSharesOutstandingForFfo</v>
          </cell>
          <cell r="BZ84">
            <v>3</v>
          </cell>
          <cell r="CA84" t="str">
            <v>ms_eqr_gcim_Decimal:ms_eqr_gcim_decimal</v>
          </cell>
          <cell r="CB84" t="b">
            <v>0</v>
          </cell>
          <cell r="CC84" t="b">
            <v>0</v>
          </cell>
        </row>
        <row r="85">
          <cell r="A85" t="str">
            <v>OP Units</v>
          </cell>
          <cell r="AD85">
            <v>7305</v>
          </cell>
          <cell r="AE85">
            <v>7305</v>
          </cell>
          <cell r="AF85">
            <v>7525</v>
          </cell>
          <cell r="AG85">
            <v>7305</v>
          </cell>
          <cell r="AI85">
            <v>7305</v>
          </cell>
          <cell r="AJ85">
            <v>7305</v>
          </cell>
          <cell r="AK85">
            <v>7305</v>
          </cell>
          <cell r="AL85">
            <v>7305</v>
          </cell>
          <cell r="AN85">
            <v>7305</v>
          </cell>
          <cell r="AO85">
            <v>7305</v>
          </cell>
          <cell r="AP85">
            <v>7305</v>
          </cell>
          <cell r="AQ85">
            <v>7305</v>
          </cell>
          <cell r="AS85">
            <v>7305</v>
          </cell>
          <cell r="AT85">
            <v>7305</v>
          </cell>
          <cell r="AU85">
            <v>7305</v>
          </cell>
          <cell r="AV85">
            <v>7305</v>
          </cell>
          <cell r="AX85">
            <v>7305</v>
          </cell>
          <cell r="AY85">
            <v>7305</v>
          </cell>
          <cell r="AZ85">
            <v>7305</v>
          </cell>
          <cell r="BA85">
            <v>7305</v>
          </cell>
          <cell r="BC85">
            <v>7305</v>
          </cell>
          <cell r="BD85">
            <v>7305</v>
          </cell>
          <cell r="BE85">
            <v>7305</v>
          </cell>
          <cell r="BF85">
            <v>7305</v>
          </cell>
          <cell r="BH85">
            <v>7305</v>
          </cell>
          <cell r="BI85">
            <v>7305</v>
          </cell>
          <cell r="BJ85">
            <v>7305</v>
          </cell>
          <cell r="BK85">
            <v>7305</v>
          </cell>
          <cell r="BM85">
            <v>7305</v>
          </cell>
          <cell r="BN85">
            <v>7305</v>
          </cell>
          <cell r="BO85">
            <v>7305</v>
          </cell>
          <cell r="BP85">
            <v>7305</v>
          </cell>
          <cell r="BR85">
            <v>7305</v>
          </cell>
          <cell r="BS85">
            <v>7305</v>
          </cell>
          <cell r="BT85">
            <v>7305</v>
          </cell>
          <cell r="BU85">
            <v>7305</v>
          </cell>
          <cell r="BY85" t="str">
            <v>mstag:opUnitsOutstanding</v>
          </cell>
          <cell r="BZ85">
            <v>3</v>
          </cell>
          <cell r="CA85" t="str">
            <v>ms_eqr_gcim_Decimal:ms_eqr_gcim_decimal</v>
          </cell>
          <cell r="CB85" t="b">
            <v>0</v>
          </cell>
          <cell r="CC85" t="b">
            <v>0</v>
          </cell>
        </row>
        <row r="89">
          <cell r="A89" t="str">
            <v>Adjusted Funds from Operations</v>
          </cell>
          <cell r="AD89">
            <v>20431</v>
          </cell>
          <cell r="AE89">
            <v>21678</v>
          </cell>
          <cell r="AF89">
            <v>20744</v>
          </cell>
          <cell r="AG89">
            <v>17221</v>
          </cell>
          <cell r="AI89">
            <v>21336</v>
          </cell>
          <cell r="AJ89">
            <v>20881</v>
          </cell>
          <cell r="AK89">
            <v>19421</v>
          </cell>
          <cell r="AL89">
            <v>17584</v>
          </cell>
          <cell r="AN89">
            <v>20131</v>
          </cell>
          <cell r="AO89">
            <v>15773</v>
          </cell>
          <cell r="AP89">
            <v>10034</v>
          </cell>
          <cell r="AQ89">
            <v>11002</v>
          </cell>
          <cell r="AS89">
            <v>16519</v>
          </cell>
          <cell r="AT89">
            <v>17235</v>
          </cell>
          <cell r="AU89">
            <v>15258</v>
          </cell>
          <cell r="AV89">
            <v>15480</v>
          </cell>
          <cell r="AX89">
            <v>21749</v>
          </cell>
          <cell r="AY89">
            <v>17092</v>
          </cell>
          <cell r="AZ89">
            <v>20367</v>
          </cell>
          <cell r="BA89">
            <v>18347</v>
          </cell>
          <cell r="BC89">
            <v>22813</v>
          </cell>
          <cell r="BD89">
            <v>23512</v>
          </cell>
          <cell r="BE89">
            <v>20506</v>
          </cell>
          <cell r="BF89">
            <v>21385</v>
          </cell>
          <cell r="BH89">
            <v>24705.662535057058</v>
          </cell>
          <cell r="BI89">
            <v>25047.55424739821</v>
          </cell>
          <cell r="BJ89">
            <v>21497.784489725345</v>
          </cell>
          <cell r="BK89">
            <v>21645.93763045318</v>
          </cell>
          <cell r="BM89">
            <v>25970.895472464141</v>
          </cell>
          <cell r="BN89">
            <v>26198.272621974422</v>
          </cell>
          <cell r="BO89">
            <v>21782.475640544835</v>
          </cell>
          <cell r="BP89">
            <v>21850.03576563852</v>
          </cell>
          <cell r="BR89">
            <v>26186.109611836138</v>
          </cell>
          <cell r="BS89">
            <v>26357.530946807427</v>
          </cell>
          <cell r="BT89">
            <v>21769.039329224463</v>
          </cell>
          <cell r="BU89">
            <v>21926.531529420867</v>
          </cell>
        </row>
        <row r="90">
          <cell r="A90" t="str">
            <v>Dividends - OP</v>
          </cell>
          <cell r="AD90">
            <v>2118.4499999999998</v>
          </cell>
          <cell r="AE90">
            <v>2118.4499999999998</v>
          </cell>
          <cell r="AF90">
            <v>2182.25</v>
          </cell>
          <cell r="AG90">
            <v>2118.4499999999998</v>
          </cell>
          <cell r="AI90">
            <v>2118.4499999999998</v>
          </cell>
          <cell r="AJ90">
            <v>2118.4499999999998</v>
          </cell>
          <cell r="AK90">
            <v>2118.4499999999998</v>
          </cell>
          <cell r="AL90">
            <v>2118.4499999999998</v>
          </cell>
          <cell r="AN90">
            <v>2118.4499999999998</v>
          </cell>
          <cell r="AO90">
            <v>2118.4499999999998</v>
          </cell>
          <cell r="AP90">
            <v>2118.4499999999998</v>
          </cell>
          <cell r="AQ90">
            <v>2118.4499999999998</v>
          </cell>
          <cell r="AS90">
            <v>2118.4499999999998</v>
          </cell>
          <cell r="AT90">
            <v>2118.4499999999998</v>
          </cell>
          <cell r="AU90">
            <v>2118.4499999999998</v>
          </cell>
          <cell r="AV90">
            <v>2118.4499999999998</v>
          </cell>
          <cell r="AX90">
            <v>2118.4499999999998</v>
          </cell>
          <cell r="AY90">
            <v>2118.4499999999998</v>
          </cell>
          <cell r="AZ90">
            <v>2118.4499999999998</v>
          </cell>
          <cell r="BA90">
            <v>2118.4499999999998</v>
          </cell>
          <cell r="BC90">
            <v>3214.2</v>
          </cell>
          <cell r="BD90">
            <v>3214.2</v>
          </cell>
          <cell r="BE90">
            <v>3214.2</v>
          </cell>
          <cell r="BF90">
            <v>3214.2</v>
          </cell>
          <cell r="BH90">
            <v>3214.2</v>
          </cell>
          <cell r="BI90">
            <v>3214.2</v>
          </cell>
          <cell r="BJ90">
            <v>3214.2</v>
          </cell>
          <cell r="BK90">
            <v>3214.2</v>
          </cell>
          <cell r="BM90">
            <v>3214.2</v>
          </cell>
          <cell r="BN90">
            <v>3214.2</v>
          </cell>
          <cell r="BO90">
            <v>3214.2</v>
          </cell>
          <cell r="BP90">
            <v>3214.2</v>
          </cell>
          <cell r="BR90">
            <v>3214.2</v>
          </cell>
          <cell r="BS90">
            <v>3214.2</v>
          </cell>
          <cell r="BT90">
            <v>3214.2</v>
          </cell>
          <cell r="BU90">
            <v>3214.2</v>
          </cell>
        </row>
        <row r="91">
          <cell r="A91" t="str">
            <v>Dividends - Common</v>
          </cell>
          <cell r="AD91">
            <v>6303.44</v>
          </cell>
          <cell r="AE91">
            <v>6321.7099999999991</v>
          </cell>
          <cell r="AF91">
            <v>6250.08</v>
          </cell>
          <cell r="AG91">
            <v>6302.57</v>
          </cell>
          <cell r="AI91">
            <v>6240.7999999999993</v>
          </cell>
          <cell r="AJ91">
            <v>6228.62</v>
          </cell>
          <cell r="AK91">
            <v>6268.9299999999994</v>
          </cell>
          <cell r="AL91">
            <v>6310.11</v>
          </cell>
          <cell r="AN91">
            <v>6315.62</v>
          </cell>
          <cell r="AO91">
            <v>6384.6399999999994</v>
          </cell>
          <cell r="AP91">
            <v>6373.33</v>
          </cell>
          <cell r="AQ91">
            <v>6377.9699999999993</v>
          </cell>
          <cell r="AS91">
            <v>6383.48</v>
          </cell>
          <cell r="AT91">
            <v>6388.41</v>
          </cell>
          <cell r="AU91">
            <v>6388.7</v>
          </cell>
          <cell r="AV91">
            <v>6356.7999999999993</v>
          </cell>
          <cell r="AX91">
            <v>6295.32</v>
          </cell>
          <cell r="AY91">
            <v>6259.65</v>
          </cell>
          <cell r="AZ91">
            <v>6263.7099999999991</v>
          </cell>
          <cell r="BA91">
            <v>6283.1399999999994</v>
          </cell>
          <cell r="BC91">
            <v>9379.0400000000009</v>
          </cell>
          <cell r="BD91">
            <v>9539.64</v>
          </cell>
          <cell r="BE91">
            <v>9391.7999999999993</v>
          </cell>
          <cell r="BF91">
            <v>9468.36</v>
          </cell>
          <cell r="BH91">
            <v>9539.64</v>
          </cell>
          <cell r="BI91">
            <v>9539.64</v>
          </cell>
          <cell r="BJ91">
            <v>9539.64</v>
          </cell>
          <cell r="BK91">
            <v>9539.64</v>
          </cell>
          <cell r="BM91">
            <v>9539.64</v>
          </cell>
          <cell r="BN91">
            <v>9539.64</v>
          </cell>
          <cell r="BO91">
            <v>9539.64</v>
          </cell>
          <cell r="BP91">
            <v>9539.64</v>
          </cell>
          <cell r="BR91">
            <v>9539.64</v>
          </cell>
          <cell r="BS91">
            <v>9539.64</v>
          </cell>
          <cell r="BT91">
            <v>9539.64</v>
          </cell>
          <cell r="BU91">
            <v>9539.64</v>
          </cell>
        </row>
        <row r="92">
          <cell r="A92" t="str">
            <v>Retained Cash</v>
          </cell>
          <cell r="AD92">
            <v>12009.11</v>
          </cell>
          <cell r="AE92">
            <v>13237.84</v>
          </cell>
          <cell r="AF92">
            <v>12311.67</v>
          </cell>
          <cell r="AG92">
            <v>8799.98</v>
          </cell>
          <cell r="AI92">
            <v>12976.75</v>
          </cell>
          <cell r="AJ92">
            <v>12533.93</v>
          </cell>
          <cell r="AK92">
            <v>11033.619999999999</v>
          </cell>
          <cell r="AL92">
            <v>9155.4399999999987</v>
          </cell>
          <cell r="AN92">
            <v>11696.93</v>
          </cell>
          <cell r="AO92">
            <v>7269.91</v>
          </cell>
          <cell r="AP92">
            <v>1542.2200000000003</v>
          </cell>
          <cell r="AQ92">
            <v>2505.58</v>
          </cell>
          <cell r="AS92">
            <v>8017.07</v>
          </cell>
          <cell r="AT92">
            <v>8728.14</v>
          </cell>
          <cell r="AU92">
            <v>6750.8499999999995</v>
          </cell>
          <cell r="AV92">
            <v>7004.75</v>
          </cell>
          <cell r="AX92">
            <v>13335.23</v>
          </cell>
          <cell r="AY92">
            <v>8713.9</v>
          </cell>
          <cell r="AZ92">
            <v>11984.84</v>
          </cell>
          <cell r="BA92">
            <v>9945.41</v>
          </cell>
          <cell r="BC92">
            <v>10219.759999999998</v>
          </cell>
          <cell r="BD92">
            <v>10758.16</v>
          </cell>
          <cell r="BE92">
            <v>7900</v>
          </cell>
          <cell r="BF92">
            <v>8702.4399999999987</v>
          </cell>
          <cell r="BH92">
            <v>11951.822535057057</v>
          </cell>
          <cell r="BI92">
            <v>12293.714247398209</v>
          </cell>
          <cell r="BJ92">
            <v>8743.9444897253452</v>
          </cell>
          <cell r="BK92">
            <v>8892.0976304531796</v>
          </cell>
          <cell r="BM92">
            <v>13217.055472464141</v>
          </cell>
          <cell r="BN92">
            <v>13444.432621974422</v>
          </cell>
          <cell r="BO92">
            <v>9028.635640544835</v>
          </cell>
          <cell r="BP92">
            <v>9096.1957656385202</v>
          </cell>
          <cell r="BR92">
            <v>13432.269611836138</v>
          </cell>
          <cell r="BS92">
            <v>13603.690946807426</v>
          </cell>
          <cell r="BT92">
            <v>9015.1993292244624</v>
          </cell>
          <cell r="BU92">
            <v>9172.6915294208666</v>
          </cell>
        </row>
        <row r="94">
          <cell r="A94" t="str">
            <v>For Modelware</v>
          </cell>
        </row>
        <row r="95">
          <cell r="A95" t="str">
            <v>Statutory Tax Rate</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Y95" t="str">
            <v>mstag:statutoryTaxRate</v>
          </cell>
          <cell r="BZ95">
            <v>0</v>
          </cell>
          <cell r="CA95" t="str">
            <v>ms_eqr_gcim_Decimal:ms_eqr_gcim_decimal</v>
          </cell>
          <cell r="CB95" t="b">
            <v>0</v>
          </cell>
          <cell r="CC95" t="b">
            <v>0</v>
          </cell>
        </row>
        <row r="96">
          <cell r="A96" t="str">
            <v>Tax Expense</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Y96" t="str">
            <v>mstag:taxExpenseIncome</v>
          </cell>
          <cell r="BZ96">
            <v>3</v>
          </cell>
          <cell r="CA96" t="str">
            <v>ISO4217:USD</v>
          </cell>
          <cell r="CB96" t="b">
            <v>0</v>
          </cell>
          <cell r="CC96" t="b">
            <v>0</v>
          </cell>
        </row>
        <row r="97">
          <cell r="A97" t="str">
            <v xml:space="preserve">Unrecorded Amort. From </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Y97" t="str">
            <v>mstag:unrecordedGoodwillFromPoolingAndAmortizedOrWrittenOffGoodwill</v>
          </cell>
          <cell r="BZ97">
            <v>3</v>
          </cell>
          <cell r="CA97" t="str">
            <v>ISO4217:USD</v>
          </cell>
          <cell r="CB97" t="b">
            <v>0</v>
          </cell>
          <cell r="CC97" t="b">
            <v>0</v>
          </cell>
        </row>
        <row r="98">
          <cell r="A98" t="str">
            <v>Period End Basic Shares Outstanding</v>
          </cell>
          <cell r="AD98">
            <v>21549.449000000001</v>
          </cell>
          <cell r="AE98">
            <v>21552.449000000001</v>
          </cell>
          <cell r="AF98">
            <v>21570.219000000001</v>
          </cell>
          <cell r="AG98">
            <v>21372.219000000001</v>
          </cell>
          <cell r="AH98">
            <v>21372.219000000001</v>
          </cell>
          <cell r="AI98">
            <v>21272.219000000001</v>
          </cell>
          <cell r="AJ98">
            <v>21347.218000000001</v>
          </cell>
          <cell r="AK98">
            <v>21565.527999999998</v>
          </cell>
          <cell r="AL98">
            <v>21649.861000000001</v>
          </cell>
          <cell r="AM98">
            <v>21649.861000000001</v>
          </cell>
          <cell r="AN98">
            <v>21805.736000000001</v>
          </cell>
          <cell r="AO98">
            <v>21811</v>
          </cell>
          <cell r="AP98">
            <v>21819</v>
          </cell>
          <cell r="AQ98">
            <v>21840</v>
          </cell>
          <cell r="AR98">
            <v>21840</v>
          </cell>
          <cell r="AS98">
            <v>21891</v>
          </cell>
          <cell r="AT98">
            <v>21896</v>
          </cell>
          <cell r="AU98">
            <v>21791</v>
          </cell>
          <cell r="AV98">
            <v>21561</v>
          </cell>
          <cell r="AW98">
            <v>21561</v>
          </cell>
          <cell r="AX98">
            <v>21344</v>
          </cell>
          <cell r="AY98">
            <v>21283</v>
          </cell>
          <cell r="AZ98">
            <v>21296</v>
          </cell>
          <cell r="BA98">
            <v>21311</v>
          </cell>
          <cell r="BB98">
            <v>21311</v>
          </cell>
          <cell r="BC98">
            <v>21326</v>
          </cell>
          <cell r="BD98">
            <v>21337</v>
          </cell>
          <cell r="BE98">
            <v>21348.771000000001</v>
          </cell>
          <cell r="BF98">
            <v>21519</v>
          </cell>
          <cell r="BG98">
            <v>21519</v>
          </cell>
          <cell r="BH98">
            <v>21519</v>
          </cell>
          <cell r="BI98">
            <v>21519</v>
          </cell>
          <cell r="BJ98">
            <v>21519</v>
          </cell>
          <cell r="BK98">
            <v>21519</v>
          </cell>
          <cell r="BL98">
            <v>21519</v>
          </cell>
          <cell r="BM98">
            <v>21519</v>
          </cell>
          <cell r="BN98">
            <v>21519</v>
          </cell>
          <cell r="BO98">
            <v>21519</v>
          </cell>
          <cell r="BP98">
            <v>21519</v>
          </cell>
          <cell r="BQ98">
            <v>21519</v>
          </cell>
          <cell r="BR98">
            <v>21519</v>
          </cell>
          <cell r="BS98">
            <v>21519</v>
          </cell>
          <cell r="BT98">
            <v>21519</v>
          </cell>
          <cell r="BU98">
            <v>21519</v>
          </cell>
          <cell r="BV98">
            <v>21519</v>
          </cell>
          <cell r="BY98" t="str">
            <v>mstag:periodEndBasicSharesOutstanding</v>
          </cell>
          <cell r="BZ98">
            <v>3</v>
          </cell>
          <cell r="CA98" t="str">
            <v>ms_eqr_gcim_Decimal:ms_eqr_gcim_decimal</v>
          </cell>
          <cell r="CB98" t="b">
            <v>0</v>
          </cell>
          <cell r="CC98" t="b">
            <v>0</v>
          </cell>
        </row>
        <row r="99">
          <cell r="A99" t="str">
            <v>Average Basic Shares Outstanding</v>
          </cell>
          <cell r="AD99">
            <v>21543</v>
          </cell>
          <cell r="AE99">
            <v>21549</v>
          </cell>
          <cell r="AF99">
            <v>21552</v>
          </cell>
          <cell r="AG99">
            <v>21552</v>
          </cell>
          <cell r="AH99">
            <v>21549</v>
          </cell>
          <cell r="AI99">
            <v>21374</v>
          </cell>
          <cell r="AJ99">
            <v>21311</v>
          </cell>
          <cell r="AK99">
            <v>21417</v>
          </cell>
          <cell r="AL99">
            <v>21412</v>
          </cell>
          <cell r="AM99">
            <v>21378.5</v>
          </cell>
          <cell r="AN99">
            <v>21613</v>
          </cell>
          <cell r="AO99">
            <v>21808</v>
          </cell>
          <cell r="AP99">
            <v>21813</v>
          </cell>
          <cell r="AQ99">
            <v>21830</v>
          </cell>
          <cell r="AR99">
            <v>21766</v>
          </cell>
          <cell r="AS99">
            <v>21852</v>
          </cell>
          <cell r="AT99">
            <v>21893</v>
          </cell>
          <cell r="AU99">
            <v>21858</v>
          </cell>
          <cell r="AV99">
            <v>21704</v>
          </cell>
          <cell r="AW99">
            <v>21826</v>
          </cell>
          <cell r="AX99">
            <v>21437</v>
          </cell>
          <cell r="AY99">
            <v>21311</v>
          </cell>
          <cell r="AZ99">
            <v>21290</v>
          </cell>
          <cell r="BA99">
            <v>21303</v>
          </cell>
          <cell r="BB99">
            <v>21335.25</v>
          </cell>
          <cell r="BC99">
            <v>21316</v>
          </cell>
          <cell r="BD99">
            <v>21335</v>
          </cell>
          <cell r="BE99">
            <v>21345</v>
          </cell>
          <cell r="BF99">
            <v>21257</v>
          </cell>
          <cell r="BG99">
            <v>21313.25</v>
          </cell>
          <cell r="BH99">
            <v>21257</v>
          </cell>
          <cell r="BI99">
            <v>21257</v>
          </cell>
          <cell r="BJ99">
            <v>21257</v>
          </cell>
          <cell r="BK99">
            <v>21257</v>
          </cell>
          <cell r="BL99">
            <v>21257</v>
          </cell>
          <cell r="BM99">
            <v>21257</v>
          </cell>
          <cell r="BN99">
            <v>21257</v>
          </cell>
          <cell r="BO99">
            <v>21257</v>
          </cell>
          <cell r="BP99">
            <v>21257</v>
          </cell>
          <cell r="BQ99">
            <v>21257</v>
          </cell>
          <cell r="BR99">
            <v>21257</v>
          </cell>
          <cell r="BS99">
            <v>21257</v>
          </cell>
          <cell r="BT99">
            <v>21257</v>
          </cell>
          <cell r="BU99">
            <v>21257</v>
          </cell>
          <cell r="BV99">
            <v>21257</v>
          </cell>
          <cell r="BY99" t="str">
            <v>mstag:averageBasicSharesOutstanding</v>
          </cell>
          <cell r="BZ99">
            <v>3</v>
          </cell>
          <cell r="CA99" t="str">
            <v>ms_eqr_gcim_Decimal:ms_eqr_gcim_decimal</v>
          </cell>
          <cell r="CB99" t="b">
            <v>0</v>
          </cell>
          <cell r="CC99" t="b">
            <v>0</v>
          </cell>
        </row>
        <row r="100">
          <cell r="A100" t="str">
            <v>Period End Diluted Shares</v>
          </cell>
          <cell r="AD100">
            <v>21549.848920863311</v>
          </cell>
          <cell r="AE100">
            <v>21549.849785407721</v>
          </cell>
          <cell r="AF100">
            <v>21333.235294117647</v>
          </cell>
          <cell r="AG100">
            <v>21531.761006289307</v>
          </cell>
          <cell r="AH100">
            <v>21531.761006289307</v>
          </cell>
          <cell r="AI100">
            <v>21372.579831932773</v>
          </cell>
          <cell r="AJ100">
            <v>21347.577903682723</v>
          </cell>
          <cell r="AK100">
            <v>21509.096449390567</v>
          </cell>
          <cell r="AL100">
            <v>21565.891904992732</v>
          </cell>
          <cell r="AM100">
            <v>21565.891904992732</v>
          </cell>
          <cell r="AN100">
            <v>21806.089536138079</v>
          </cell>
          <cell r="AO100">
            <v>21811</v>
          </cell>
          <cell r="AP100">
            <v>21818.864491844415</v>
          </cell>
          <cell r="AQ100">
            <v>21840.033259423504</v>
          </cell>
          <cell r="AR100">
            <v>21840.033259423504</v>
          </cell>
          <cell r="AS100">
            <v>21891.625310173698</v>
          </cell>
          <cell r="AT100">
            <v>21896.687289088863</v>
          </cell>
          <cell r="AU100">
            <v>21791.244541484717</v>
          </cell>
          <cell r="AV100">
            <v>21560.934959349594</v>
          </cell>
          <cell r="AW100">
            <v>21560.934959349594</v>
          </cell>
          <cell r="AX100">
            <v>21344.302575107296</v>
          </cell>
          <cell r="AY100">
            <v>21283.627118644068</v>
          </cell>
          <cell r="AZ100">
            <v>21296.409618573798</v>
          </cell>
          <cell r="BA100">
            <v>21311.362607834821</v>
          </cell>
          <cell r="BB100">
            <v>21311.362607834821</v>
          </cell>
          <cell r="BC100">
            <v>21326.026659103802</v>
          </cell>
          <cell r="BD100">
            <v>21337.701593814108</v>
          </cell>
          <cell r="BE100">
            <v>21349.124890061565</v>
          </cell>
          <cell r="BF100">
            <v>21519</v>
          </cell>
          <cell r="BG100">
            <v>21519</v>
          </cell>
          <cell r="BH100">
            <v>21519</v>
          </cell>
          <cell r="BI100">
            <v>21519</v>
          </cell>
          <cell r="BJ100">
            <v>21519</v>
          </cell>
          <cell r="BK100">
            <v>21519</v>
          </cell>
          <cell r="BL100">
            <v>21519</v>
          </cell>
          <cell r="BM100">
            <v>21519</v>
          </cell>
          <cell r="BN100">
            <v>21519</v>
          </cell>
          <cell r="BO100">
            <v>21519</v>
          </cell>
          <cell r="BP100">
            <v>21519</v>
          </cell>
          <cell r="BQ100">
            <v>21519</v>
          </cell>
          <cell r="BR100">
            <v>21519</v>
          </cell>
          <cell r="BS100">
            <v>21519</v>
          </cell>
          <cell r="BT100">
            <v>21519</v>
          </cell>
          <cell r="BU100">
            <v>21519</v>
          </cell>
          <cell r="BV100">
            <v>21519</v>
          </cell>
          <cell r="BY100" t="str">
            <v>mstag:periodEndDilutedSharesOutstanding</v>
          </cell>
          <cell r="BZ100">
            <v>3</v>
          </cell>
          <cell r="CA100" t="str">
            <v>ms_eqr_gcim_Decimal:ms_eqr_gcim_decimal</v>
          </cell>
          <cell r="CB100" t="b">
            <v>0</v>
          </cell>
          <cell r="CC100" t="b">
            <v>0</v>
          </cell>
        </row>
        <row r="102">
          <cell r="A102" t="str">
            <v>E = Morgan Stanley Research Estimate</v>
          </cell>
          <cell r="AE102">
            <v>3.5906364889526663</v>
          </cell>
        </row>
        <row r="113">
          <cell r="AA113">
            <v>0.41544038668098821</v>
          </cell>
          <cell r="AB113">
            <v>139239</v>
          </cell>
          <cell r="AC113">
            <v>335160</v>
          </cell>
        </row>
        <row r="114">
          <cell r="AA114">
            <v>0.79204580086203147</v>
          </cell>
          <cell r="AB114">
            <v>36385</v>
          </cell>
          <cell r="AC114">
            <v>45938</v>
          </cell>
        </row>
        <row r="115">
          <cell r="AA115">
            <v>0.3556230162297474</v>
          </cell>
          <cell r="AB115">
            <v>102854</v>
          </cell>
          <cell r="AC115">
            <v>289222</v>
          </cell>
        </row>
      </sheetData>
      <sheetData sheetId="2" refreshError="1"/>
      <sheetData sheetId="3" refreshError="1"/>
      <sheetData sheetId="4" refreshError="1"/>
      <sheetData sheetId="5" refreshError="1"/>
      <sheetData sheetId="6" refreshError="1"/>
      <sheetData sheetId="7" refreshError="1"/>
      <sheetData sheetId="8" refreshError="1">
        <row r="1">
          <cell r="A1" t="str">
            <v>PSB</v>
          </cell>
        </row>
        <row r="3">
          <cell r="M3" t="str">
            <v>Peer</v>
          </cell>
          <cell r="O3" t="str">
            <v>Peer</v>
          </cell>
          <cell r="Q3" t="str">
            <v>Peer</v>
          </cell>
          <cell r="S3" t="str">
            <v>Peer</v>
          </cell>
          <cell r="U3" t="str">
            <v>Peer</v>
          </cell>
          <cell r="W3" t="str">
            <v>Peer</v>
          </cell>
          <cell r="Y3" t="str">
            <v>Peer</v>
          </cell>
          <cell r="AA3" t="str">
            <v>Peer</v>
          </cell>
          <cell r="AC3" t="str">
            <v>Peer</v>
          </cell>
          <cell r="AE3" t="str">
            <v>Peer</v>
          </cell>
        </row>
        <row r="4">
          <cell r="M4" t="str">
            <v>Group</v>
          </cell>
          <cell r="O4" t="str">
            <v>Group</v>
          </cell>
          <cell r="Q4" t="str">
            <v>Group</v>
          </cell>
          <cell r="S4" t="str">
            <v>Group</v>
          </cell>
          <cell r="U4" t="str">
            <v>Group</v>
          </cell>
          <cell r="W4" t="str">
            <v>Group</v>
          </cell>
          <cell r="Y4" t="str">
            <v>Group</v>
          </cell>
          <cell r="AA4" t="str">
            <v>Group</v>
          </cell>
          <cell r="AC4" t="str">
            <v>Group</v>
          </cell>
          <cell r="AE4" t="str">
            <v>Group</v>
          </cell>
        </row>
        <row r="5">
          <cell r="A5" t="str">
            <v>Performance Measure</v>
          </cell>
          <cell r="B5" t="str">
            <v>1Q02A</v>
          </cell>
          <cell r="C5" t="str">
            <v>2Q02A</v>
          </cell>
          <cell r="D5" t="str">
            <v>3Q02A</v>
          </cell>
          <cell r="E5" t="str">
            <v>4Q02A</v>
          </cell>
          <cell r="H5" t="str">
            <v>1Q03A</v>
          </cell>
          <cell r="I5" t="str">
            <v>2Q03A</v>
          </cell>
          <cell r="J5" t="str">
            <v>3Q03A</v>
          </cell>
          <cell r="K5" t="str">
            <v>4Q03A</v>
          </cell>
          <cell r="L5" t="str">
            <v>1Q04A</v>
          </cell>
          <cell r="M5" t="str">
            <v>1Q04A</v>
          </cell>
          <cell r="N5" t="str">
            <v>2Q04A</v>
          </cell>
          <cell r="O5" t="str">
            <v>2Q04A</v>
          </cell>
          <cell r="P5" t="str">
            <v>3Q04A</v>
          </cell>
          <cell r="Q5" t="str">
            <v>3Q04A</v>
          </cell>
          <cell r="R5" t="str">
            <v>4Q04A</v>
          </cell>
          <cell r="S5" t="str">
            <v>4Q04A</v>
          </cell>
          <cell r="T5" t="str">
            <v>1Q05A</v>
          </cell>
          <cell r="U5" t="str">
            <v>1Q05A</v>
          </cell>
          <cell r="V5" t="str">
            <v>2Q05A</v>
          </cell>
          <cell r="W5" t="str">
            <v>2Q05A</v>
          </cell>
          <cell r="X5" t="str">
            <v>3Q05A</v>
          </cell>
          <cell r="Y5" t="str">
            <v>3Q05A</v>
          </cell>
          <cell r="Z5" t="str">
            <v>4Q05A</v>
          </cell>
          <cell r="AA5" t="str">
            <v>4Q05A</v>
          </cell>
          <cell r="AB5" t="str">
            <v>1Q06A</v>
          </cell>
          <cell r="AC5" t="str">
            <v>1Q06A</v>
          </cell>
          <cell r="AD5" t="str">
            <v>2Q06A</v>
          </cell>
          <cell r="AE5" t="str">
            <v>2Q06A</v>
          </cell>
          <cell r="AF5" t="str">
            <v>3Q06A</v>
          </cell>
          <cell r="AG5" t="str">
            <v>Comments</v>
          </cell>
        </row>
        <row r="6">
          <cell r="A6" t="str">
            <v>FFOPS</v>
          </cell>
          <cell r="L6">
            <v>0.80620981329298902</v>
          </cell>
          <cell r="N6">
            <v>0.8680808976501484</v>
          </cell>
          <cell r="P6">
            <v>0.76118434533160306</v>
          </cell>
          <cell r="R6">
            <v>0.88845654993514911</v>
          </cell>
          <cell r="T6">
            <v>0.88279837636865988</v>
          </cell>
          <cell r="V6">
            <v>0.87819595009204332</v>
          </cell>
          <cell r="X6">
            <v>0.8784728140446566</v>
          </cell>
          <cell r="Z6">
            <v>0.8572112917023097</v>
          </cell>
          <cell r="AB6">
            <v>0.91982904215351735</v>
          </cell>
          <cell r="AD6">
            <v>0.87327795084804427</v>
          </cell>
          <cell r="AF6">
            <v>0.92883337946305011</v>
          </cell>
          <cell r="AG6" t="str">
            <v>Includes $1.8MM or $0.06/sh bankruptcy settlement</v>
          </cell>
        </row>
        <row r="7">
          <cell r="AG7" t="str">
            <v>from Footstar</v>
          </cell>
        </row>
        <row r="8">
          <cell r="A8" t="str">
            <v>Morgan Stanley</v>
          </cell>
          <cell r="AF8">
            <v>1.0886186712044166</v>
          </cell>
        </row>
        <row r="9">
          <cell r="A9" t="str">
            <v>Consensus</v>
          </cell>
          <cell r="AF9">
            <v>0.92</v>
          </cell>
        </row>
        <row r="11">
          <cell r="A11" t="str">
            <v>FFO Y/Y Growth per Share</v>
          </cell>
          <cell r="L11">
            <v>-3.2967032967032961E-2</v>
          </cell>
          <cell r="M11">
            <v>-5.8128833203113864E-2</v>
          </cell>
          <cell r="N11">
            <v>-3.3333333333333326E-2</v>
          </cell>
          <cell r="O11">
            <v>-4.2831536013661409E-2</v>
          </cell>
          <cell r="P11">
            <v>-3.3707865168539408E-2</v>
          </cell>
          <cell r="Q11">
            <v>-2.6507982534848928E-2</v>
          </cell>
          <cell r="R11">
            <v>1.1363636363636465E-2</v>
          </cell>
          <cell r="S11">
            <v>5.7034587496215131E-3</v>
          </cell>
          <cell r="T11">
            <v>3.179973146204329E-3</v>
          </cell>
          <cell r="U11">
            <v>5.7140292067586577E-3</v>
          </cell>
          <cell r="V11">
            <v>2.2988505747126409E-2</v>
          </cell>
          <cell r="W11">
            <v>-1.1506923733220908E-2</v>
          </cell>
          <cell r="X11">
            <v>2.3255813953488413E-2</v>
          </cell>
          <cell r="Y11">
            <v>-1.5716760746358568E-2</v>
          </cell>
          <cell r="Z11">
            <v>-3.3707865168539408E-2</v>
          </cell>
          <cell r="AA11">
            <v>-5.1430508860119337E-2</v>
          </cell>
          <cell r="AB11">
            <v>4.5454545454545414E-2</v>
          </cell>
          <cell r="AC11">
            <v>-8.3346482607680652E-3</v>
          </cell>
          <cell r="AE11">
            <v>-8.3346482607680652E-3</v>
          </cell>
        </row>
        <row r="13">
          <cell r="A13" t="str">
            <v>Same-Store Y/Y NOI Growth</v>
          </cell>
          <cell r="L13">
            <v>-4.9000000000000002E-2</v>
          </cell>
          <cell r="M13">
            <v>-2.5626235894236054E-2</v>
          </cell>
          <cell r="N13">
            <v>-5.7000000000000002E-2</v>
          </cell>
          <cell r="O13">
            <v>-1.13284527042667E-2</v>
          </cell>
          <cell r="P13">
            <v>-3.1E-2</v>
          </cell>
          <cell r="Q13">
            <v>-1.181014560367807E-2</v>
          </cell>
          <cell r="R13">
            <v>8.9999999999999993E-3</v>
          </cell>
          <cell r="S13">
            <v>-1.1768571339239775E-3</v>
          </cell>
          <cell r="T13">
            <v>2.5000000000000001E-2</v>
          </cell>
          <cell r="U13">
            <v>7.6623154725204302E-3</v>
          </cell>
          <cell r="V13">
            <v>5.5E-2</v>
          </cell>
          <cell r="W13">
            <v>1.05923262312943E-4</v>
          </cell>
          <cell r="X13">
            <v>3.4000000000000002E-2</v>
          </cell>
          <cell r="Y13">
            <v>-6.4775277293749496E-3</v>
          </cell>
          <cell r="Z13">
            <v>-4.0000000000000001E-3</v>
          </cell>
          <cell r="AA13">
            <v>4.6565828123989704E-3</v>
          </cell>
          <cell r="AB13">
            <v>-8.0000000000000002E-3</v>
          </cell>
          <cell r="AC13">
            <v>3.1209865425360301E-3</v>
          </cell>
          <cell r="AE13">
            <v>2.2574436861020251E-2</v>
          </cell>
          <cell r="AG13" t="str">
            <v>Negatively impacted by 9.9% expense growth</v>
          </cell>
        </row>
        <row r="14">
          <cell r="A14" t="str">
            <v>Same-Store Y/Y REV Growth</v>
          </cell>
          <cell r="L14">
            <v>-2.9000000000000001E-2</v>
          </cell>
          <cell r="M14">
            <v>-1.6092010288872333E-2</v>
          </cell>
          <cell r="N14">
            <v>-3.1E-2</v>
          </cell>
          <cell r="O14">
            <v>1.175213419069574E-3</v>
          </cell>
          <cell r="P14">
            <v>-1.7999999999999999E-2</v>
          </cell>
          <cell r="Q14">
            <v>-1.5430141403181059E-2</v>
          </cell>
          <cell r="R14">
            <v>3.0000000000000001E-3</v>
          </cell>
          <cell r="S14">
            <v>1.0325865733576961E-2</v>
          </cell>
          <cell r="T14">
            <v>1.7000000000000001E-2</v>
          </cell>
          <cell r="U14">
            <v>2.29E-2</v>
          </cell>
          <cell r="V14">
            <v>5.7000000000000002E-2</v>
          </cell>
          <cell r="W14">
            <v>1.84E-2</v>
          </cell>
          <cell r="X14">
            <v>0.03</v>
          </cell>
          <cell r="Y14">
            <v>1.6299999999999999E-2</v>
          </cell>
          <cell r="Z14">
            <v>1.2999999999999999E-2</v>
          </cell>
          <cell r="AA14">
            <v>1.6500000000000001E-2</v>
          </cell>
          <cell r="AB14">
            <v>2.4E-2</v>
          </cell>
          <cell r="AC14">
            <v>1.23E-2</v>
          </cell>
          <cell r="AE14">
            <v>2.1759694961303699E-2</v>
          </cell>
          <cell r="AG14" t="str">
            <v>Excludes bankruptcy settlement</v>
          </cell>
        </row>
        <row r="16">
          <cell r="A16" t="str">
            <v>Same-Store Occupancy</v>
          </cell>
          <cell r="L16">
            <v>0.90400000000000003</v>
          </cell>
          <cell r="N16">
            <v>0.9</v>
          </cell>
          <cell r="P16">
            <v>0.90500000000000003</v>
          </cell>
          <cell r="R16">
            <v>0.90500000000000003</v>
          </cell>
          <cell r="T16">
            <v>0.90800000000000003</v>
          </cell>
          <cell r="U16">
            <v>0.91279999999999994</v>
          </cell>
          <cell r="V16">
            <v>0.91800000000000004</v>
          </cell>
          <cell r="W16">
            <v>0.91710000000000003</v>
          </cell>
          <cell r="X16">
            <v>0.92400000000000004</v>
          </cell>
          <cell r="Y16">
            <v>0.91569999999999996</v>
          </cell>
          <cell r="Z16">
            <v>0.93</v>
          </cell>
          <cell r="AA16">
            <v>0.92549999999999999</v>
          </cell>
          <cell r="AB16">
            <v>0.92700000000000005</v>
          </cell>
          <cell r="AC16">
            <v>0.92059999999999997</v>
          </cell>
          <cell r="AE16">
            <v>0.91500000000000004</v>
          </cell>
          <cell r="AG16" t="str">
            <v>Up 140 bps Y/Y but down 30 bps Q/Q</v>
          </cell>
        </row>
        <row r="17">
          <cell r="A17" t="str">
            <v>Net rent growth</v>
          </cell>
          <cell r="L17">
            <v>-0.12</v>
          </cell>
          <cell r="N17">
            <v>-0.12</v>
          </cell>
          <cell r="P17">
            <v>-0.1</v>
          </cell>
          <cell r="R17">
            <v>-0.06</v>
          </cell>
          <cell r="T17">
            <v>-1.6E-2</v>
          </cell>
          <cell r="V17">
            <v>-4.4999999999999998E-2</v>
          </cell>
          <cell r="X17">
            <v>-1.4999999999999999E-2</v>
          </cell>
          <cell r="Z17">
            <v>6.9000000000000006E-2</v>
          </cell>
          <cell r="AB17">
            <v>-7.0000000000000001E-3</v>
          </cell>
          <cell r="AG17" t="str">
            <v>+1.8% in healthier mkts, -7.4% in challenged mkts</v>
          </cell>
        </row>
        <row r="18">
          <cell r="A18" t="str">
            <v>TI/LC per square foot</v>
          </cell>
          <cell r="L18">
            <v>0.2</v>
          </cell>
          <cell r="N18" t="str">
            <v>na</v>
          </cell>
          <cell r="P18" t="str">
            <v>na</v>
          </cell>
          <cell r="R18" t="str">
            <v>na</v>
          </cell>
          <cell r="T18">
            <v>0.45</v>
          </cell>
          <cell r="V18" t="str">
            <v>na</v>
          </cell>
          <cell r="X18" t="str">
            <v>na</v>
          </cell>
          <cell r="Z18" t="str">
            <v>na</v>
          </cell>
          <cell r="AB18">
            <v>0.28999999999999998</v>
          </cell>
          <cell r="AG18" t="str">
            <v>Down 38% from prior year</v>
          </cell>
        </row>
        <row r="20">
          <cell r="A20" t="str">
            <v>Developments (MM)</v>
          </cell>
        </row>
        <row r="21">
          <cell r="A21" t="str">
            <v>Acquisitions (MM)</v>
          </cell>
          <cell r="L21">
            <v>0</v>
          </cell>
          <cell r="N21">
            <v>22.4</v>
          </cell>
          <cell r="P21">
            <v>0</v>
          </cell>
          <cell r="R21">
            <v>0</v>
          </cell>
          <cell r="T21">
            <v>0</v>
          </cell>
          <cell r="V21">
            <v>0</v>
          </cell>
          <cell r="X21">
            <v>0</v>
          </cell>
          <cell r="Z21">
            <v>35.1</v>
          </cell>
          <cell r="AB21">
            <v>69.7</v>
          </cell>
          <cell r="AG21" t="str">
            <v>WesTech Business Park in Silver Springs, MD</v>
          </cell>
        </row>
        <row r="22">
          <cell r="A22" t="str">
            <v>Dispositions (MM)</v>
          </cell>
          <cell r="L22">
            <v>0</v>
          </cell>
          <cell r="N22">
            <v>1.1000000000000001</v>
          </cell>
          <cell r="P22">
            <v>4.3</v>
          </cell>
          <cell r="R22">
            <v>44.92</v>
          </cell>
          <cell r="T22">
            <v>16.54</v>
          </cell>
          <cell r="V22">
            <v>0</v>
          </cell>
          <cell r="X22">
            <v>65.25</v>
          </cell>
          <cell r="Z22">
            <v>4.3</v>
          </cell>
          <cell r="AB22">
            <v>2.9</v>
          </cell>
          <cell r="AG22" t="str">
            <v>Sold 3 units at MICC, have 2 remaining HFS</v>
          </cell>
        </row>
        <row r="24">
          <cell r="A24" t="str">
            <v>Per Square Foot  Price (Acquisitions)</v>
          </cell>
          <cell r="L24" t="str">
            <v>na</v>
          </cell>
          <cell r="N24">
            <v>136.58536585365854</v>
          </cell>
          <cell r="P24" t="str">
            <v>na</v>
          </cell>
          <cell r="R24" t="str">
            <v>na</v>
          </cell>
          <cell r="T24" t="str">
            <v>na</v>
          </cell>
          <cell r="V24" t="str">
            <v>na</v>
          </cell>
          <cell r="X24" t="str">
            <v>na</v>
          </cell>
          <cell r="Z24">
            <v>150.64377682403435</v>
          </cell>
          <cell r="AB24">
            <v>190</v>
          </cell>
        </row>
        <row r="25">
          <cell r="A25" t="str">
            <v>Per Square Foot Price (Dispositions)</v>
          </cell>
          <cell r="L25" t="str">
            <v>na</v>
          </cell>
          <cell r="N25">
            <v>25.581395348837209</v>
          </cell>
          <cell r="P25">
            <v>106.17283950617283</v>
          </cell>
          <cell r="R25">
            <v>110.36855036855037</v>
          </cell>
          <cell r="T25">
            <v>205.07131537242472</v>
          </cell>
          <cell r="V25" t="str">
            <v>na</v>
          </cell>
          <cell r="X25">
            <v>117.75852734163509</v>
          </cell>
          <cell r="Z25">
            <v>99.537037037037038</v>
          </cell>
          <cell r="AB25">
            <v>115</v>
          </cell>
        </row>
        <row r="27">
          <cell r="A27" t="str">
            <v xml:space="preserve">   Debt+Prfrd./Market Cap</v>
          </cell>
          <cell r="L27">
            <v>0.32153805270264935</v>
          </cell>
          <cell r="N27">
            <v>0.36996107746872592</v>
          </cell>
          <cell r="P27">
            <v>0.3608794704145743</v>
          </cell>
          <cell r="R27">
            <v>0.33087169264226168</v>
          </cell>
          <cell r="T27">
            <v>0.35580011705518072</v>
          </cell>
          <cell r="V27">
            <v>0.36067066743634857</v>
          </cell>
          <cell r="X27">
            <v>0.35082228196825449</v>
          </cell>
          <cell r="Z27">
            <v>0.34709178065251101</v>
          </cell>
          <cell r="AB27">
            <v>0.32026288824915833</v>
          </cell>
          <cell r="AD27">
            <v>0.3166921614793905</v>
          </cell>
          <cell r="AF27">
            <v>0.3026534238078718</v>
          </cell>
          <cell r="AG27" t="str">
            <v>Repurchased $11.7MM (225,000 shares)</v>
          </cell>
        </row>
        <row r="28">
          <cell r="A28" t="str">
            <v xml:space="preserve">   Fixed Charge Coverage</v>
          </cell>
          <cell r="L28">
            <v>3.1214790195263813</v>
          </cell>
          <cell r="N28">
            <v>2.9966986322905202</v>
          </cell>
          <cell r="P28">
            <v>2.7297884671109824</v>
          </cell>
          <cell r="R28">
            <v>2.9858834601207747</v>
          </cell>
          <cell r="T28">
            <v>2.986972217862188</v>
          </cell>
          <cell r="V28">
            <v>2.7385434909515469</v>
          </cell>
          <cell r="X28">
            <v>2.6461231186247236</v>
          </cell>
          <cell r="Z28">
            <v>2.6221706734148742</v>
          </cell>
          <cell r="AB28">
            <v>2.701697711182899</v>
          </cell>
          <cell r="AD28">
            <v>2.8236902705814622</v>
          </cell>
          <cell r="AF28">
            <v>2.8085588679763704</v>
          </cell>
        </row>
        <row r="30">
          <cell r="A30" t="str">
            <v>Mgt FFOPS Guidance - Next Quarter</v>
          </cell>
          <cell r="L30" t="str">
            <v>na</v>
          </cell>
          <cell r="N30" t="str">
            <v>na</v>
          </cell>
          <cell r="P30" t="str">
            <v>na</v>
          </cell>
          <cell r="R30" t="str">
            <v>na</v>
          </cell>
          <cell r="T30" t="str">
            <v>na</v>
          </cell>
          <cell r="V30" t="str">
            <v>na</v>
          </cell>
          <cell r="X30" t="str">
            <v>na</v>
          </cell>
          <cell r="Z30" t="str">
            <v>na</v>
          </cell>
          <cell r="AB30" t="str">
            <v>na</v>
          </cell>
          <cell r="AD30" t="str">
            <v>na</v>
          </cell>
          <cell r="AF30" t="str">
            <v>na</v>
          </cell>
          <cell r="AG30" t="str">
            <v>None given, we are at $0.88</v>
          </cell>
        </row>
        <row r="31">
          <cell r="A31" t="str">
            <v>Mgt FFOPS Guidance - 2006</v>
          </cell>
          <cell r="L31" t="str">
            <v>na</v>
          </cell>
          <cell r="N31" t="str">
            <v>na</v>
          </cell>
          <cell r="P31" t="str">
            <v>na</v>
          </cell>
          <cell r="R31" t="str">
            <v>na</v>
          </cell>
          <cell r="T31" t="str">
            <v>na</v>
          </cell>
          <cell r="V31" t="str">
            <v>na</v>
          </cell>
          <cell r="X31" t="str">
            <v>na</v>
          </cell>
          <cell r="Z31" t="str">
            <v>na</v>
          </cell>
          <cell r="AB31" t="str">
            <v>na</v>
          </cell>
          <cell r="AD31" t="str">
            <v>na</v>
          </cell>
          <cell r="AF31" t="str">
            <v>na</v>
          </cell>
        </row>
        <row r="34">
          <cell r="AJ34" t="str">
            <v>Changes to our estimates:</v>
          </cell>
        </row>
        <row r="35">
          <cell r="AJ35" t="str">
            <v>Prior 2006 Estimate</v>
          </cell>
          <cell r="AL35">
            <v>3.68</v>
          </cell>
        </row>
        <row r="36">
          <cell r="AJ36" t="str">
            <v>Footstar</v>
          </cell>
          <cell r="AL36">
            <v>-0.02</v>
          </cell>
        </row>
        <row r="37">
          <cell r="AJ37" t="str">
            <v>Citigroup space</v>
          </cell>
          <cell r="AL37">
            <v>-0.06</v>
          </cell>
        </row>
        <row r="38">
          <cell r="AJ38" t="str">
            <v>Preferred charge</v>
          </cell>
          <cell r="AL38">
            <v>-0.06</v>
          </cell>
        </row>
        <row r="39">
          <cell r="AJ39" t="str">
            <v>Other</v>
          </cell>
          <cell r="AL39">
            <v>0.05</v>
          </cell>
        </row>
        <row r="40">
          <cell r="AJ40" t="str">
            <v>New 2006 Estimate</v>
          </cell>
          <cell r="AL40">
            <v>3.59</v>
          </cell>
        </row>
      </sheetData>
      <sheetData sheetId="9" refreshError="1"/>
      <sheetData sheetId="10" refreshError="1">
        <row r="1">
          <cell r="A1" t="str">
            <v>PS Business Parks</v>
          </cell>
          <cell r="H1" t="str">
            <v>Matthew Ostrower</v>
          </cell>
        </row>
        <row r="2">
          <cell r="A2" t="str">
            <v>Quarterly Earnings Variance Analysis</v>
          </cell>
          <cell r="H2" t="str">
            <v>Morgan Stanley REIT Research Team</v>
          </cell>
        </row>
        <row r="3">
          <cell r="A3" t="str">
            <v>($ in Thousands, Except per Share Amounts)</v>
          </cell>
          <cell r="H3" t="str">
            <v>(212) 761-6284  Matthew.Ostrower@morganstanley.com</v>
          </cell>
        </row>
        <row r="6">
          <cell r="B6" t="str">
            <v>MS</v>
          </cell>
          <cell r="C6" t="str">
            <v>Reported</v>
          </cell>
          <cell r="E6" t="str">
            <v>Per Share</v>
          </cell>
        </row>
        <row r="7">
          <cell r="A7" t="str">
            <v>Year Ends December 31</v>
          </cell>
          <cell r="B7" t="str">
            <v>1Q06E</v>
          </cell>
          <cell r="C7" t="str">
            <v>1Q06A</v>
          </cell>
          <cell r="D7" t="str">
            <v>Variance</v>
          </cell>
          <cell r="E7" t="str">
            <v>Impact</v>
          </cell>
          <cell r="F7" t="str">
            <v>Comments</v>
          </cell>
          <cell r="G7" t="str">
            <v>1Q05A</v>
          </cell>
          <cell r="H7" t="str">
            <v>4Q05A</v>
          </cell>
        </row>
        <row r="9">
          <cell r="A9" t="str">
            <v>Rental Income</v>
          </cell>
          <cell r="B9">
            <v>55511.059257415611</v>
          </cell>
          <cell r="C9">
            <v>58754</v>
          </cell>
          <cell r="D9">
            <v>3242.9407425843892</v>
          </cell>
          <cell r="E9">
            <v>0.1117754366175297</v>
          </cell>
          <cell r="G9">
            <v>55741</v>
          </cell>
          <cell r="H9">
            <v>55798</v>
          </cell>
        </row>
        <row r="10">
          <cell r="A10" t="str">
            <v>Rental Income</v>
          </cell>
          <cell r="B10">
            <v>193951</v>
          </cell>
          <cell r="C10">
            <v>55175</v>
          </cell>
          <cell r="D10">
            <v>-138776</v>
          </cell>
          <cell r="E10" t="e">
            <v>#REF!</v>
          </cell>
          <cell r="G10">
            <v>48922</v>
          </cell>
          <cell r="H10">
            <v>49532</v>
          </cell>
        </row>
        <row r="11">
          <cell r="A11" t="str">
            <v>Facility Management Fees</v>
          </cell>
          <cell r="B11">
            <v>144.25433872764731</v>
          </cell>
          <cell r="C11">
            <v>149</v>
          </cell>
          <cell r="D11">
            <v>4.7456612723526916</v>
          </cell>
          <cell r="E11">
            <v>1.6357016759220664E-4</v>
          </cell>
          <cell r="G11">
            <v>145</v>
          </cell>
          <cell r="H11">
            <v>145</v>
          </cell>
        </row>
        <row r="12">
          <cell r="A12" t="str">
            <v>Business Services Income</v>
          </cell>
          <cell r="B12">
            <v>0</v>
          </cell>
          <cell r="C12">
            <v>0</v>
          </cell>
          <cell r="D12">
            <v>0</v>
          </cell>
          <cell r="E12">
            <v>0</v>
          </cell>
          <cell r="G12">
            <v>0</v>
          </cell>
          <cell r="H12">
            <v>0</v>
          </cell>
        </row>
        <row r="13">
          <cell r="A13" t="str">
            <v>Cost of Operations</v>
          </cell>
          <cell r="B13">
            <v>16653.317777224682</v>
          </cell>
          <cell r="C13">
            <v>17946</v>
          </cell>
          <cell r="D13">
            <v>-1292.6822227753182</v>
          </cell>
          <cell r="E13">
            <v>-4.4555276006456354E-2</v>
          </cell>
          <cell r="G13">
            <v>16388</v>
          </cell>
          <cell r="H13">
            <v>17060</v>
          </cell>
        </row>
        <row r="14">
          <cell r="A14" t="str">
            <v>Cost of Facility Management</v>
          </cell>
          <cell r="B14">
            <v>0</v>
          </cell>
          <cell r="C14">
            <v>0</v>
          </cell>
          <cell r="D14">
            <v>0</v>
          </cell>
          <cell r="E14">
            <v>0</v>
          </cell>
          <cell r="G14">
            <v>0</v>
          </cell>
          <cell r="H14">
            <v>0</v>
          </cell>
        </row>
        <row r="15">
          <cell r="A15" t="str">
            <v>Cost of Business Services</v>
          </cell>
          <cell r="B15">
            <v>0</v>
          </cell>
          <cell r="C15">
            <v>0</v>
          </cell>
          <cell r="D15">
            <v>0</v>
          </cell>
          <cell r="E15">
            <v>0</v>
          </cell>
          <cell r="G15">
            <v>0</v>
          </cell>
          <cell r="H15">
            <v>0</v>
          </cell>
        </row>
        <row r="16">
          <cell r="A16" t="str">
            <v>Lost Income, Lower Rent/Retention</v>
          </cell>
          <cell r="B16">
            <v>0</v>
          </cell>
          <cell r="C16">
            <v>0</v>
          </cell>
          <cell r="D16">
            <v>0</v>
          </cell>
          <cell r="E16">
            <v>0</v>
          </cell>
          <cell r="G16">
            <v>0</v>
          </cell>
          <cell r="H16">
            <v>0</v>
          </cell>
        </row>
        <row r="17">
          <cell r="A17" t="str">
            <v>Acq. &amp; Develop. NOI</v>
          </cell>
          <cell r="B17">
            <v>712.25</v>
          </cell>
          <cell r="C17">
            <v>0</v>
          </cell>
          <cell r="D17">
            <v>-712.25</v>
          </cell>
          <cell r="E17">
            <v>-2.4549339951056424E-2</v>
          </cell>
          <cell r="G17">
            <v>0</v>
          </cell>
          <cell r="H17">
            <v>0</v>
          </cell>
        </row>
        <row r="18">
          <cell r="A18" t="str">
            <v xml:space="preserve">    Net Operating Income</v>
          </cell>
          <cell r="B18">
            <v>39714.245818918571</v>
          </cell>
          <cell r="C18">
            <v>40957</v>
          </cell>
          <cell r="D18">
            <v>1242.7541810814291</v>
          </cell>
          <cell r="E18">
            <v>4.2834390827609314E-2</v>
          </cell>
          <cell r="G18">
            <v>39498</v>
          </cell>
          <cell r="H18">
            <v>38883</v>
          </cell>
        </row>
        <row r="20">
          <cell r="A20" t="str">
            <v xml:space="preserve">  General and Administrative</v>
          </cell>
          <cell r="B20">
            <v>1387.7764814353905</v>
          </cell>
          <cell r="C20">
            <v>1650</v>
          </cell>
          <cell r="D20">
            <v>-262.22351856460955</v>
          </cell>
          <cell r="E20">
            <v>-9.0381387159069911E-3</v>
          </cell>
          <cell r="G20">
            <v>1438</v>
          </cell>
          <cell r="H20">
            <v>1580</v>
          </cell>
          <cell r="J20">
            <v>0.14742698191933234</v>
          </cell>
          <cell r="K20">
            <v>4.4303797468354444E-2</v>
          </cell>
        </row>
        <row r="22">
          <cell r="A22" t="str">
            <v>EBITDA</v>
          </cell>
          <cell r="B22">
            <v>38326.469337483184</v>
          </cell>
          <cell r="C22">
            <v>39307</v>
          </cell>
          <cell r="D22">
            <v>980.53066251681594</v>
          </cell>
          <cell r="E22">
            <v>3.3796252111702202E-2</v>
          </cell>
          <cell r="G22">
            <v>38060</v>
          </cell>
          <cell r="H22">
            <v>37303</v>
          </cell>
        </row>
        <row r="24">
          <cell r="A24" t="str">
            <v xml:space="preserve">  Equity in income of joint ventures</v>
          </cell>
          <cell r="B24">
            <v>0</v>
          </cell>
          <cell r="C24">
            <v>0</v>
          </cell>
          <cell r="D24">
            <v>0</v>
          </cell>
          <cell r="E24">
            <v>0</v>
          </cell>
          <cell r="G24">
            <v>0</v>
          </cell>
          <cell r="H24">
            <v>0</v>
          </cell>
        </row>
        <row r="25">
          <cell r="A25" t="str">
            <v xml:space="preserve">  Interest Expense</v>
          </cell>
          <cell r="B25">
            <v>521.16932290174134</v>
          </cell>
          <cell r="C25">
            <v>513</v>
          </cell>
          <cell r="D25">
            <v>8.1693229017413387</v>
          </cell>
          <cell r="E25">
            <v>2.8157456663362417E-4</v>
          </cell>
          <cell r="G25">
            <v>282</v>
          </cell>
          <cell r="H25">
            <v>464</v>
          </cell>
        </row>
        <row r="26">
          <cell r="A26" t="str">
            <v xml:space="preserve">  Depreciation and Amortization</v>
          </cell>
          <cell r="B26">
            <v>20906.120330975595</v>
          </cell>
          <cell r="C26">
            <v>20586</v>
          </cell>
          <cell r="D26">
            <v>320.1203309755947</v>
          </cell>
          <cell r="E26">
            <v>1.1033685967517826E-2</v>
          </cell>
          <cell r="G26">
            <v>19016</v>
          </cell>
          <cell r="H26">
            <v>20002</v>
          </cell>
        </row>
        <row r="27">
          <cell r="A27" t="str">
            <v xml:space="preserve">  Interest &amp; Other Income</v>
          </cell>
          <cell r="B27">
            <v>1787.1410618513357</v>
          </cell>
          <cell r="C27">
            <v>2000</v>
          </cell>
          <cell r="D27">
            <v>212.85893814866427</v>
          </cell>
          <cell r="E27">
            <v>7.336674530336893E-3</v>
          </cell>
          <cell r="G27">
            <v>398</v>
          </cell>
          <cell r="H27">
            <v>2108</v>
          </cell>
        </row>
        <row r="28">
          <cell r="A28" t="str">
            <v xml:space="preserve">  Other Expense</v>
          </cell>
          <cell r="B28">
            <v>0</v>
          </cell>
          <cell r="C28">
            <v>0</v>
          </cell>
          <cell r="D28">
            <v>0</v>
          </cell>
          <cell r="E28">
            <v>0</v>
          </cell>
          <cell r="G28">
            <v>0</v>
          </cell>
          <cell r="H28">
            <v>72</v>
          </cell>
        </row>
        <row r="29">
          <cell r="A29" t="str">
            <v>Income Before Preferred &amp; Min. Int. &amp; Gain on Sale</v>
          </cell>
          <cell r="B29">
            <v>18686.320745457186</v>
          </cell>
          <cell r="C29">
            <v>20208</v>
          </cell>
          <cell r="D29">
            <v>1521.6792545428143</v>
          </cell>
          <cell r="E29">
            <v>5.2448187176190479E-2</v>
          </cell>
          <cell r="G29">
            <v>19160</v>
          </cell>
          <cell r="H29">
            <v>18873</v>
          </cell>
        </row>
        <row r="30">
          <cell r="A30" t="str">
            <v>Income From Discontinued Operations</v>
          </cell>
          <cell r="B30">
            <v>0</v>
          </cell>
          <cell r="C30">
            <v>-97</v>
          </cell>
          <cell r="D30">
            <v>-97</v>
          </cell>
          <cell r="E30">
            <v>-3.3433288525833247E-3</v>
          </cell>
          <cell r="G30">
            <v>165</v>
          </cell>
          <cell r="H30">
            <v>-61</v>
          </cell>
        </row>
        <row r="31">
          <cell r="A31" t="str">
            <v>Impairment Charge on Prop. Held For Sale</v>
          </cell>
          <cell r="B31">
            <v>0</v>
          </cell>
          <cell r="C31">
            <v>0</v>
          </cell>
          <cell r="D31">
            <v>0</v>
          </cell>
          <cell r="E31">
            <v>0</v>
          </cell>
          <cell r="G31">
            <v>0</v>
          </cell>
          <cell r="H31">
            <v>0</v>
          </cell>
        </row>
        <row r="32">
          <cell r="A32" t="str">
            <v xml:space="preserve">  Preferred Unit Dividend</v>
          </cell>
          <cell r="B32">
            <v>2780.9375</v>
          </cell>
          <cell r="C32">
            <v>2781</v>
          </cell>
          <cell r="D32">
            <v>-6.25E-2</v>
          </cell>
          <cell r="E32">
            <v>-2.1542067349119361E-6</v>
          </cell>
          <cell r="G32">
            <v>2691</v>
          </cell>
          <cell r="H32">
            <v>2508</v>
          </cell>
        </row>
        <row r="33">
          <cell r="A33" t="str">
            <v xml:space="preserve">  Preferred Stock Dividend</v>
          </cell>
          <cell r="B33">
            <v>11254.5625</v>
          </cell>
          <cell r="C33">
            <v>11255</v>
          </cell>
          <cell r="D33">
            <v>-0.4375</v>
          </cell>
          <cell r="E33">
            <v>-1.5079447144383553E-5</v>
          </cell>
          <cell r="G33">
            <v>9769</v>
          </cell>
          <cell r="H33">
            <v>11254</v>
          </cell>
        </row>
        <row r="34">
          <cell r="A34" t="str">
            <v xml:space="preserve">  Preferred Redemption Cost</v>
          </cell>
          <cell r="B34">
            <v>0</v>
          </cell>
          <cell r="C34">
            <v>0</v>
          </cell>
          <cell r="D34">
            <v>0</v>
          </cell>
          <cell r="E34">
            <v>0</v>
          </cell>
        </row>
        <row r="35">
          <cell r="A35" t="str">
            <v>Income Before Minority Int. &amp; Gain on Sale</v>
          </cell>
          <cell r="B35">
            <v>4650.8207454571857</v>
          </cell>
          <cell r="C35">
            <v>6075</v>
          </cell>
          <cell r="D35">
            <v>1424.1792545428143</v>
          </cell>
          <cell r="E35">
            <v>4.908762466972786E-2</v>
          </cell>
          <cell r="G35">
            <v>6865</v>
          </cell>
          <cell r="H35">
            <v>5050</v>
          </cell>
        </row>
        <row r="36">
          <cell r="A36" t="str">
            <v xml:space="preserve">  Minority Interest in Earnings</v>
          </cell>
          <cell r="B36">
            <v>1743.4924674766351</v>
          </cell>
          <cell r="C36">
            <v>1724</v>
          </cell>
          <cell r="D36">
            <v>19.492467476635056</v>
          </cell>
          <cell r="E36">
            <v>6.718528754915057E-4</v>
          </cell>
          <cell r="G36">
            <v>2455</v>
          </cell>
          <cell r="H36">
            <v>1707</v>
          </cell>
        </row>
        <row r="37">
          <cell r="A37" t="str">
            <v>Interest Before Gain on Sale</v>
          </cell>
          <cell r="B37">
            <v>2907.3282779805504</v>
          </cell>
          <cell r="C37">
            <v>4351</v>
          </cell>
          <cell r="D37">
            <v>1443.6717220194496</v>
          </cell>
          <cell r="E37">
            <v>4.9759477545219373E-2</v>
          </cell>
          <cell r="G37">
            <v>4410</v>
          </cell>
          <cell r="H37">
            <v>3343</v>
          </cell>
        </row>
        <row r="38">
          <cell r="A38" t="str">
            <v>Gain or loss on marketable securities</v>
          </cell>
          <cell r="B38">
            <v>0</v>
          </cell>
          <cell r="C38">
            <v>0</v>
          </cell>
          <cell r="D38">
            <v>0</v>
          </cell>
          <cell r="E38">
            <v>0</v>
          </cell>
          <cell r="G38">
            <v>0</v>
          </cell>
          <cell r="H38">
            <v>0</v>
          </cell>
        </row>
        <row r="39">
          <cell r="A39" t="str">
            <v>Gain on disposition of Real Estate</v>
          </cell>
          <cell r="B39">
            <v>0</v>
          </cell>
          <cell r="C39">
            <v>711</v>
          </cell>
          <cell r="D39">
            <v>711</v>
          </cell>
          <cell r="E39">
            <v>2.4506255816358184E-2</v>
          </cell>
          <cell r="G39">
            <v>2914</v>
          </cell>
          <cell r="H39">
            <v>1580</v>
          </cell>
        </row>
        <row r="40">
          <cell r="A40" t="str">
            <v>Net Income</v>
          </cell>
          <cell r="B40">
            <v>2907.3282779805504</v>
          </cell>
          <cell r="C40">
            <v>5062</v>
          </cell>
          <cell r="D40">
            <v>2154.6717220194496</v>
          </cell>
          <cell r="E40">
            <v>7.426573336157756E-2</v>
          </cell>
          <cell r="G40">
            <v>7324</v>
          </cell>
          <cell r="H40">
            <v>4923</v>
          </cell>
        </row>
        <row r="41">
          <cell r="A41" t="str">
            <v>Adjustment: Gains and Extraordinary Items</v>
          </cell>
          <cell r="B41">
            <v>0</v>
          </cell>
          <cell r="C41">
            <v>711</v>
          </cell>
          <cell r="D41">
            <v>711</v>
          </cell>
          <cell r="E41">
            <v>2.4506255816358184E-2</v>
          </cell>
          <cell r="G41">
            <v>2914</v>
          </cell>
          <cell r="H41">
            <v>1580</v>
          </cell>
        </row>
        <row r="42">
          <cell r="A42" t="str">
            <v xml:space="preserve">   Normalized Earnings</v>
          </cell>
          <cell r="B42">
            <v>2907.3282779805504</v>
          </cell>
          <cell r="C42">
            <v>4351</v>
          </cell>
          <cell r="D42">
            <v>1443.6717220194496</v>
          </cell>
          <cell r="E42">
            <v>4.9759477545219373E-2</v>
          </cell>
          <cell r="G42">
            <v>4410</v>
          </cell>
          <cell r="H42">
            <v>3343</v>
          </cell>
        </row>
        <row r="45">
          <cell r="A45" t="str">
            <v>-Gain or loss on marketable securities</v>
          </cell>
          <cell r="B45">
            <v>0</v>
          </cell>
          <cell r="C45">
            <v>0</v>
          </cell>
          <cell r="D45">
            <v>0</v>
          </cell>
          <cell r="E45">
            <v>0</v>
          </cell>
          <cell r="G45">
            <v>0</v>
          </cell>
          <cell r="H45">
            <v>0</v>
          </cell>
        </row>
        <row r="46">
          <cell r="A46" t="str">
            <v>-Gain on Sale of real estate</v>
          </cell>
          <cell r="B46">
            <v>0</v>
          </cell>
          <cell r="C46">
            <v>-711</v>
          </cell>
          <cell r="D46">
            <v>-711</v>
          </cell>
          <cell r="E46">
            <v>-2.4506255816358184E-2</v>
          </cell>
          <cell r="G46">
            <v>-2914</v>
          </cell>
          <cell r="H46">
            <v>-1580</v>
          </cell>
        </row>
        <row r="47">
          <cell r="A47" t="str">
            <v>-Equity income from sale of JV properties</v>
          </cell>
          <cell r="B47">
            <v>0</v>
          </cell>
          <cell r="C47">
            <v>0</v>
          </cell>
          <cell r="D47">
            <v>0</v>
          </cell>
          <cell r="E47">
            <v>0</v>
          </cell>
          <cell r="G47">
            <v>0</v>
          </cell>
          <cell r="H47">
            <v>0</v>
          </cell>
        </row>
        <row r="48">
          <cell r="A48" t="str">
            <v xml:space="preserve">  + Depreciation and Amortization</v>
          </cell>
          <cell r="B48">
            <v>20906.120330975595</v>
          </cell>
          <cell r="C48">
            <v>20612</v>
          </cell>
          <cell r="D48">
            <v>-294.1203309755947</v>
          </cell>
          <cell r="E48">
            <v>-1.0137535965794461E-2</v>
          </cell>
          <cell r="G48">
            <v>19016</v>
          </cell>
          <cell r="H48">
            <v>20002</v>
          </cell>
        </row>
        <row r="49">
          <cell r="A49" t="str">
            <v xml:space="preserve">  + D&amp;A from uncon. JV</v>
          </cell>
          <cell r="B49">
            <v>0</v>
          </cell>
          <cell r="C49">
            <v>0</v>
          </cell>
          <cell r="D49">
            <v>0</v>
          </cell>
          <cell r="E49">
            <v>0</v>
          </cell>
          <cell r="G49">
            <v>0</v>
          </cell>
          <cell r="H49">
            <v>0</v>
          </cell>
        </row>
        <row r="50">
          <cell r="A50" t="str">
            <v xml:space="preserve">  + Minority Interest in Income</v>
          </cell>
          <cell r="B50">
            <v>1743.4924674766351</v>
          </cell>
          <cell r="C50">
            <v>1724</v>
          </cell>
          <cell r="D50">
            <v>-19.492467476635056</v>
          </cell>
          <cell r="E50">
            <v>-6.718528754915057E-4</v>
          </cell>
          <cell r="G50">
            <v>2455</v>
          </cell>
          <cell r="H50">
            <v>1707</v>
          </cell>
        </row>
        <row r="51">
          <cell r="A51" t="str">
            <v xml:space="preserve">  + Impairment Charge on Prop. Held for Sale</v>
          </cell>
          <cell r="B51">
            <v>0</v>
          </cell>
          <cell r="C51">
            <v>0</v>
          </cell>
          <cell r="D51">
            <v>0</v>
          </cell>
          <cell r="E51">
            <v>0</v>
          </cell>
          <cell r="G51">
            <v>0</v>
          </cell>
          <cell r="H51">
            <v>0</v>
          </cell>
        </row>
        <row r="52">
          <cell r="A52" t="str">
            <v xml:space="preserve">  - Adjustment For Straight-lining</v>
          </cell>
          <cell r="B52">
            <v>0</v>
          </cell>
          <cell r="C52">
            <v>0</v>
          </cell>
          <cell r="D52">
            <v>0</v>
          </cell>
          <cell r="E52">
            <v>0</v>
          </cell>
          <cell r="G52">
            <v>0</v>
          </cell>
          <cell r="H52">
            <v>0</v>
          </cell>
        </row>
        <row r="53">
          <cell r="A53" t="str">
            <v xml:space="preserve">   Funds From Operations</v>
          </cell>
          <cell r="B53">
            <v>25556.94107643278</v>
          </cell>
          <cell r="C53">
            <v>26687</v>
          </cell>
          <cell r="D53">
            <v>1130.0589235672196</v>
          </cell>
          <cell r="E53">
            <v>3.8950088703933398E-2</v>
          </cell>
          <cell r="G53">
            <v>25881</v>
          </cell>
          <cell r="H53">
            <v>25052</v>
          </cell>
        </row>
        <row r="55">
          <cell r="A55" t="str">
            <v xml:space="preserve"> - TIs &amp; Leasing Commissions</v>
          </cell>
          <cell r="B55">
            <v>6949.9930183107499</v>
          </cell>
          <cell r="C55">
            <v>3924</v>
          </cell>
          <cell r="D55">
            <v>3025.9930183107499</v>
          </cell>
          <cell r="E55">
            <v>0.10429783263746424</v>
          </cell>
          <cell r="G55">
            <v>8001</v>
          </cell>
          <cell r="H55">
            <v>6373</v>
          </cell>
          <cell r="I55">
            <v>-0.50956130483689543</v>
          </cell>
          <cell r="J55">
            <v>-0.38427742036717405</v>
          </cell>
        </row>
        <row r="56">
          <cell r="A56" t="str">
            <v xml:space="preserve"> - Capital Expenditures</v>
          </cell>
          <cell r="B56">
            <v>3375.7108946080789</v>
          </cell>
          <cell r="C56">
            <v>1004</v>
          </cell>
          <cell r="D56">
            <v>2371.7108946080789</v>
          </cell>
          <cell r="E56">
            <v>8.1746489318859777E-2</v>
          </cell>
          <cell r="G56">
            <v>339</v>
          </cell>
          <cell r="H56">
            <v>3187</v>
          </cell>
          <cell r="I56">
            <v>-0.68497019140257298</v>
          </cell>
        </row>
        <row r="57">
          <cell r="A57" t="str">
            <v xml:space="preserve"> - Straight Line Rent Adjustment</v>
          </cell>
          <cell r="B57">
            <v>323</v>
          </cell>
          <cell r="C57">
            <v>536</v>
          </cell>
          <cell r="D57">
            <v>-213</v>
          </cell>
          <cell r="E57">
            <v>-7.3415365525798778E-3</v>
          </cell>
          <cell r="G57">
            <v>1149</v>
          </cell>
          <cell r="H57">
            <v>323</v>
          </cell>
        </row>
        <row r="58">
          <cell r="A58" t="str">
            <v xml:space="preserve"> + Stock Based Comp. Expense</v>
          </cell>
          <cell r="B58">
            <v>311</v>
          </cell>
          <cell r="C58">
            <v>526</v>
          </cell>
          <cell r="D58">
            <v>-215</v>
          </cell>
          <cell r="E58">
            <v>-7.4104711680970598E-3</v>
          </cell>
          <cell r="G58">
            <v>127</v>
          </cell>
          <cell r="H58">
            <v>311</v>
          </cell>
        </row>
        <row r="59">
          <cell r="A59" t="str">
            <v xml:space="preserve"> + Impact of EITF D-42</v>
          </cell>
          <cell r="B59">
            <v>0</v>
          </cell>
          <cell r="C59">
            <v>0</v>
          </cell>
          <cell r="G59">
            <v>0</v>
          </cell>
          <cell r="H59">
            <v>0</v>
          </cell>
        </row>
        <row r="60">
          <cell r="A60" t="str">
            <v xml:space="preserve">   Adjusted Funds From Operations</v>
          </cell>
          <cell r="B60">
            <v>15219.237163513952</v>
          </cell>
          <cell r="C60">
            <v>21749</v>
          </cell>
          <cell r="D60">
            <v>6529.7628364860484</v>
          </cell>
          <cell r="E60">
            <v>0.2250633452757746</v>
          </cell>
          <cell r="G60">
            <v>16519</v>
          </cell>
          <cell r="H60">
            <v>15480</v>
          </cell>
        </row>
        <row r="62">
          <cell r="A62" t="str">
            <v xml:space="preserve">FFO Per Share - Diluted </v>
          </cell>
          <cell r="B62">
            <v>0.87448900175988986</v>
          </cell>
          <cell r="C62">
            <v>0.91982904215351735</v>
          </cell>
          <cell r="D62">
            <v>4.534004039362749E-2</v>
          </cell>
          <cell r="G62">
            <v>0.88279837636865988</v>
          </cell>
          <cell r="H62">
            <v>0.8572112917023097</v>
          </cell>
        </row>
        <row r="64">
          <cell r="A64" t="str">
            <v>Adjusted FFO Per Share - Diluted</v>
          </cell>
          <cell r="B64">
            <v>0.52076089524427549</v>
          </cell>
          <cell r="C64">
            <v>0.74962947644159517</v>
          </cell>
          <cell r="G64">
            <v>0.56346147286557291</v>
          </cell>
          <cell r="H64">
            <v>0.52968349016253213</v>
          </cell>
        </row>
        <row r="65">
          <cell r="A65" t="str">
            <v>NOI Per Share</v>
          </cell>
          <cell r="B65">
            <v>1.3589134583034583</v>
          </cell>
          <cell r="C65">
            <v>1.4116775238686106</v>
          </cell>
          <cell r="G65">
            <v>1.3472729133267387</v>
          </cell>
          <cell r="H65">
            <v>1.3304704875962361</v>
          </cell>
        </row>
        <row r="66">
          <cell r="A66" t="str">
            <v>EBITDA Per Share</v>
          </cell>
          <cell r="B66">
            <v>1.3114275222406564</v>
          </cell>
          <cell r="C66">
            <v>1.3548064660669354</v>
          </cell>
          <cell r="G66">
            <v>1.2982228741003514</v>
          </cell>
          <cell r="H66">
            <v>1.2764071856287424</v>
          </cell>
        </row>
        <row r="68">
          <cell r="A68" t="str">
            <v>Dividends Per Share</v>
          </cell>
          <cell r="B68">
            <v>0.28999999999999998</v>
          </cell>
          <cell r="C68">
            <v>0.28999999999999998</v>
          </cell>
          <cell r="G68">
            <v>0.28999999999999998</v>
          </cell>
          <cell r="H68">
            <v>0.28999999999999998</v>
          </cell>
        </row>
        <row r="70">
          <cell r="A70" t="str">
            <v xml:space="preserve">Payout Ratio (Net Income) </v>
          </cell>
          <cell r="B70">
            <v>2.1864747947952665</v>
          </cell>
          <cell r="C70">
            <v>1.243642828921375</v>
          </cell>
          <cell r="G70">
            <v>0.87158383397050787</v>
          </cell>
          <cell r="H70">
            <v>1.2912451757058703</v>
          </cell>
        </row>
        <row r="71">
          <cell r="A71" t="str">
            <v xml:space="preserve">Payout Ratio (FFO) </v>
          </cell>
          <cell r="B71">
            <v>0.33162223814865754</v>
          </cell>
          <cell r="C71">
            <v>0.31527597706748606</v>
          </cell>
          <cell r="G71">
            <v>0.32850083072524239</v>
          </cell>
          <cell r="H71">
            <v>0.33830632284847512</v>
          </cell>
        </row>
        <row r="72">
          <cell r="A72" t="str">
            <v xml:space="preserve">Payout Ratio (AFFO) </v>
          </cell>
          <cell r="B72">
            <v>0.55687745114572873</v>
          </cell>
          <cell r="C72">
            <v>0.3868577865648995</v>
          </cell>
          <cell r="G72">
            <v>0.51467582783461463</v>
          </cell>
          <cell r="H72">
            <v>0.54749677002583974</v>
          </cell>
        </row>
        <row r="74">
          <cell r="A74" t="str">
            <v>Weighted Avg. Diluted Shrs. (Thous.)</v>
          </cell>
          <cell r="B74">
            <v>21920</v>
          </cell>
          <cell r="C74">
            <v>21708</v>
          </cell>
          <cell r="D74">
            <v>-212</v>
          </cell>
          <cell r="G74">
            <v>22012</v>
          </cell>
          <cell r="H74">
            <v>21920</v>
          </cell>
        </row>
        <row r="75">
          <cell r="A75" t="str">
            <v>Diluted Shares and Units (Thous.)</v>
          </cell>
          <cell r="B75">
            <v>29225</v>
          </cell>
          <cell r="C75">
            <v>29013</v>
          </cell>
          <cell r="D75">
            <v>-212</v>
          </cell>
          <cell r="G75">
            <v>29317</v>
          </cell>
          <cell r="H75">
            <v>29225</v>
          </cell>
        </row>
        <row r="77">
          <cell r="A77" t="str">
            <v>E = Morgan Stanley Estimates</v>
          </cell>
        </row>
        <row r="80">
          <cell r="A80" t="str">
            <v>Matthew Ostrower</v>
          </cell>
          <cell r="H80" t="str">
            <v>(212) 761-6284</v>
          </cell>
        </row>
        <row r="81">
          <cell r="A81" t="str">
            <v>Morgan Stanley  REIT Research</v>
          </cell>
          <cell r="H81" t="str">
            <v>matthew.ostrower@morganstanley.com</v>
          </cell>
        </row>
      </sheetData>
      <sheetData sheetId="11" refreshError="1">
        <row r="1">
          <cell r="A1" t="str">
            <v>PS Business Parks</v>
          </cell>
          <cell r="H1" t="str">
            <v>Matthew Ostrower</v>
          </cell>
        </row>
        <row r="2">
          <cell r="A2" t="str">
            <v>Quarterly Earnings Variance Analysis</v>
          </cell>
          <cell r="H2" t="str">
            <v>Morgan Stanley REIT Research Team</v>
          </cell>
        </row>
        <row r="3">
          <cell r="A3" t="str">
            <v>($ in Thousands, Except per Share Amounts)</v>
          </cell>
          <cell r="H3" t="str">
            <v>(212) 761-6284  Matthew.Ostrower@morganstanley.com</v>
          </cell>
        </row>
        <row r="6">
          <cell r="B6" t="str">
            <v>MS</v>
          </cell>
          <cell r="C6" t="str">
            <v>Reported</v>
          </cell>
          <cell r="E6" t="str">
            <v>Per Share</v>
          </cell>
        </row>
        <row r="7">
          <cell r="A7" t="str">
            <v>Year Ends December 31</v>
          </cell>
          <cell r="B7" t="str">
            <v>2Q06E</v>
          </cell>
          <cell r="C7" t="str">
            <v>2Q06A</v>
          </cell>
          <cell r="D7" t="str">
            <v>Variance</v>
          </cell>
          <cell r="E7" t="str">
            <v>Impact</v>
          </cell>
          <cell r="F7" t="str">
            <v>Comments</v>
          </cell>
          <cell r="G7" t="str">
            <v>2Q05A</v>
          </cell>
          <cell r="H7" t="str">
            <v>1Q06A</v>
          </cell>
        </row>
        <row r="9">
          <cell r="A9" t="str">
            <v>Rental Income</v>
          </cell>
          <cell r="B9">
            <v>57280.313120102357</v>
          </cell>
          <cell r="C9">
            <v>59159</v>
          </cell>
          <cell r="D9">
            <v>1878.6868798976429</v>
          </cell>
          <cell r="E9">
            <v>6.502896780538743E-2</v>
          </cell>
          <cell r="G9">
            <v>55357</v>
          </cell>
          <cell r="H9">
            <v>58754</v>
          </cell>
        </row>
        <row r="10">
          <cell r="A10" t="str">
            <v>Rental Income</v>
          </cell>
          <cell r="B10">
            <v>193951</v>
          </cell>
          <cell r="C10">
            <v>55175</v>
          </cell>
          <cell r="D10">
            <v>-138776</v>
          </cell>
          <cell r="E10" t="e">
            <v>#REF!</v>
          </cell>
          <cell r="G10">
            <v>48922</v>
          </cell>
          <cell r="H10">
            <v>49532</v>
          </cell>
        </row>
        <row r="11">
          <cell r="A11" t="str">
            <v>Facility Management Fees</v>
          </cell>
          <cell r="B11">
            <v>145.26273368443427</v>
          </cell>
          <cell r="C11">
            <v>146</v>
          </cell>
          <cell r="D11">
            <v>0.73726631556573352</v>
          </cell>
          <cell r="E11">
            <v>2.5519775547446644E-5</v>
          </cell>
          <cell r="G11">
            <v>144</v>
          </cell>
          <cell r="H11">
            <v>149</v>
          </cell>
        </row>
        <row r="12">
          <cell r="A12" t="str">
            <v>Business Services Income</v>
          </cell>
          <cell r="B12">
            <v>0</v>
          </cell>
          <cell r="C12">
            <v>0</v>
          </cell>
          <cell r="D12">
            <v>0</v>
          </cell>
          <cell r="E12">
            <v>0</v>
          </cell>
          <cell r="G12">
            <v>0</v>
          </cell>
          <cell r="H12">
            <v>0</v>
          </cell>
        </row>
        <row r="13">
          <cell r="A13" t="str">
            <v>Cost of Operations</v>
          </cell>
          <cell r="B13">
            <v>17327.294718830963</v>
          </cell>
          <cell r="C13">
            <v>18195</v>
          </cell>
          <cell r="D13">
            <v>-867.70528116903733</v>
          </cell>
          <cell r="E13">
            <v>-3.0034796855972216E-2</v>
          </cell>
          <cell r="G13">
            <v>16646</v>
          </cell>
          <cell r="H13">
            <v>17946</v>
          </cell>
        </row>
        <row r="14">
          <cell r="A14" t="str">
            <v>Cost of Facility Management</v>
          </cell>
          <cell r="B14">
            <v>0</v>
          </cell>
          <cell r="C14">
            <v>0</v>
          </cell>
          <cell r="D14">
            <v>0</v>
          </cell>
          <cell r="E14">
            <v>0</v>
          </cell>
          <cell r="G14">
            <v>0</v>
          </cell>
          <cell r="H14">
            <v>0</v>
          </cell>
        </row>
        <row r="15">
          <cell r="A15" t="str">
            <v>Cost of Business Services</v>
          </cell>
          <cell r="B15">
            <v>0</v>
          </cell>
          <cell r="C15">
            <v>0</v>
          </cell>
          <cell r="D15">
            <v>0</v>
          </cell>
          <cell r="E15">
            <v>0</v>
          </cell>
          <cell r="G15">
            <v>0</v>
          </cell>
          <cell r="H15">
            <v>0</v>
          </cell>
        </row>
        <row r="16">
          <cell r="A16" t="str">
            <v>Lost Income, Lower Rent/Retention</v>
          </cell>
          <cell r="B16">
            <v>0</v>
          </cell>
          <cell r="C16">
            <v>0</v>
          </cell>
          <cell r="D16">
            <v>0</v>
          </cell>
          <cell r="E16">
            <v>0</v>
          </cell>
          <cell r="G16">
            <v>0</v>
          </cell>
          <cell r="H16">
            <v>0</v>
          </cell>
        </row>
        <row r="17">
          <cell r="A17" t="str">
            <v>Acq. &amp; Develop. NOI</v>
          </cell>
          <cell r="B17">
            <v>562.625</v>
          </cell>
          <cell r="C17">
            <v>0</v>
          </cell>
          <cell r="D17">
            <v>-562.625</v>
          </cell>
          <cell r="E17">
            <v>-1.9474731741086881E-2</v>
          </cell>
          <cell r="G17">
            <v>0</v>
          </cell>
          <cell r="H17">
            <v>0</v>
          </cell>
        </row>
        <row r="18">
          <cell r="A18" t="str">
            <v xml:space="preserve">    Net Operating Income</v>
          </cell>
          <cell r="B18">
            <v>40660.906134955825</v>
          </cell>
          <cell r="C18">
            <v>41110</v>
          </cell>
          <cell r="D18">
            <v>449.09386504417489</v>
          </cell>
          <cell r="E18">
            <v>1.5544958983875905E-2</v>
          </cell>
          <cell r="G18">
            <v>38855</v>
          </cell>
          <cell r="H18">
            <v>40957</v>
          </cell>
        </row>
        <row r="19">
          <cell r="J19" t="str">
            <v>2q05</v>
          </cell>
          <cell r="K19" t="str">
            <v>1q06</v>
          </cell>
        </row>
        <row r="20">
          <cell r="A20" t="str">
            <v xml:space="preserve">  General and Administrative</v>
          </cell>
          <cell r="B20">
            <v>1403.3676714425078</v>
          </cell>
          <cell r="C20">
            <v>1872</v>
          </cell>
          <cell r="D20">
            <v>-468.6323285574922</v>
          </cell>
          <cell r="E20">
            <v>-1.6221264401436213E-2</v>
          </cell>
          <cell r="G20">
            <v>1326</v>
          </cell>
          <cell r="H20">
            <v>1650</v>
          </cell>
          <cell r="J20">
            <v>0.41176470588235303</v>
          </cell>
          <cell r="K20">
            <v>0.13454545454545452</v>
          </cell>
        </row>
        <row r="22">
          <cell r="A22" t="str">
            <v>EBITDA</v>
          </cell>
          <cell r="B22">
            <v>39257.538463513316</v>
          </cell>
          <cell r="C22">
            <v>39238</v>
          </cell>
          <cell r="D22">
            <v>-19.538463513315946</v>
          </cell>
          <cell r="E22">
            <v>-6.763054175602612E-4</v>
          </cell>
          <cell r="G22">
            <v>37529</v>
          </cell>
          <cell r="H22">
            <v>39307</v>
          </cell>
        </row>
        <row r="24">
          <cell r="A24" t="str">
            <v xml:space="preserve">  Equity in income of joint ventures</v>
          </cell>
          <cell r="B24">
            <v>0</v>
          </cell>
          <cell r="C24">
            <v>0</v>
          </cell>
          <cell r="D24">
            <v>0</v>
          </cell>
          <cell r="E24">
            <v>0</v>
          </cell>
          <cell r="G24">
            <v>0</v>
          </cell>
          <cell r="H24">
            <v>0</v>
          </cell>
        </row>
        <row r="25">
          <cell r="A25" t="str">
            <v xml:space="preserve">  Interest Expense</v>
          </cell>
          <cell r="B25">
            <v>526.11232952727266</v>
          </cell>
          <cell r="C25">
            <v>517</v>
          </cell>
          <cell r="D25">
            <v>9.1123295272726637</v>
          </cell>
          <cell r="E25">
            <v>3.1541465999559238E-4</v>
          </cell>
          <cell r="G25">
            <v>280</v>
          </cell>
          <cell r="H25">
            <v>513</v>
          </cell>
        </row>
        <row r="26">
          <cell r="A26" t="str">
            <v xml:space="preserve">  Depreciation and Amortization</v>
          </cell>
          <cell r="B26">
            <v>21070.410915145465</v>
          </cell>
          <cell r="C26">
            <v>20950</v>
          </cell>
          <cell r="D26">
            <v>120.41091514546497</v>
          </cell>
          <cell r="E26">
            <v>4.1679098354262707E-3</v>
          </cell>
          <cell r="G26">
            <v>18513</v>
          </cell>
          <cell r="H26">
            <v>20586</v>
          </cell>
        </row>
        <row r="27">
          <cell r="A27" t="str">
            <v xml:space="preserve">  Interest &amp; Other Income</v>
          </cell>
          <cell r="B27">
            <v>1626.436245398233</v>
          </cell>
          <cell r="C27">
            <v>1573</v>
          </cell>
          <cell r="D27">
            <v>-53.436245398233041</v>
          </cell>
          <cell r="E27">
            <v>-1.8496450466678103E-3</v>
          </cell>
          <cell r="G27">
            <v>982</v>
          </cell>
          <cell r="H27">
            <v>2000</v>
          </cell>
        </row>
        <row r="28">
          <cell r="A28" t="str">
            <v xml:space="preserve">  Other Expense</v>
          </cell>
          <cell r="B28">
            <v>0</v>
          </cell>
          <cell r="C28">
            <v>0</v>
          </cell>
          <cell r="D28">
            <v>0</v>
          </cell>
          <cell r="E28">
            <v>0</v>
          </cell>
          <cell r="G28">
            <v>0</v>
          </cell>
          <cell r="H28">
            <v>0</v>
          </cell>
        </row>
        <row r="29">
          <cell r="A29" t="str">
            <v>Income Before Preferred &amp; Min. Int. &amp; Gain on Sale</v>
          </cell>
          <cell r="B29">
            <v>19287.451464238813</v>
          </cell>
          <cell r="C29">
            <v>19344</v>
          </cell>
          <cell r="D29">
            <v>56.54853576118694</v>
          </cell>
          <cell r="E29">
            <v>1.9573740311937329E-3</v>
          </cell>
          <cell r="G29">
            <v>19718</v>
          </cell>
          <cell r="H29">
            <v>20208</v>
          </cell>
        </row>
        <row r="30">
          <cell r="A30" t="str">
            <v>Income From Discontinued Operations</v>
          </cell>
          <cell r="B30">
            <v>0</v>
          </cell>
          <cell r="C30">
            <v>-28</v>
          </cell>
          <cell r="D30">
            <v>-28</v>
          </cell>
          <cell r="E30">
            <v>-9.6919349255797859E-4</v>
          </cell>
          <cell r="G30">
            <v>684</v>
          </cell>
          <cell r="H30">
            <v>-97</v>
          </cell>
        </row>
        <row r="31">
          <cell r="A31" t="str">
            <v>Impairment Charge on Prop. Held For Sale</v>
          </cell>
          <cell r="B31">
            <v>0</v>
          </cell>
          <cell r="C31">
            <v>0</v>
          </cell>
          <cell r="D31">
            <v>0</v>
          </cell>
          <cell r="E31">
            <v>0</v>
          </cell>
          <cell r="G31">
            <v>0</v>
          </cell>
          <cell r="H31">
            <v>0</v>
          </cell>
        </row>
        <row r="32">
          <cell r="A32" t="str">
            <v xml:space="preserve">  Preferred Unit Dividend</v>
          </cell>
          <cell r="B32">
            <v>2780.9375</v>
          </cell>
          <cell r="C32">
            <v>2781</v>
          </cell>
          <cell r="D32">
            <v>-6.25E-2</v>
          </cell>
          <cell r="E32">
            <v>-2.1633783316026307E-6</v>
          </cell>
          <cell r="G32">
            <v>2691</v>
          </cell>
          <cell r="H32">
            <v>2781</v>
          </cell>
        </row>
        <row r="33">
          <cell r="A33" t="str">
            <v xml:space="preserve">  Preferred Stock Dividend</v>
          </cell>
          <cell r="B33">
            <v>10376.186643835617</v>
          </cell>
          <cell r="C33">
            <v>10598</v>
          </cell>
          <cell r="D33">
            <v>-221.81335616438264</v>
          </cell>
          <cell r="E33">
            <v>-7.6778593341773156E-3</v>
          </cell>
          <cell r="G33">
            <v>10733</v>
          </cell>
          <cell r="H33">
            <v>11255</v>
          </cell>
        </row>
        <row r="34">
          <cell r="A34" t="str">
            <v xml:space="preserve">  Preferred Redemption Cost</v>
          </cell>
          <cell r="B34">
            <v>-1700</v>
          </cell>
          <cell r="C34">
            <v>-1658</v>
          </cell>
          <cell r="D34">
            <v>-42</v>
          </cell>
          <cell r="E34">
            <v>-1.4537902388369677E-3</v>
          </cell>
        </row>
        <row r="35">
          <cell r="A35" t="str">
            <v>Income Before Minority Int. &amp; Gain on Sale</v>
          </cell>
          <cell r="B35">
            <v>4430.3273204031957</v>
          </cell>
          <cell r="C35">
            <v>4279</v>
          </cell>
          <cell r="D35">
            <v>-151.3273204031957</v>
          </cell>
          <cell r="E35">
            <v>-5.2380519350361957E-3</v>
          </cell>
          <cell r="G35">
            <v>6677</v>
          </cell>
          <cell r="H35">
            <v>6075</v>
          </cell>
        </row>
        <row r="36">
          <cell r="A36" t="str">
            <v xml:space="preserve">  Minority Interest in Earnings</v>
          </cell>
          <cell r="B36">
            <v>1711.5365426340759</v>
          </cell>
          <cell r="C36">
            <v>1501</v>
          </cell>
          <cell r="D36">
            <v>210.53654263407589</v>
          </cell>
          <cell r="E36">
            <v>7.2875231095214914E-3</v>
          </cell>
          <cell r="G36">
            <v>1921</v>
          </cell>
          <cell r="H36">
            <v>1724</v>
          </cell>
        </row>
        <row r="37">
          <cell r="A37" t="str">
            <v>Interest Before Gain on Sale</v>
          </cell>
          <cell r="B37">
            <v>2718.7907777691198</v>
          </cell>
          <cell r="C37">
            <v>2778</v>
          </cell>
          <cell r="D37">
            <v>59.209222230880187</v>
          </cell>
          <cell r="E37">
            <v>2.0494711744852953E-3</v>
          </cell>
          <cell r="G37">
            <v>4756</v>
          </cell>
          <cell r="H37">
            <v>4351</v>
          </cell>
        </row>
        <row r="38">
          <cell r="A38" t="str">
            <v>Gain or loss on marketable securities</v>
          </cell>
          <cell r="B38">
            <v>0</v>
          </cell>
          <cell r="C38">
            <v>0</v>
          </cell>
          <cell r="D38">
            <v>0</v>
          </cell>
          <cell r="E38">
            <v>0</v>
          </cell>
          <cell r="G38">
            <v>0</v>
          </cell>
          <cell r="H38">
            <v>0</v>
          </cell>
        </row>
        <row r="39">
          <cell r="A39" t="str">
            <v>Gain on disposition of Real Estate</v>
          </cell>
          <cell r="B39">
            <v>0</v>
          </cell>
          <cell r="C39">
            <v>1617</v>
          </cell>
          <cell r="D39">
            <v>1617</v>
          </cell>
          <cell r="E39">
            <v>5.5970924195223259E-2</v>
          </cell>
          <cell r="G39">
            <v>1016</v>
          </cell>
          <cell r="H39">
            <v>711</v>
          </cell>
        </row>
        <row r="40">
          <cell r="A40" t="str">
            <v>Net Income</v>
          </cell>
          <cell r="B40">
            <v>2718.7907777691198</v>
          </cell>
          <cell r="C40">
            <v>4395</v>
          </cell>
          <cell r="D40">
            <v>1676.2092222308802</v>
          </cell>
          <cell r="E40">
            <v>5.8020395369708558E-2</v>
          </cell>
          <cell r="G40">
            <v>5772</v>
          </cell>
          <cell r="H40">
            <v>5062</v>
          </cell>
        </row>
        <row r="41">
          <cell r="A41" t="str">
            <v>Adjustment: Gains and Extraordinary Items</v>
          </cell>
          <cell r="B41">
            <v>0</v>
          </cell>
          <cell r="C41">
            <v>1617</v>
          </cell>
          <cell r="D41">
            <v>1617</v>
          </cell>
          <cell r="E41">
            <v>5.5970924195223259E-2</v>
          </cell>
          <cell r="G41">
            <v>1016</v>
          </cell>
          <cell r="H41">
            <v>711</v>
          </cell>
        </row>
        <row r="42">
          <cell r="A42" t="str">
            <v xml:space="preserve">   Normalized Earnings</v>
          </cell>
          <cell r="B42">
            <v>2718.7907777691198</v>
          </cell>
          <cell r="C42">
            <v>2778</v>
          </cell>
          <cell r="D42">
            <v>59.209222230880187</v>
          </cell>
          <cell r="E42">
            <v>2.0494711744852953E-3</v>
          </cell>
          <cell r="G42">
            <v>4756</v>
          </cell>
          <cell r="H42">
            <v>4351</v>
          </cell>
        </row>
        <row r="45">
          <cell r="A45" t="str">
            <v>-Gain or loss on marketable securities</v>
          </cell>
          <cell r="B45">
            <v>0</v>
          </cell>
          <cell r="C45">
            <v>0</v>
          </cell>
          <cell r="D45">
            <v>0</v>
          </cell>
          <cell r="E45">
            <v>0</v>
          </cell>
          <cell r="G45">
            <v>0</v>
          </cell>
          <cell r="H45">
            <v>0</v>
          </cell>
        </row>
        <row r="46">
          <cell r="A46" t="str">
            <v>-Gain on Sale of real estate</v>
          </cell>
          <cell r="B46">
            <v>0</v>
          </cell>
          <cell r="C46">
            <v>-1617</v>
          </cell>
          <cell r="D46">
            <v>-1617</v>
          </cell>
          <cell r="E46">
            <v>-5.5970924195223259E-2</v>
          </cell>
          <cell r="G46">
            <v>-1016</v>
          </cell>
          <cell r="H46">
            <v>-711</v>
          </cell>
        </row>
        <row r="47">
          <cell r="A47" t="str">
            <v>-Equity income from sale of JV properties</v>
          </cell>
          <cell r="B47">
            <v>0</v>
          </cell>
          <cell r="C47">
            <v>0</v>
          </cell>
          <cell r="D47">
            <v>0</v>
          </cell>
          <cell r="E47">
            <v>0</v>
          </cell>
          <cell r="G47">
            <v>0</v>
          </cell>
          <cell r="H47">
            <v>0</v>
          </cell>
        </row>
        <row r="48">
          <cell r="A48" t="str">
            <v xml:space="preserve">  + Depreciation and Amortization</v>
          </cell>
          <cell r="B48">
            <v>21070.410915145465</v>
          </cell>
          <cell r="C48">
            <v>20950</v>
          </cell>
          <cell r="D48">
            <v>-120.41091514546497</v>
          </cell>
          <cell r="E48">
            <v>-4.1679098354262707E-3</v>
          </cell>
          <cell r="G48">
            <v>19084</v>
          </cell>
          <cell r="H48">
            <v>20612</v>
          </cell>
        </row>
        <row r="49">
          <cell r="A49" t="str">
            <v xml:space="preserve">  + D&amp;A from uncon. JV</v>
          </cell>
          <cell r="B49">
            <v>0</v>
          </cell>
          <cell r="C49">
            <v>0</v>
          </cell>
          <cell r="D49">
            <v>0</v>
          </cell>
          <cell r="E49">
            <v>0</v>
          </cell>
          <cell r="G49">
            <v>0</v>
          </cell>
          <cell r="H49">
            <v>0</v>
          </cell>
        </row>
        <row r="50">
          <cell r="A50" t="str">
            <v xml:space="preserve">  + Minority Interest in Income</v>
          </cell>
          <cell r="B50">
            <v>1711.5365426340759</v>
          </cell>
          <cell r="C50">
            <v>1501</v>
          </cell>
          <cell r="D50">
            <v>-210.53654263407589</v>
          </cell>
          <cell r="E50">
            <v>-7.2875231095214914E-3</v>
          </cell>
          <cell r="G50">
            <v>1921</v>
          </cell>
          <cell r="H50">
            <v>1724</v>
          </cell>
        </row>
        <row r="51">
          <cell r="A51" t="str">
            <v xml:space="preserve">  + Impairment Charge on Prop. Held for Sale</v>
          </cell>
          <cell r="B51">
            <v>0</v>
          </cell>
          <cell r="C51">
            <v>0</v>
          </cell>
          <cell r="D51">
            <v>0</v>
          </cell>
          <cell r="E51">
            <v>0</v>
          </cell>
          <cell r="G51">
            <v>0</v>
          </cell>
          <cell r="H51">
            <v>0</v>
          </cell>
        </row>
        <row r="52">
          <cell r="A52" t="str">
            <v xml:space="preserve">  - Adjustment For Straight-lining</v>
          </cell>
          <cell r="B52">
            <v>0</v>
          </cell>
          <cell r="C52">
            <v>0</v>
          </cell>
          <cell r="D52">
            <v>0</v>
          </cell>
          <cell r="E52">
            <v>0</v>
          </cell>
          <cell r="G52">
            <v>0</v>
          </cell>
          <cell r="H52">
            <v>0</v>
          </cell>
        </row>
        <row r="53">
          <cell r="A53" t="str">
            <v xml:space="preserve">   Funds From Operations</v>
          </cell>
          <cell r="B53">
            <v>25500.738235548659</v>
          </cell>
          <cell r="C53">
            <v>25229</v>
          </cell>
          <cell r="D53">
            <v>-271.73823554865885</v>
          </cell>
          <cell r="E53">
            <v>-9.4059617704624031E-3</v>
          </cell>
          <cell r="G53">
            <v>25761</v>
          </cell>
          <cell r="H53">
            <v>26687</v>
          </cell>
        </row>
        <row r="54">
          <cell r="J54" t="str">
            <v>2q05</v>
          </cell>
          <cell r="K54" t="str">
            <v>1q06</v>
          </cell>
        </row>
        <row r="55">
          <cell r="A55" t="str">
            <v xml:space="preserve"> - TIs &amp; Leasing Commissions</v>
          </cell>
          <cell r="B55">
            <v>3895.6318986636388</v>
          </cell>
          <cell r="C55">
            <v>7683</v>
          </cell>
          <cell r="D55">
            <v>-3787.3681013363612</v>
          </cell>
          <cell r="E55">
            <v>-0.13109616134774529</v>
          </cell>
          <cell r="G55">
            <v>6938</v>
          </cell>
          <cell r="H55">
            <v>3924</v>
          </cell>
          <cell r="J55">
            <v>0.10737964831363511</v>
          </cell>
          <cell r="K55">
            <v>0.95795107033639137</v>
          </cell>
        </row>
        <row r="56">
          <cell r="A56" t="str">
            <v xml:space="preserve"> - Capital Expenditures</v>
          </cell>
          <cell r="B56">
            <v>996.74169884258242</v>
          </cell>
          <cell r="C56">
            <v>1859</v>
          </cell>
          <cell r="D56">
            <v>-862.25830115741758</v>
          </cell>
          <cell r="E56">
            <v>-2.9846254799495243E-2</v>
          </cell>
          <cell r="G56">
            <v>1165</v>
          </cell>
          <cell r="H56">
            <v>1004</v>
          </cell>
          <cell r="J56">
            <v>0.59570815450643777</v>
          </cell>
          <cell r="K56">
            <v>0.85159362549800788</v>
          </cell>
        </row>
        <row r="57">
          <cell r="A57" t="str">
            <v xml:space="preserve"> - Straight Line Rent Adjustment</v>
          </cell>
          <cell r="B57">
            <v>536</v>
          </cell>
          <cell r="C57">
            <v>972</v>
          </cell>
          <cell r="D57">
            <v>-436</v>
          </cell>
          <cell r="E57">
            <v>-1.5091727241259952E-2</v>
          </cell>
          <cell r="G57">
            <v>1030</v>
          </cell>
          <cell r="H57">
            <v>536</v>
          </cell>
        </row>
        <row r="58">
          <cell r="A58" t="str">
            <v xml:space="preserve"> + Stock Based Comp. Expense</v>
          </cell>
          <cell r="B58">
            <v>526</v>
          </cell>
          <cell r="C58">
            <v>719</v>
          </cell>
          <cell r="D58">
            <v>-193</v>
          </cell>
          <cell r="E58">
            <v>-6.6805122879889239E-3</v>
          </cell>
          <cell r="G58">
            <v>306</v>
          </cell>
          <cell r="H58">
            <v>526</v>
          </cell>
        </row>
        <row r="59">
          <cell r="A59" t="str">
            <v xml:space="preserve"> + Impact of EITF D-42</v>
          </cell>
          <cell r="B59">
            <v>1700</v>
          </cell>
          <cell r="C59">
            <v>1658</v>
          </cell>
          <cell r="G59">
            <v>301</v>
          </cell>
          <cell r="H59">
            <v>0</v>
          </cell>
        </row>
        <row r="60">
          <cell r="A60" t="str">
            <v xml:space="preserve">   Adjusted Funds From Operations</v>
          </cell>
          <cell r="B60">
            <v>22298.364638042436</v>
          </cell>
          <cell r="C60">
            <v>17092</v>
          </cell>
          <cell r="D60">
            <v>-5206.3646380424361</v>
          </cell>
          <cell r="E60">
            <v>-0.18021338310981086</v>
          </cell>
          <cell r="G60">
            <v>17235</v>
          </cell>
          <cell r="H60">
            <v>21749</v>
          </cell>
        </row>
        <row r="62">
          <cell r="A62" t="str">
            <v xml:space="preserve">FFO Per Share - Diluted </v>
          </cell>
          <cell r="B62">
            <v>0.87894179283592389</v>
          </cell>
          <cell r="C62">
            <v>0.87327795084804427</v>
          </cell>
          <cell r="D62">
            <v>-5.6638419878796142E-3</v>
          </cell>
          <cell r="G62">
            <v>0.87819595009204332</v>
          </cell>
          <cell r="H62">
            <v>0.91982904215351735</v>
          </cell>
        </row>
        <row r="64">
          <cell r="A64" t="str">
            <v>Adjusted FFO Per Share - Diluted</v>
          </cell>
          <cell r="B64">
            <v>0.76856459649269071</v>
          </cell>
          <cell r="C64">
            <v>0.59162339910003459</v>
          </cell>
          <cell r="G64">
            <v>0.58754346492125176</v>
          </cell>
          <cell r="H64">
            <v>0.74962947644159517</v>
          </cell>
        </row>
        <row r="65">
          <cell r="A65" t="str">
            <v>NOI Per Share</v>
          </cell>
          <cell r="B65">
            <v>1.4014719654967023</v>
          </cell>
          <cell r="C65">
            <v>1.4229837313949463</v>
          </cell>
          <cell r="G65">
            <v>1.324572168814345</v>
          </cell>
          <cell r="H65">
            <v>1.4116775238686106</v>
          </cell>
        </row>
        <row r="66">
          <cell r="A66" t="str">
            <v>EBITDA Per Share</v>
          </cell>
          <cell r="B66">
            <v>1.3531016600666361</v>
          </cell>
          <cell r="C66">
            <v>1.3581862236067843</v>
          </cell>
          <cell r="G66">
            <v>1.2793686507124837</v>
          </cell>
          <cell r="H66">
            <v>1.3548064660669354</v>
          </cell>
        </row>
        <row r="68">
          <cell r="A68" t="str">
            <v>Dividends Per Share</v>
          </cell>
          <cell r="B68">
            <v>0.28999999999999998</v>
          </cell>
          <cell r="C68">
            <v>0.28999999999999998</v>
          </cell>
          <cell r="G68">
            <v>0.28999999999999998</v>
          </cell>
          <cell r="H68">
            <v>0.28999999999999998</v>
          </cell>
        </row>
        <row r="70">
          <cell r="A70" t="str">
            <v xml:space="preserve">Payout Ratio (Net Income) </v>
          </cell>
          <cell r="B70">
            <v>2.3154852706855102</v>
          </cell>
          <cell r="C70">
            <v>1.4242662116040954</v>
          </cell>
          <cell r="G70">
            <v>1.1067931392931394</v>
          </cell>
          <cell r="H70">
            <v>1.243642828921375</v>
          </cell>
        </row>
        <row r="71">
          <cell r="A71" t="str">
            <v xml:space="preserve">Payout Ratio (FFO) </v>
          </cell>
          <cell r="B71">
            <v>0.32994221274233526</v>
          </cell>
          <cell r="C71">
            <v>0.33208212771017481</v>
          </cell>
          <cell r="G71">
            <v>0.33022242925352274</v>
          </cell>
          <cell r="H71">
            <v>0.31527597706748606</v>
          </cell>
        </row>
        <row r="72">
          <cell r="A72" t="str">
            <v xml:space="preserve">Payout Ratio (AFFO) </v>
          </cell>
          <cell r="B72">
            <v>0.37732677425346117</v>
          </cell>
          <cell r="C72">
            <v>0.49017669084952026</v>
          </cell>
          <cell r="G72">
            <v>0.49358050478677112</v>
          </cell>
          <cell r="H72">
            <v>0.3868577865648995</v>
          </cell>
        </row>
        <row r="74">
          <cell r="A74" t="str">
            <v>Weighted Avg. Diluted Shrs. (Thous.)</v>
          </cell>
          <cell r="B74">
            <v>21708</v>
          </cell>
          <cell r="C74">
            <v>21585</v>
          </cell>
          <cell r="D74">
            <v>-123</v>
          </cell>
          <cell r="G74">
            <v>22029</v>
          </cell>
          <cell r="H74">
            <v>21708</v>
          </cell>
        </row>
        <row r="75">
          <cell r="A75" t="str">
            <v>Diluted Shares and Units (Thous.)</v>
          </cell>
          <cell r="B75">
            <v>29013</v>
          </cell>
          <cell r="C75">
            <v>28890</v>
          </cell>
          <cell r="D75">
            <v>-123</v>
          </cell>
          <cell r="G75">
            <v>29334</v>
          </cell>
          <cell r="H75">
            <v>29013</v>
          </cell>
        </row>
        <row r="77">
          <cell r="A77" t="str">
            <v>E = Morgan Stanley Estimates</v>
          </cell>
        </row>
        <row r="80">
          <cell r="A80" t="str">
            <v>Matthew Ostrower</v>
          </cell>
          <cell r="H80" t="str">
            <v>(212) 761-6284</v>
          </cell>
        </row>
        <row r="81">
          <cell r="A81" t="str">
            <v>Morgan Stanley  REIT Research</v>
          </cell>
          <cell r="H81" t="str">
            <v>matthew.ostrower@morganstanley.com</v>
          </cell>
        </row>
      </sheetData>
      <sheetData sheetId="12" refreshError="1"/>
      <sheetData sheetId="13" refreshError="1"/>
      <sheetData sheetId="14" refreshError="1"/>
      <sheetData sheetId="15" refreshError="1">
        <row r="1">
          <cell r="A1" t="str">
            <v>PS Business Parks</v>
          </cell>
          <cell r="H1" t="str">
            <v>David Cohen</v>
          </cell>
        </row>
        <row r="2">
          <cell r="A2" t="str">
            <v>Quarterly Earnings Variance Analysis</v>
          </cell>
          <cell r="H2" t="str">
            <v>Morgan Stanley REIT Research Team</v>
          </cell>
        </row>
        <row r="3">
          <cell r="A3" t="str">
            <v>($ in Thousands, Except per Share Amounts)</v>
          </cell>
          <cell r="H3" t="str">
            <v>(212) 761-8564  Dave.Cohen@morganstanley.com</v>
          </cell>
        </row>
        <row r="6">
          <cell r="B6" t="str">
            <v>MS</v>
          </cell>
          <cell r="C6" t="str">
            <v>Reported</v>
          </cell>
          <cell r="E6" t="str">
            <v>Per Share</v>
          </cell>
        </row>
        <row r="7">
          <cell r="A7" t="str">
            <v>Year Ends December 31</v>
          </cell>
          <cell r="B7" t="str">
            <v>4Q07E</v>
          </cell>
          <cell r="C7" t="str">
            <v>4Q07A</v>
          </cell>
          <cell r="D7" t="str">
            <v>Variance</v>
          </cell>
          <cell r="E7" t="str">
            <v>Impact</v>
          </cell>
          <cell r="F7" t="str">
            <v>Comments</v>
          </cell>
          <cell r="G7" t="str">
            <v>4Q06A</v>
          </cell>
          <cell r="H7" t="str">
            <v>3Q07A</v>
          </cell>
        </row>
        <row r="9">
          <cell r="A9" t="str">
            <v>Operating Margin</v>
          </cell>
          <cell r="B9">
            <v>0.31</v>
          </cell>
          <cell r="C9">
            <v>0.31061191764739571</v>
          </cell>
          <cell r="G9">
            <v>0.30854870140242147</v>
          </cell>
          <cell r="H9">
            <v>0.3094119363782285</v>
          </cell>
        </row>
        <row r="10">
          <cell r="A10" t="str">
            <v>G&amp;A Margin</v>
          </cell>
          <cell r="B10">
            <v>1.6625755992051454E-2</v>
          </cell>
          <cell r="C10">
            <v>1.5806330519236758E-2</v>
          </cell>
          <cell r="G10">
            <v>1.5951875822434677E-2</v>
          </cell>
          <cell r="H10">
            <v>1.7963616065765103E-2</v>
          </cell>
        </row>
        <row r="12">
          <cell r="A12" t="str">
            <v>Rental Income</v>
          </cell>
          <cell r="B12">
            <v>68809.935416248554</v>
          </cell>
          <cell r="C12">
            <v>69846</v>
          </cell>
          <cell r="D12">
            <v>1036.0645837514458</v>
          </cell>
          <cell r="E12">
            <v>3.5944510954463146E-2</v>
          </cell>
          <cell r="G12">
            <v>62606</v>
          </cell>
          <cell r="H12">
            <v>68530</v>
          </cell>
        </row>
        <row r="13">
          <cell r="A13" t="str">
            <v>Rental Income</v>
          </cell>
          <cell r="B13">
            <v>55175</v>
          </cell>
          <cell r="C13">
            <v>55175</v>
          </cell>
          <cell r="D13">
            <v>0</v>
          </cell>
          <cell r="E13" t="e">
            <v>#REF!</v>
          </cell>
          <cell r="G13">
            <v>48922</v>
          </cell>
          <cell r="H13">
            <v>49532</v>
          </cell>
        </row>
        <row r="14">
          <cell r="A14" t="str">
            <v>Facility Management Fees</v>
          </cell>
          <cell r="B14">
            <v>177.72302011784612</v>
          </cell>
          <cell r="C14">
            <v>182</v>
          </cell>
          <cell r="D14">
            <v>4.2769798821538814</v>
          </cell>
          <cell r="E14">
            <v>1.4838259374666532E-4</v>
          </cell>
          <cell r="G14">
            <v>183</v>
          </cell>
          <cell r="H14">
            <v>177</v>
          </cell>
        </row>
        <row r="15">
          <cell r="A15" t="str">
            <v>Business Services Income</v>
          </cell>
          <cell r="B15">
            <v>0</v>
          </cell>
          <cell r="C15">
            <v>0</v>
          </cell>
          <cell r="D15">
            <v>0</v>
          </cell>
          <cell r="E15">
            <v>0</v>
          </cell>
          <cell r="G15">
            <v>0</v>
          </cell>
          <cell r="H15">
            <v>0</v>
          </cell>
        </row>
        <row r="16">
          <cell r="A16" t="str">
            <v>Cost of Operations</v>
          </cell>
          <cell r="B16">
            <v>21331.079979037051</v>
          </cell>
          <cell r="C16">
            <v>21695</v>
          </cell>
          <cell r="D16">
            <v>-363.92002096294891</v>
          </cell>
          <cell r="E16">
            <v>-1.2625590513563312E-2</v>
          </cell>
          <cell r="G16">
            <v>19317</v>
          </cell>
          <cell r="H16">
            <v>21204</v>
          </cell>
        </row>
        <row r="17">
          <cell r="A17" t="str">
            <v>Cost of Facility Management</v>
          </cell>
          <cell r="B17">
            <v>0</v>
          </cell>
          <cell r="C17">
            <v>0</v>
          </cell>
          <cell r="D17">
            <v>0</v>
          </cell>
          <cell r="E17">
            <v>0</v>
          </cell>
          <cell r="G17">
            <v>0</v>
          </cell>
          <cell r="H17">
            <v>0</v>
          </cell>
        </row>
        <row r="18">
          <cell r="A18" t="str">
            <v>Cost of Business Services</v>
          </cell>
          <cell r="B18">
            <v>0</v>
          </cell>
          <cell r="C18">
            <v>0</v>
          </cell>
          <cell r="D18">
            <v>0</v>
          </cell>
          <cell r="E18">
            <v>0</v>
          </cell>
          <cell r="G18">
            <v>0</v>
          </cell>
          <cell r="H18">
            <v>0</v>
          </cell>
        </row>
        <row r="19">
          <cell r="A19" t="str">
            <v>Lost Income, Lower Rent/Retention</v>
          </cell>
          <cell r="B19">
            <v>0</v>
          </cell>
          <cell r="C19">
            <v>0</v>
          </cell>
          <cell r="D19">
            <v>0</v>
          </cell>
          <cell r="E19">
            <v>0</v>
          </cell>
          <cell r="G19">
            <v>0</v>
          </cell>
          <cell r="H19">
            <v>0</v>
          </cell>
        </row>
        <row r="20">
          <cell r="A20" t="str">
            <v>Acq. &amp; Develop. NOI</v>
          </cell>
          <cell r="B20">
            <v>190.5</v>
          </cell>
          <cell r="C20">
            <v>0</v>
          </cell>
          <cell r="D20">
            <v>-190.5</v>
          </cell>
          <cell r="E20">
            <v>-6.6090757701915068E-3</v>
          </cell>
          <cell r="G20">
            <v>0</v>
          </cell>
          <cell r="H20">
            <v>0</v>
          </cell>
        </row>
        <row r="21">
          <cell r="A21" t="str">
            <v xml:space="preserve">    Net Operating Income</v>
          </cell>
          <cell r="B21">
            <v>47847.078457329349</v>
          </cell>
          <cell r="C21">
            <v>48333</v>
          </cell>
          <cell r="D21">
            <v>485.92154267065052</v>
          </cell>
          <cell r="E21">
            <v>1.6858227264454986E-2</v>
          </cell>
          <cell r="G21">
            <v>43472</v>
          </cell>
          <cell r="H21">
            <v>47503</v>
          </cell>
        </row>
        <row r="22">
          <cell r="J22" t="str">
            <v>PY</v>
          </cell>
          <cell r="K22" t="str">
            <v>PQ</v>
          </cell>
        </row>
        <row r="23">
          <cell r="A23" t="str">
            <v xml:space="preserve">  General and Administrative</v>
          </cell>
          <cell r="B23">
            <v>2064.2980624874567</v>
          </cell>
          <cell r="C23">
            <v>1979</v>
          </cell>
          <cell r="D23">
            <v>85.298062487456718</v>
          </cell>
          <cell r="E23">
            <v>2.9592722206306103E-3</v>
          </cell>
          <cell r="G23">
            <v>1782</v>
          </cell>
          <cell r="H23">
            <v>2124</v>
          </cell>
          <cell r="J23">
            <v>0.11054994388327732</v>
          </cell>
          <cell r="K23">
            <v>-6.8267419962335207E-2</v>
          </cell>
        </row>
        <row r="25">
          <cell r="A25" t="str">
            <v>EBITDA</v>
          </cell>
          <cell r="B25">
            <v>45782.780394841895</v>
          </cell>
          <cell r="C25">
            <v>46354</v>
          </cell>
          <cell r="D25">
            <v>571.21960515810497</v>
          </cell>
          <cell r="E25">
            <v>1.9817499485085519E-2</v>
          </cell>
          <cell r="G25">
            <v>41690</v>
          </cell>
          <cell r="H25">
            <v>45379</v>
          </cell>
        </row>
        <row r="27">
          <cell r="A27" t="str">
            <v xml:space="preserve">  Equity in income of joint ventures</v>
          </cell>
          <cell r="B27">
            <v>0</v>
          </cell>
          <cell r="C27">
            <v>0</v>
          </cell>
          <cell r="D27">
            <v>0</v>
          </cell>
          <cell r="E27">
            <v>0</v>
          </cell>
          <cell r="G27">
            <v>0</v>
          </cell>
          <cell r="H27">
            <v>0</v>
          </cell>
        </row>
        <row r="28">
          <cell r="A28" t="str">
            <v xml:space="preserve">  Interest Expense</v>
          </cell>
          <cell r="B28">
            <v>879.35412906378406</v>
          </cell>
          <cell r="C28">
            <v>1002</v>
          </cell>
          <cell r="D28">
            <v>-122.64587093621594</v>
          </cell>
          <cell r="E28">
            <v>-4.2549913591526482E-3</v>
          </cell>
          <cell r="G28">
            <v>917</v>
          </cell>
          <cell r="H28">
            <v>1009</v>
          </cell>
        </row>
        <row r="29">
          <cell r="A29" t="str">
            <v xml:space="preserve">  Depreciation and Amortization</v>
          </cell>
          <cell r="B29">
            <v>25633.254060905736</v>
          </cell>
          <cell r="C29">
            <v>26680</v>
          </cell>
          <cell r="D29">
            <v>-1046.745939094264</v>
          </cell>
          <cell r="E29">
            <v>-3.6315082538657506E-2</v>
          </cell>
          <cell r="G29">
            <v>22496</v>
          </cell>
          <cell r="H29">
            <v>25285</v>
          </cell>
        </row>
        <row r="30">
          <cell r="A30" t="str">
            <v xml:space="preserve">  Interest &amp; Other Income</v>
          </cell>
          <cell r="B30">
            <v>1159.3370377531121</v>
          </cell>
          <cell r="C30">
            <v>963</v>
          </cell>
          <cell r="D30">
            <v>-196.3370377531121</v>
          </cell>
          <cell r="E30">
            <v>-6.8115819370355296E-3</v>
          </cell>
          <cell r="G30">
            <v>1417</v>
          </cell>
          <cell r="H30">
            <v>1151</v>
          </cell>
        </row>
        <row r="31">
          <cell r="A31" t="str">
            <v xml:space="preserve">  Other Expense</v>
          </cell>
          <cell r="B31">
            <v>0</v>
          </cell>
          <cell r="C31">
            <v>0</v>
          </cell>
          <cell r="D31">
            <v>0</v>
          </cell>
          <cell r="E31">
            <v>0</v>
          </cell>
          <cell r="G31">
            <v>0</v>
          </cell>
          <cell r="H31">
            <v>0</v>
          </cell>
        </row>
        <row r="32">
          <cell r="A32" t="str">
            <v>Income Before Preferred &amp; Min. Int. &amp; Gain on Sale</v>
          </cell>
          <cell r="B32">
            <v>20429.509242625485</v>
          </cell>
          <cell r="C32">
            <v>19635</v>
          </cell>
          <cell r="D32">
            <v>-794.50924262548506</v>
          </cell>
          <cell r="E32">
            <v>-2.7564156349760099E-2</v>
          </cell>
          <cell r="G32">
            <v>19694</v>
          </cell>
          <cell r="H32">
            <v>20236</v>
          </cell>
        </row>
        <row r="33">
          <cell r="A33" t="str">
            <v>Income From Discontinued Operations</v>
          </cell>
          <cell r="B33">
            <v>0</v>
          </cell>
          <cell r="C33">
            <v>0</v>
          </cell>
          <cell r="D33">
            <v>0</v>
          </cell>
          <cell r="E33">
            <v>0</v>
          </cell>
          <cell r="G33">
            <v>0</v>
          </cell>
          <cell r="H33">
            <v>0</v>
          </cell>
        </row>
        <row r="34">
          <cell r="A34" t="str">
            <v>Impairment Charge on Prop. Held For Sale</v>
          </cell>
          <cell r="B34">
            <v>0</v>
          </cell>
          <cell r="C34">
            <v>0</v>
          </cell>
          <cell r="D34">
            <v>0</v>
          </cell>
          <cell r="E34">
            <v>0</v>
          </cell>
          <cell r="G34">
            <v>0</v>
          </cell>
          <cell r="H34">
            <v>0</v>
          </cell>
        </row>
        <row r="35">
          <cell r="A35" t="str">
            <v xml:space="preserve">  Preferred Unit Dividend</v>
          </cell>
          <cell r="B35">
            <v>1751.8125</v>
          </cell>
          <cell r="C35">
            <v>1751</v>
          </cell>
          <cell r="D35">
            <v>0.8125</v>
          </cell>
          <cell r="E35">
            <v>2.8188315292811545E-5</v>
          </cell>
          <cell r="G35">
            <v>1555</v>
          </cell>
          <cell r="H35">
            <v>1752</v>
          </cell>
        </row>
        <row r="36">
          <cell r="A36" t="str">
            <v xml:space="preserve">  Preferred Stock Dividend</v>
          </cell>
          <cell r="B36">
            <v>12756.25</v>
          </cell>
          <cell r="C36">
            <v>12756</v>
          </cell>
          <cell r="D36">
            <v>0.25</v>
          </cell>
          <cell r="E36">
            <v>8.6733277824035534E-6</v>
          </cell>
          <cell r="G36">
            <v>11442</v>
          </cell>
          <cell r="H36">
            <v>12756</v>
          </cell>
        </row>
        <row r="37">
          <cell r="A37" t="str">
            <v xml:space="preserve">  Preferred Redemption Cost</v>
          </cell>
          <cell r="B37">
            <v>0</v>
          </cell>
          <cell r="C37">
            <v>0</v>
          </cell>
          <cell r="D37">
            <v>0</v>
          </cell>
          <cell r="E37">
            <v>0</v>
          </cell>
        </row>
        <row r="38">
          <cell r="A38" t="str">
            <v>Income Before Minority Int. &amp; Gain on Sale</v>
          </cell>
          <cell r="B38">
            <v>5921.4467426254851</v>
          </cell>
          <cell r="C38">
            <v>5128</v>
          </cell>
          <cell r="D38">
            <v>-793.44674262548506</v>
          </cell>
          <cell r="E38">
            <v>-2.7527294706684882E-2</v>
          </cell>
          <cell r="G38">
            <v>4975</v>
          </cell>
          <cell r="H38">
            <v>5728</v>
          </cell>
        </row>
        <row r="39">
          <cell r="A39" t="str">
            <v xml:space="preserve">  Minority Interest in Earnings</v>
          </cell>
          <cell r="B39">
            <v>1471.5824606058181</v>
          </cell>
          <cell r="C39">
            <v>1370</v>
          </cell>
          <cell r="D39">
            <v>101.58246060581814</v>
          </cell>
          <cell r="E39">
            <v>3.5242319111094276E-3</v>
          </cell>
          <cell r="G39">
            <v>1263</v>
          </cell>
          <cell r="H39">
            <v>1461</v>
          </cell>
        </row>
        <row r="40">
          <cell r="A40" t="str">
            <v>Interest Before Gain on Sale</v>
          </cell>
          <cell r="B40">
            <v>4449.8642820196674</v>
          </cell>
          <cell r="C40">
            <v>3758</v>
          </cell>
          <cell r="D40">
            <v>-691.86428201966737</v>
          </cell>
          <cell r="E40">
            <v>-2.4003062795575472E-2</v>
          </cell>
          <cell r="G40">
            <v>3712</v>
          </cell>
          <cell r="H40">
            <v>4267</v>
          </cell>
        </row>
        <row r="41">
          <cell r="A41" t="str">
            <v>Gain or loss on marketable securities</v>
          </cell>
          <cell r="B41">
            <v>0</v>
          </cell>
          <cell r="C41">
            <v>0</v>
          </cell>
          <cell r="D41">
            <v>0</v>
          </cell>
          <cell r="E41">
            <v>0</v>
          </cell>
          <cell r="G41">
            <v>0</v>
          </cell>
          <cell r="H41">
            <v>0</v>
          </cell>
        </row>
        <row r="42">
          <cell r="A42" t="str">
            <v>Gain on disposition of Real Estate</v>
          </cell>
          <cell r="B42">
            <v>0</v>
          </cell>
          <cell r="C42">
            <v>0</v>
          </cell>
          <cell r="D42">
            <v>0</v>
          </cell>
          <cell r="E42">
            <v>0</v>
          </cell>
          <cell r="G42">
            <v>0</v>
          </cell>
          <cell r="H42">
            <v>0</v>
          </cell>
        </row>
        <row r="43">
          <cell r="A43" t="str">
            <v>Net Income</v>
          </cell>
          <cell r="B43">
            <v>4449.8642820196674</v>
          </cell>
          <cell r="C43">
            <v>3758</v>
          </cell>
          <cell r="D43">
            <v>-691.86428201966737</v>
          </cell>
          <cell r="E43">
            <v>-2.4003062795575472E-2</v>
          </cell>
          <cell r="G43">
            <v>3712</v>
          </cell>
          <cell r="H43">
            <v>4267</v>
          </cell>
        </row>
        <row r="44">
          <cell r="A44" t="str">
            <v>Adjustment: Gains and Extraordinary Items</v>
          </cell>
          <cell r="B44">
            <v>0</v>
          </cell>
          <cell r="C44">
            <v>0</v>
          </cell>
          <cell r="D44">
            <v>0</v>
          </cell>
          <cell r="E44">
            <v>0</v>
          </cell>
          <cell r="G44">
            <v>0</v>
          </cell>
          <cell r="H44">
            <v>0</v>
          </cell>
        </row>
        <row r="45">
          <cell r="A45" t="str">
            <v xml:space="preserve">   Normalized Earnings</v>
          </cell>
          <cell r="B45">
            <v>4449.8642820196674</v>
          </cell>
          <cell r="C45">
            <v>3758</v>
          </cell>
          <cell r="D45">
            <v>-691.86428201966737</v>
          </cell>
          <cell r="E45">
            <v>-2.4003062795575472E-2</v>
          </cell>
          <cell r="G45">
            <v>3712</v>
          </cell>
          <cell r="H45">
            <v>4267</v>
          </cell>
        </row>
        <row r="48">
          <cell r="A48" t="str">
            <v>-Gain or loss on marketable securities</v>
          </cell>
          <cell r="B48">
            <v>0</v>
          </cell>
          <cell r="C48">
            <v>0</v>
          </cell>
          <cell r="D48">
            <v>0</v>
          </cell>
          <cell r="E48">
            <v>0</v>
          </cell>
          <cell r="G48">
            <v>0</v>
          </cell>
          <cell r="H48">
            <v>0</v>
          </cell>
        </row>
        <row r="49">
          <cell r="A49" t="str">
            <v>-Gain on Sale of real estate</v>
          </cell>
          <cell r="B49">
            <v>0</v>
          </cell>
          <cell r="C49">
            <v>0</v>
          </cell>
          <cell r="D49">
            <v>0</v>
          </cell>
          <cell r="E49">
            <v>0</v>
          </cell>
          <cell r="G49">
            <v>0</v>
          </cell>
          <cell r="H49">
            <v>0</v>
          </cell>
        </row>
        <row r="50">
          <cell r="A50" t="str">
            <v>-Equity income from sale of JV properties</v>
          </cell>
          <cell r="B50">
            <v>0</v>
          </cell>
          <cell r="C50">
            <v>0</v>
          </cell>
          <cell r="D50">
            <v>0</v>
          </cell>
          <cell r="E50">
            <v>0</v>
          </cell>
          <cell r="G50">
            <v>0</v>
          </cell>
          <cell r="H50">
            <v>0</v>
          </cell>
        </row>
        <row r="51">
          <cell r="A51" t="str">
            <v xml:space="preserve">  + Depreciation and Amortization</v>
          </cell>
          <cell r="B51">
            <v>25633.254060905736</v>
          </cell>
          <cell r="C51">
            <v>26680</v>
          </cell>
          <cell r="D51">
            <v>1046.745939094264</v>
          </cell>
          <cell r="E51">
            <v>3.6315082538657506E-2</v>
          </cell>
          <cell r="G51">
            <v>22496</v>
          </cell>
          <cell r="H51">
            <v>25285</v>
          </cell>
        </row>
        <row r="52">
          <cell r="A52" t="str">
            <v xml:space="preserve">  + D&amp;A from uncon. JV</v>
          </cell>
          <cell r="B52">
            <v>0</v>
          </cell>
          <cell r="C52">
            <v>0</v>
          </cell>
          <cell r="D52">
            <v>0</v>
          </cell>
          <cell r="E52">
            <v>0</v>
          </cell>
          <cell r="G52">
            <v>0</v>
          </cell>
          <cell r="H52">
            <v>0</v>
          </cell>
        </row>
        <row r="53">
          <cell r="A53" t="str">
            <v xml:space="preserve">  + Minority Interest in Income</v>
          </cell>
          <cell r="B53">
            <v>1471.5824606058181</v>
          </cell>
          <cell r="C53">
            <v>1370</v>
          </cell>
          <cell r="D53">
            <v>-101.58246060581814</v>
          </cell>
          <cell r="E53">
            <v>-3.5242319111094276E-3</v>
          </cell>
          <cell r="G53">
            <v>1263</v>
          </cell>
          <cell r="H53">
            <v>1461</v>
          </cell>
        </row>
        <row r="54">
          <cell r="A54" t="str">
            <v xml:space="preserve">  + Impairment Charge on Prop. Held for Sale</v>
          </cell>
          <cell r="B54">
            <v>0</v>
          </cell>
          <cell r="C54">
            <v>0</v>
          </cell>
          <cell r="D54">
            <v>0</v>
          </cell>
          <cell r="E54">
            <v>0</v>
          </cell>
          <cell r="G54">
            <v>0</v>
          </cell>
          <cell r="H54">
            <v>0</v>
          </cell>
        </row>
        <row r="55">
          <cell r="A55" t="str">
            <v xml:space="preserve">  - Adjustment For Straight-lining</v>
          </cell>
          <cell r="B55">
            <v>0</v>
          </cell>
          <cell r="C55">
            <v>0</v>
          </cell>
          <cell r="D55">
            <v>0</v>
          </cell>
          <cell r="E55">
            <v>0</v>
          </cell>
          <cell r="G55">
            <v>0</v>
          </cell>
          <cell r="H55">
            <v>0</v>
          </cell>
        </row>
        <row r="56">
          <cell r="A56" t="str">
            <v xml:space="preserve">   Funds From Operations</v>
          </cell>
          <cell r="B56">
            <v>31554.700803531221</v>
          </cell>
          <cell r="C56">
            <v>31808</v>
          </cell>
          <cell r="D56">
            <v>253.29919646877897</v>
          </cell>
          <cell r="E56">
            <v>8.7877878319726262E-3</v>
          </cell>
          <cell r="G56">
            <v>27471</v>
          </cell>
          <cell r="H56">
            <v>31013</v>
          </cell>
        </row>
        <row r="57">
          <cell r="J57" t="str">
            <v>PY</v>
          </cell>
          <cell r="K57" t="str">
            <v>PQ</v>
          </cell>
        </row>
        <row r="58">
          <cell r="A58" t="str">
            <v xml:space="preserve"> - TIs &amp; Leasing Commissions</v>
          </cell>
          <cell r="B58">
            <v>5741.6494148795218</v>
          </cell>
          <cell r="C58">
            <v>8228</v>
          </cell>
          <cell r="D58">
            <v>-2486.3505851204782</v>
          </cell>
          <cell r="E58">
            <v>-8.6259734426883089E-2</v>
          </cell>
          <cell r="G58">
            <v>6973</v>
          </cell>
          <cell r="H58">
            <v>5673</v>
          </cell>
          <cell r="J58">
            <v>0.17997992255843975</v>
          </cell>
          <cell r="K58">
            <v>0.45037898818967026</v>
          </cell>
        </row>
        <row r="59">
          <cell r="A59" t="str">
            <v xml:space="preserve"> - Capital Expenditures</v>
          </cell>
          <cell r="B59">
            <v>4800.9973369265417</v>
          </cell>
          <cell r="C59">
            <v>3140</v>
          </cell>
          <cell r="D59">
            <v>1660.9973369265417</v>
          </cell>
          <cell r="E59">
            <v>5.7625497395453154E-2</v>
          </cell>
          <cell r="G59">
            <v>4362</v>
          </cell>
          <cell r="H59">
            <v>5646</v>
          </cell>
          <cell r="J59">
            <v>-0.28014672168729937</v>
          </cell>
          <cell r="K59">
            <v>-0.44385405596882754</v>
          </cell>
        </row>
        <row r="60">
          <cell r="A60" t="str">
            <v xml:space="preserve"> - Straight Line Rent Adjustment</v>
          </cell>
          <cell r="B60">
            <v>230</v>
          </cell>
          <cell r="C60">
            <v>33</v>
          </cell>
          <cell r="D60">
            <v>197</v>
          </cell>
          <cell r="E60">
            <v>6.8345822925339993E-3</v>
          </cell>
          <cell r="G60">
            <v>307</v>
          </cell>
          <cell r="H60">
            <v>230</v>
          </cell>
        </row>
        <row r="61">
          <cell r="A61" t="str">
            <v xml:space="preserve"> + Stock Based Comp. Expense</v>
          </cell>
          <cell r="B61">
            <v>1042</v>
          </cell>
          <cell r="C61">
            <v>978</v>
          </cell>
          <cell r="D61">
            <v>64</v>
          </cell>
          <cell r="E61">
            <v>2.2203719122953097E-3</v>
          </cell>
          <cell r="G61">
            <v>796</v>
          </cell>
          <cell r="H61">
            <v>1042</v>
          </cell>
        </row>
        <row r="62">
          <cell r="A62" t="str">
            <v xml:space="preserve"> + Impact of EITF D-42</v>
          </cell>
          <cell r="B62">
            <v>0</v>
          </cell>
          <cell r="C62">
            <v>0</v>
          </cell>
          <cell r="G62">
            <v>1722</v>
          </cell>
          <cell r="H62">
            <v>0</v>
          </cell>
        </row>
        <row r="63">
          <cell r="A63" t="str">
            <v xml:space="preserve">   Adjusted Funds From Operations</v>
          </cell>
          <cell r="B63">
            <v>21824.054051725157</v>
          </cell>
          <cell r="C63">
            <v>21385</v>
          </cell>
          <cell r="D63">
            <v>-439.05405172515748</v>
          </cell>
          <cell r="E63">
            <v>-1.5232238819218619E-2</v>
          </cell>
          <cell r="G63">
            <v>18347</v>
          </cell>
          <cell r="H63">
            <v>20506</v>
          </cell>
        </row>
        <row r="65">
          <cell r="A65" t="str">
            <v xml:space="preserve">FFO Per Share - Diluted </v>
          </cell>
          <cell r="B65">
            <v>1.0886186712044166</v>
          </cell>
          <cell r="C65">
            <v>1.1035248404107687</v>
          </cell>
          <cell r="D65">
            <v>1.4906169206352127E-2</v>
          </cell>
          <cell r="G65">
            <v>0.94999481273991082</v>
          </cell>
          <cell r="H65">
            <v>1.0723349815013312</v>
          </cell>
        </row>
        <row r="66">
          <cell r="J66">
            <v>17989</v>
          </cell>
          <cell r="K66">
            <v>19179</v>
          </cell>
          <cell r="L66">
            <v>-6.2047030606392384E-2</v>
          </cell>
        </row>
        <row r="67">
          <cell r="A67" t="str">
            <v>Adjusted FFO Per Share - Diluted</v>
          </cell>
          <cell r="B67">
            <v>0.7529170651944096</v>
          </cell>
          <cell r="C67">
            <v>0.74191645850679988</v>
          </cell>
          <cell r="G67">
            <v>0.63447107237956912</v>
          </cell>
          <cell r="H67">
            <v>0.70903495729746546</v>
          </cell>
          <cell r="J67">
            <v>5334</v>
          </cell>
          <cell r="K67">
            <v>8567</v>
          </cell>
          <cell r="L67">
            <v>-0.37737831212793271</v>
          </cell>
        </row>
        <row r="68">
          <cell r="A68" t="str">
            <v>NOI Per Share</v>
          </cell>
          <cell r="B68">
            <v>1.6506961449433986</v>
          </cell>
          <cell r="C68">
            <v>1.6768318068276435</v>
          </cell>
          <cell r="G68">
            <v>1.5033371373240654</v>
          </cell>
          <cell r="H68">
            <v>1.6425089035648837</v>
          </cell>
          <cell r="J68">
            <v>23323</v>
          </cell>
          <cell r="K68">
            <v>27746</v>
          </cell>
          <cell r="L68">
            <v>-0.15941036545808407</v>
          </cell>
        </row>
        <row r="69">
          <cell r="A69" t="str">
            <v>EBITDA Per Share</v>
          </cell>
          <cell r="B69">
            <v>1.5794790724778132</v>
          </cell>
          <cell r="C69">
            <v>1.6081737441021371</v>
          </cell>
          <cell r="G69">
            <v>1.4417124874641214</v>
          </cell>
          <cell r="H69">
            <v>1.5690674596314098</v>
          </cell>
        </row>
        <row r="71">
          <cell r="A71" t="str">
            <v>Dividends Per Share</v>
          </cell>
          <cell r="B71">
            <v>0.44</v>
          </cell>
          <cell r="C71">
            <v>0.44</v>
          </cell>
          <cell r="G71">
            <v>0.28999999999999998</v>
          </cell>
          <cell r="H71">
            <v>0.44</v>
          </cell>
        </row>
        <row r="73">
          <cell r="A73" t="str">
            <v xml:space="preserve">Payout Ratio (Net Income) </v>
          </cell>
          <cell r="B73">
            <v>2.143804708504554</v>
          </cell>
          <cell r="C73">
            <v>2.5195210218201169</v>
          </cell>
          <cell r="G73">
            <v>1.69265625</v>
          </cell>
          <cell r="H73">
            <v>2.2010311694398874</v>
          </cell>
        </row>
        <row r="74">
          <cell r="A74" t="str">
            <v xml:space="preserve">Payout Ratio (FFO) </v>
          </cell>
          <cell r="B74">
            <v>0.40418193407724357</v>
          </cell>
          <cell r="C74">
            <v>0.39872233400402418</v>
          </cell>
          <cell r="G74">
            <v>0.30526482472425465</v>
          </cell>
          <cell r="H74">
            <v>0.41031954341727661</v>
          </cell>
        </row>
        <row r="75">
          <cell r="A75" t="str">
            <v xml:space="preserve">Payout Ratio (AFFO) </v>
          </cell>
          <cell r="B75">
            <v>0.5843937139164036</v>
          </cell>
          <cell r="C75">
            <v>0.59305868599485623</v>
          </cell>
          <cell r="G75">
            <v>0.45707363601678747</v>
          </cell>
          <cell r="H75">
            <v>0.62056178679410912</v>
          </cell>
        </row>
        <row r="77">
          <cell r="A77" t="str">
            <v>Weighted Avg. Diluted Shrs. (Thous.)</v>
          </cell>
          <cell r="B77">
            <v>21681</v>
          </cell>
          <cell r="C77">
            <v>21519</v>
          </cell>
          <cell r="D77">
            <v>-162</v>
          </cell>
          <cell r="G77">
            <v>21666</v>
          </cell>
          <cell r="H77">
            <v>21345</v>
          </cell>
        </row>
        <row r="78">
          <cell r="A78" t="str">
            <v>Diluted Shares and Units (Thous.)</v>
          </cell>
          <cell r="B78">
            <v>28986</v>
          </cell>
          <cell r="C78">
            <v>28824</v>
          </cell>
          <cell r="D78">
            <v>-162</v>
          </cell>
          <cell r="G78">
            <v>28917</v>
          </cell>
          <cell r="H78">
            <v>28921</v>
          </cell>
        </row>
        <row r="80">
          <cell r="A80" t="str">
            <v>E = Morgan Stanley Estimates</v>
          </cell>
        </row>
      </sheetData>
      <sheetData sheetId="16" refreshError="1"/>
      <sheetData sheetId="17"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V"/>
      <sheetName val="__FDSCACHE__"/>
      <sheetName val="PT-Exhibit"/>
      <sheetName val="Pricepsf"/>
      <sheetName val="5- Year IS"/>
      <sheetName val="AMB-BPP Deal"/>
      <sheetName val="JV &amp; dis. ops."/>
      <sheetName val="Quarterly IS"/>
      <sheetName val="Annual IS"/>
      <sheetName val="Assumptions"/>
      <sheetName val="Balance Sheet"/>
      <sheetName val="Cash Flow Statement"/>
      <sheetName val="Acq. &amp; Develop."/>
      <sheetName val="Cash Flow"/>
      <sheetName val="MainCode"/>
      <sheetName val="analysis"/>
      <sheetName val="Development Gains"/>
      <sheetName val="Comp Sheet"/>
      <sheetName val="Performance Review"/>
      <sheetName val="Variance (1Q08)"/>
      <sheetName val="mwareDates"/>
      <sheetName val="mwareSettings"/>
      <sheetName val="NY UPLOAD shado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1">
          <cell r="A1" t="str">
            <v>AMB Property Corporation</v>
          </cell>
          <cell r="CT1" t="str">
            <v>ElementName</v>
          </cell>
          <cell r="CU1" t="str">
            <v>ScaleOverride</v>
          </cell>
          <cell r="CV1" t="str">
            <v>UnitOverride</v>
          </cell>
          <cell r="CW1" t="str">
            <v>ReverseSign</v>
          </cell>
          <cell r="CX1" t="str">
            <v>IsDrivingAssumption</v>
          </cell>
          <cell r="CY1" t="str">
            <v>SegmentID</v>
          </cell>
        </row>
        <row r="2">
          <cell r="A2" t="str">
            <v>Financial Statements</v>
          </cell>
        </row>
        <row r="3">
          <cell r="A3" t="str">
            <v>(Dollars In Thousands, Except Per-Share)</v>
          </cell>
        </row>
        <row r="5">
          <cell r="BK5" t="str">
            <v>Private Capital Fee Income</v>
          </cell>
          <cell r="BM5" t="str">
            <v>$0.52- $0.59</v>
          </cell>
          <cell r="BN5">
            <v>0.52308374694947479</v>
          </cell>
        </row>
        <row r="6">
          <cell r="BK6" t="str">
            <v>Development profit and incentive fees</v>
          </cell>
          <cell r="BM6" t="str">
            <v xml:space="preserve">  $1.77- $1.97</v>
          </cell>
          <cell r="BN6">
            <v>1.9514116650104036</v>
          </cell>
        </row>
        <row r="7">
          <cell r="B7" t="str">
            <v>1998A</v>
          </cell>
          <cell r="H7" t="str">
            <v>1999A</v>
          </cell>
          <cell r="N7" t="str">
            <v>2000A</v>
          </cell>
          <cell r="T7" t="str">
            <v>2001A</v>
          </cell>
          <cell r="Z7" t="str">
            <v>2002A</v>
          </cell>
          <cell r="AF7" t="str">
            <v>2003A</v>
          </cell>
          <cell r="AL7" t="str">
            <v>2004A</v>
          </cell>
          <cell r="AR7" t="str">
            <v>2005A</v>
          </cell>
          <cell r="AX7" t="str">
            <v>2006A</v>
          </cell>
          <cell r="BD7" t="str">
            <v>2007A</v>
          </cell>
          <cell r="BJ7" t="str">
            <v>2008E</v>
          </cell>
          <cell r="BP7" t="str">
            <v>2009E</v>
          </cell>
          <cell r="BV7" t="str">
            <v>2010E</v>
          </cell>
          <cell r="CB7" t="str">
            <v>2011E</v>
          </cell>
          <cell r="CH7" t="str">
            <v>2012E</v>
          </cell>
        </row>
        <row r="8">
          <cell r="A8" t="str">
            <v>Year Ended December 31,</v>
          </cell>
          <cell r="B8" t="str">
            <v>1Q98A</v>
          </cell>
          <cell r="C8" t="str">
            <v>2Q98A</v>
          </cell>
          <cell r="D8" t="str">
            <v>3Q98A</v>
          </cell>
          <cell r="E8" t="str">
            <v>4Q98A</v>
          </cell>
          <cell r="F8" t="str">
            <v>1998A</v>
          </cell>
          <cell r="H8" t="str">
            <v>1Q99A</v>
          </cell>
          <cell r="I8" t="str">
            <v>2Q99A</v>
          </cell>
          <cell r="J8" t="str">
            <v>3Q99A</v>
          </cell>
          <cell r="K8" t="str">
            <v>4Q99A</v>
          </cell>
          <cell r="L8" t="str">
            <v>1999A</v>
          </cell>
          <cell r="N8" t="str">
            <v>1Q00A</v>
          </cell>
          <cell r="O8" t="str">
            <v>2Q00A</v>
          </cell>
          <cell r="P8" t="str">
            <v>3Q00A</v>
          </cell>
          <cell r="Q8" t="str">
            <v>4Q00A</v>
          </cell>
          <cell r="R8" t="str">
            <v>2000A</v>
          </cell>
          <cell r="T8" t="str">
            <v>1Q01A</v>
          </cell>
          <cell r="U8" t="str">
            <v>2Q01A</v>
          </cell>
          <cell r="V8" t="str">
            <v>3Q01A</v>
          </cell>
          <cell r="W8" t="str">
            <v>4Q01A</v>
          </cell>
          <cell r="X8" t="str">
            <v>2001A</v>
          </cell>
          <cell r="Z8" t="str">
            <v>1Q02A</v>
          </cell>
          <cell r="AA8" t="str">
            <v>2Q02A</v>
          </cell>
          <cell r="AB8" t="str">
            <v>3Q02A</v>
          </cell>
          <cell r="AC8" t="str">
            <v>4Q02A</v>
          </cell>
          <cell r="AD8" t="str">
            <v>2002A</v>
          </cell>
          <cell r="AF8" t="str">
            <v>1Q03A</v>
          </cell>
          <cell r="AG8" t="str">
            <v>2Q03A</v>
          </cell>
          <cell r="AH8" t="str">
            <v>3Q03A</v>
          </cell>
          <cell r="AI8" t="str">
            <v>4Q03A</v>
          </cell>
          <cell r="AJ8" t="str">
            <v>2003A</v>
          </cell>
          <cell r="AL8" t="str">
            <v>1Q04A</v>
          </cell>
          <cell r="AM8" t="str">
            <v>2Q04A</v>
          </cell>
          <cell r="AN8" t="str">
            <v>3Q04A</v>
          </cell>
          <cell r="AO8" t="str">
            <v>4Q04A</v>
          </cell>
          <cell r="AP8" t="str">
            <v>2004A</v>
          </cell>
          <cell r="AR8" t="str">
            <v>1Q05A</v>
          </cell>
          <cell r="AS8" t="str">
            <v>2Q05A</v>
          </cell>
          <cell r="AT8" t="str">
            <v>3Q05A</v>
          </cell>
          <cell r="AU8" t="str">
            <v>4Q05A</v>
          </cell>
          <cell r="AV8" t="str">
            <v>2005A</v>
          </cell>
          <cell r="AX8" t="str">
            <v>1Q06A</v>
          </cell>
          <cell r="AY8" t="str">
            <v>2Q06A</v>
          </cell>
          <cell r="AZ8" t="str">
            <v>3Q06A</v>
          </cell>
          <cell r="BA8" t="str">
            <v>4Q06A</v>
          </cell>
          <cell r="BB8" t="str">
            <v>2006A</v>
          </cell>
          <cell r="BD8" t="str">
            <v>1Q07A</v>
          </cell>
          <cell r="BE8" t="str">
            <v>2Q07A</v>
          </cell>
          <cell r="BF8" t="str">
            <v>3Q07A</v>
          </cell>
          <cell r="BG8" t="str">
            <v>4Q07A</v>
          </cell>
          <cell r="BH8" t="str">
            <v>2007A</v>
          </cell>
          <cell r="BJ8" t="str">
            <v>1Q08E</v>
          </cell>
          <cell r="BK8" t="str">
            <v>2Q08E</v>
          </cell>
          <cell r="BL8" t="str">
            <v>3Q08E</v>
          </cell>
          <cell r="BM8" t="str">
            <v>4Q08E</v>
          </cell>
          <cell r="BN8" t="str">
            <v>2008E</v>
          </cell>
          <cell r="BP8" t="str">
            <v>1Q09E</v>
          </cell>
          <cell r="BQ8" t="str">
            <v>2Q09E</v>
          </cell>
          <cell r="BR8" t="str">
            <v>3Q09E</v>
          </cell>
          <cell r="BS8" t="str">
            <v>4Q09E</v>
          </cell>
          <cell r="BT8" t="str">
            <v>2009E</v>
          </cell>
          <cell r="BV8" t="str">
            <v>1Q10E</v>
          </cell>
          <cell r="BW8" t="str">
            <v>2Q10E</v>
          </cell>
          <cell r="BX8" t="str">
            <v>3Q10E</v>
          </cell>
          <cell r="BY8" t="str">
            <v>4Q10E</v>
          </cell>
          <cell r="BZ8" t="str">
            <v>2010E</v>
          </cell>
          <cell r="CB8" t="str">
            <v>1Q11E</v>
          </cell>
          <cell r="CC8" t="str">
            <v>2Q11E</v>
          </cell>
          <cell r="CD8" t="str">
            <v>3Q11E</v>
          </cell>
          <cell r="CE8" t="str">
            <v>4Q11E</v>
          </cell>
          <cell r="CF8" t="str">
            <v>2011E</v>
          </cell>
          <cell r="CH8" t="str">
            <v>1Q12E</v>
          </cell>
          <cell r="CI8" t="str">
            <v>2Q12E</v>
          </cell>
          <cell r="CJ8" t="str">
            <v>3Q12E</v>
          </cell>
          <cell r="CK8" t="str">
            <v>4Q12E</v>
          </cell>
          <cell r="CL8" t="str">
            <v>2012E</v>
          </cell>
        </row>
        <row r="10">
          <cell r="A10" t="str">
            <v>Property Level Income</v>
          </cell>
        </row>
        <row r="11">
          <cell r="A11" t="str">
            <v>Rental Revenues</v>
          </cell>
          <cell r="B11">
            <v>74602</v>
          </cell>
          <cell r="C11">
            <v>84401</v>
          </cell>
          <cell r="D11">
            <v>92841</v>
          </cell>
          <cell r="E11">
            <v>102320</v>
          </cell>
          <cell r="F11">
            <v>354164</v>
          </cell>
          <cell r="H11">
            <v>107657</v>
          </cell>
          <cell r="I11">
            <v>113530</v>
          </cell>
          <cell r="J11">
            <v>109708</v>
          </cell>
          <cell r="K11">
            <v>108763</v>
          </cell>
          <cell r="L11">
            <v>439658</v>
          </cell>
          <cell r="N11">
            <v>108266</v>
          </cell>
          <cell r="O11">
            <v>110597</v>
          </cell>
          <cell r="P11">
            <v>118493</v>
          </cell>
          <cell r="Q11">
            <v>126808</v>
          </cell>
          <cell r="R11">
            <v>464164</v>
          </cell>
          <cell r="T11">
            <v>135801</v>
          </cell>
          <cell r="U11">
            <v>139535</v>
          </cell>
          <cell r="V11">
            <v>146089</v>
          </cell>
          <cell r="W11">
            <v>146641</v>
          </cell>
          <cell r="X11">
            <v>568066</v>
          </cell>
          <cell r="Z11">
            <v>152241</v>
          </cell>
          <cell r="AA11">
            <v>149741</v>
          </cell>
          <cell r="AB11">
            <v>158283</v>
          </cell>
          <cell r="AC11">
            <v>157262</v>
          </cell>
          <cell r="AD11">
            <v>617527</v>
          </cell>
          <cell r="AF11">
            <v>158036</v>
          </cell>
          <cell r="AG11">
            <v>147961</v>
          </cell>
          <cell r="AH11">
            <v>148239</v>
          </cell>
          <cell r="AI11">
            <v>158491</v>
          </cell>
          <cell r="AJ11">
            <v>612727</v>
          </cell>
          <cell r="AL11">
            <v>163812</v>
          </cell>
          <cell r="AM11">
            <v>162704</v>
          </cell>
          <cell r="AN11">
            <v>173803</v>
          </cell>
          <cell r="AO11">
            <v>169550</v>
          </cell>
          <cell r="AP11">
            <v>669869</v>
          </cell>
          <cell r="AR11">
            <v>169056</v>
          </cell>
          <cell r="AS11">
            <v>168839</v>
          </cell>
          <cell r="AT11">
            <v>169658</v>
          </cell>
          <cell r="AU11">
            <v>168926</v>
          </cell>
          <cell r="AV11">
            <v>676479</v>
          </cell>
          <cell r="AX11">
            <v>176407</v>
          </cell>
          <cell r="AY11">
            <v>175330</v>
          </cell>
          <cell r="AZ11">
            <v>180205</v>
          </cell>
          <cell r="BA11">
            <v>162103</v>
          </cell>
          <cell r="BB11">
            <v>694045</v>
          </cell>
          <cell r="BD11">
            <v>162082</v>
          </cell>
          <cell r="BE11">
            <v>162914</v>
          </cell>
          <cell r="BF11">
            <v>158740</v>
          </cell>
          <cell r="BG11">
            <v>161869</v>
          </cell>
          <cell r="BH11">
            <v>645605</v>
          </cell>
          <cell r="BJ11">
            <v>162238.31342187501</v>
          </cell>
          <cell r="BK11">
            <v>161432.53868323864</v>
          </cell>
          <cell r="BL11">
            <v>160626.76394460228</v>
          </cell>
          <cell r="BM11">
            <v>159820.98920596592</v>
          </cell>
          <cell r="BN11">
            <v>644118.6052556819</v>
          </cell>
          <cell r="BP11">
            <v>160379.46316099641</v>
          </cell>
          <cell r="BQ11">
            <v>160937.93711602691</v>
          </cell>
          <cell r="BR11">
            <v>161496.4110710574</v>
          </cell>
          <cell r="BS11">
            <v>162054.8850260879</v>
          </cell>
          <cell r="BT11">
            <v>644868.69637416862</v>
          </cell>
          <cell r="BV11">
            <v>161655.62727270951</v>
          </cell>
          <cell r="BW11">
            <v>161256.36951933111</v>
          </cell>
          <cell r="BX11">
            <v>160857.11176595272</v>
          </cell>
          <cell r="BY11">
            <v>160457.85401257433</v>
          </cell>
          <cell r="BZ11">
            <v>644226.96257056773</v>
          </cell>
          <cell r="CB11">
            <v>160022.87377549705</v>
          </cell>
          <cell r="CC11">
            <v>159587.89353841977</v>
          </cell>
          <cell r="CD11">
            <v>159152.91330134249</v>
          </cell>
          <cell r="CE11">
            <v>158717.93306426521</v>
          </cell>
          <cell r="CF11">
            <v>637481.61367952451</v>
          </cell>
          <cell r="CH11">
            <v>158106.51589031558</v>
          </cell>
          <cell r="CI11">
            <v>157495.09871636596</v>
          </cell>
          <cell r="CJ11">
            <v>156883.68154241634</v>
          </cell>
          <cell r="CK11">
            <v>156272.26436846671</v>
          </cell>
          <cell r="CL11">
            <v>628757.56051756453</v>
          </cell>
          <cell r="CT11" t="str">
            <v>mstag:grossRents</v>
          </cell>
          <cell r="CU11">
            <v>3</v>
          </cell>
          <cell r="CV11" t="str">
            <v>ISO4217:USD</v>
          </cell>
          <cell r="CW11" t="b">
            <v>0</v>
          </cell>
          <cell r="CX11" t="b">
            <v>0</v>
          </cell>
        </row>
        <row r="12">
          <cell r="A12" t="str">
            <v>Lease Term Fees</v>
          </cell>
          <cell r="Z12">
            <v>2889</v>
          </cell>
          <cell r="AA12">
            <v>2700</v>
          </cell>
          <cell r="AB12">
            <v>2889</v>
          </cell>
          <cell r="AC12">
            <v>8520.4844499999999</v>
          </cell>
          <cell r="AF12">
            <v>6988.8434400000006</v>
          </cell>
          <cell r="AG12">
            <v>2619.0868799999998</v>
          </cell>
          <cell r="AH12">
            <v>1800</v>
          </cell>
          <cell r="AI12">
            <v>2000</v>
          </cell>
          <cell r="AJ12">
            <v>13407.930319999999</v>
          </cell>
          <cell r="AL12">
            <v>896.17834000000005</v>
          </cell>
          <cell r="AM12">
            <v>250</v>
          </cell>
          <cell r="AN12">
            <v>7000</v>
          </cell>
          <cell r="AO12">
            <v>1800</v>
          </cell>
          <cell r="AP12">
            <v>9946.1783400000004</v>
          </cell>
          <cell r="AR12">
            <v>1171</v>
          </cell>
          <cell r="AS12">
            <v>51</v>
          </cell>
          <cell r="AT12">
            <v>500</v>
          </cell>
          <cell r="AU12">
            <v>3897</v>
          </cell>
          <cell r="AV12">
            <v>5619</v>
          </cell>
          <cell r="AX12">
            <v>5754</v>
          </cell>
          <cell r="AY12">
            <v>296</v>
          </cell>
          <cell r="AZ12">
            <v>406</v>
          </cell>
          <cell r="BA12">
            <v>1988</v>
          </cell>
          <cell r="BB12">
            <v>8444</v>
          </cell>
          <cell r="BD12">
            <v>118</v>
          </cell>
          <cell r="BE12">
            <v>585</v>
          </cell>
          <cell r="BF12">
            <v>1100</v>
          </cell>
          <cell r="BG12">
            <v>1000</v>
          </cell>
          <cell r="BH12">
            <v>2803</v>
          </cell>
          <cell r="BJ12">
            <v>1000</v>
          </cell>
          <cell r="BK12">
            <v>1000</v>
          </cell>
          <cell r="BL12">
            <v>1000</v>
          </cell>
          <cell r="BM12">
            <v>1000</v>
          </cell>
          <cell r="BN12">
            <v>4000</v>
          </cell>
          <cell r="BP12">
            <v>1000</v>
          </cell>
          <cell r="BQ12">
            <v>1000</v>
          </cell>
          <cell r="BR12">
            <v>1000</v>
          </cell>
          <cell r="BS12">
            <v>1000</v>
          </cell>
          <cell r="BT12">
            <v>4000</v>
          </cell>
          <cell r="BV12">
            <v>1000</v>
          </cell>
          <cell r="BW12">
            <v>1000</v>
          </cell>
          <cell r="BX12">
            <v>1000</v>
          </cell>
          <cell r="BY12">
            <v>1000</v>
          </cell>
          <cell r="BZ12">
            <v>4000</v>
          </cell>
          <cell r="CB12">
            <v>1000</v>
          </cell>
          <cell r="CC12">
            <v>1000</v>
          </cell>
          <cell r="CD12">
            <v>1000</v>
          </cell>
          <cell r="CE12">
            <v>1000</v>
          </cell>
          <cell r="CF12">
            <v>4000</v>
          </cell>
          <cell r="CH12">
            <v>1000</v>
          </cell>
          <cell r="CI12">
            <v>1000</v>
          </cell>
          <cell r="CJ12">
            <v>1000</v>
          </cell>
          <cell r="CK12">
            <v>1000</v>
          </cell>
          <cell r="CL12">
            <v>4000</v>
          </cell>
        </row>
        <row r="13">
          <cell r="A13" t="str">
            <v>Property Operating Expenses</v>
          </cell>
          <cell r="B13">
            <v>20252</v>
          </cell>
          <cell r="C13">
            <v>22252</v>
          </cell>
          <cell r="D13">
            <v>25133</v>
          </cell>
          <cell r="E13">
            <v>28437</v>
          </cell>
          <cell r="F13">
            <v>96074</v>
          </cell>
          <cell r="H13">
            <v>29534</v>
          </cell>
          <cell r="I13">
            <v>30884</v>
          </cell>
          <cell r="J13">
            <v>26782</v>
          </cell>
          <cell r="K13">
            <v>25382</v>
          </cell>
          <cell r="L13">
            <v>112582</v>
          </cell>
          <cell r="N13">
            <v>24973</v>
          </cell>
          <cell r="O13">
            <v>25088</v>
          </cell>
          <cell r="P13">
            <v>27394</v>
          </cell>
          <cell r="Q13">
            <v>30275</v>
          </cell>
          <cell r="R13">
            <v>107730</v>
          </cell>
          <cell r="T13">
            <v>32920</v>
          </cell>
          <cell r="U13">
            <v>33640</v>
          </cell>
          <cell r="V13">
            <v>35349</v>
          </cell>
          <cell r="W13">
            <v>36287</v>
          </cell>
          <cell r="X13">
            <v>138196</v>
          </cell>
          <cell r="Z13">
            <v>37069</v>
          </cell>
          <cell r="AA13">
            <v>36843</v>
          </cell>
          <cell r="AB13">
            <v>40658</v>
          </cell>
          <cell r="AC13">
            <v>39164</v>
          </cell>
          <cell r="AD13">
            <v>153734</v>
          </cell>
          <cell r="AF13">
            <v>40387</v>
          </cell>
          <cell r="AG13">
            <v>38607</v>
          </cell>
          <cell r="AH13">
            <v>40020</v>
          </cell>
          <cell r="AI13">
            <v>41869</v>
          </cell>
          <cell r="AJ13">
            <v>160883</v>
          </cell>
          <cell r="AL13">
            <v>43472</v>
          </cell>
          <cell r="AM13">
            <v>42763</v>
          </cell>
          <cell r="AN13">
            <v>43953</v>
          </cell>
          <cell r="AO13">
            <v>43431</v>
          </cell>
          <cell r="AP13">
            <v>173619</v>
          </cell>
          <cell r="AR13">
            <v>44429</v>
          </cell>
          <cell r="AS13">
            <v>43880</v>
          </cell>
          <cell r="AT13">
            <v>43646</v>
          </cell>
          <cell r="AU13">
            <v>43321</v>
          </cell>
          <cell r="AV13">
            <v>175276</v>
          </cell>
          <cell r="AX13">
            <v>45697</v>
          </cell>
          <cell r="AY13">
            <v>44883</v>
          </cell>
          <cell r="AZ13">
            <v>45992</v>
          </cell>
          <cell r="BA13">
            <v>42669</v>
          </cell>
          <cell r="BB13">
            <v>179241</v>
          </cell>
          <cell r="BD13">
            <v>44247</v>
          </cell>
          <cell r="BE13">
            <v>43304</v>
          </cell>
          <cell r="BF13">
            <v>43028</v>
          </cell>
          <cell r="BG13">
            <v>44887</v>
          </cell>
          <cell r="BH13">
            <v>175466</v>
          </cell>
          <cell r="BJ13">
            <v>44484.178090024718</v>
          </cell>
          <cell r="BK13">
            <v>43226.286354938908</v>
          </cell>
          <cell r="BL13">
            <v>44003.867051995519</v>
          </cell>
          <cell r="BM13">
            <v>44754.396342370288</v>
          </cell>
          <cell r="BN13">
            <v>176468.72783932943</v>
          </cell>
          <cell r="BP13">
            <v>43974.499307599319</v>
          </cell>
          <cell r="BQ13">
            <v>43093.84843907458</v>
          </cell>
          <cell r="BR13">
            <v>44242.107775987686</v>
          </cell>
          <cell r="BS13">
            <v>45379.950341366384</v>
          </cell>
          <cell r="BT13">
            <v>176690.40586402797</v>
          </cell>
          <cell r="BV13">
            <v>45268.146880342669</v>
          </cell>
          <cell r="BW13">
            <v>45156.343419318953</v>
          </cell>
          <cell r="BX13">
            <v>45044.539958295238</v>
          </cell>
          <cell r="BY13">
            <v>44932.736497271522</v>
          </cell>
          <cell r="BZ13">
            <v>180401.76675522837</v>
          </cell>
          <cell r="CB13">
            <v>41605.947181629235</v>
          </cell>
          <cell r="CC13">
            <v>41492.852319989142</v>
          </cell>
          <cell r="CD13">
            <v>41379.75745834905</v>
          </cell>
          <cell r="CE13">
            <v>41266.662596708957</v>
          </cell>
          <cell r="CF13">
            <v>165745.21955667637</v>
          </cell>
          <cell r="CH13">
            <v>41107.694131482051</v>
          </cell>
          <cell r="CI13">
            <v>40948.725666255152</v>
          </cell>
          <cell r="CJ13">
            <v>40789.757201028246</v>
          </cell>
          <cell r="CK13">
            <v>40630.788735801347</v>
          </cell>
          <cell r="CL13">
            <v>163476.96573456679</v>
          </cell>
          <cell r="CT13" t="str">
            <v>mstag:propertyOperatingExpenses</v>
          </cell>
          <cell r="CU13">
            <v>3</v>
          </cell>
          <cell r="CV13" t="str">
            <v>ISO4217:USD</v>
          </cell>
          <cell r="CW13" t="b">
            <v>0</v>
          </cell>
          <cell r="CX13" t="b">
            <v>0</v>
          </cell>
        </row>
        <row r="14">
          <cell r="A14" t="str">
            <v>Acquisitions &amp; Development NOI</v>
          </cell>
          <cell r="B14">
            <v>0</v>
          </cell>
          <cell r="C14">
            <v>0</v>
          </cell>
          <cell r="D14">
            <v>0</v>
          </cell>
          <cell r="E14">
            <v>0</v>
          </cell>
          <cell r="F14">
            <v>0</v>
          </cell>
          <cell r="H14">
            <v>0</v>
          </cell>
          <cell r="I14">
            <v>0</v>
          </cell>
          <cell r="J14">
            <v>0</v>
          </cell>
          <cell r="K14">
            <v>0</v>
          </cell>
          <cell r="L14">
            <v>0</v>
          </cell>
          <cell r="N14">
            <v>0</v>
          </cell>
          <cell r="O14">
            <v>0</v>
          </cell>
          <cell r="P14">
            <v>0</v>
          </cell>
          <cell r="Q14">
            <v>0</v>
          </cell>
          <cell r="R14">
            <v>0</v>
          </cell>
          <cell r="T14">
            <v>0</v>
          </cell>
          <cell r="U14">
            <v>0</v>
          </cell>
          <cell r="V14">
            <v>0</v>
          </cell>
          <cell r="W14">
            <v>0</v>
          </cell>
          <cell r="X14">
            <v>0</v>
          </cell>
          <cell r="Z14">
            <v>0</v>
          </cell>
          <cell r="AA14">
            <v>0</v>
          </cell>
          <cell r="AB14">
            <v>0</v>
          </cell>
          <cell r="AC14">
            <v>0</v>
          </cell>
          <cell r="AD14">
            <v>0</v>
          </cell>
          <cell r="AF14">
            <v>0</v>
          </cell>
          <cell r="AG14">
            <v>0</v>
          </cell>
          <cell r="AH14">
            <v>0</v>
          </cell>
          <cell r="AI14">
            <v>0</v>
          </cell>
          <cell r="AJ14">
            <v>0</v>
          </cell>
          <cell r="AL14">
            <v>0</v>
          </cell>
          <cell r="AM14">
            <v>0</v>
          </cell>
          <cell r="AN14">
            <v>0</v>
          </cell>
          <cell r="AO14">
            <v>0</v>
          </cell>
          <cell r="AP14">
            <v>0</v>
          </cell>
          <cell r="AR14">
            <v>0</v>
          </cell>
          <cell r="AS14">
            <v>0</v>
          </cell>
          <cell r="AT14">
            <v>0</v>
          </cell>
          <cell r="AU14">
            <v>0</v>
          </cell>
          <cell r="AV14">
            <v>0</v>
          </cell>
          <cell r="AX14">
            <v>0</v>
          </cell>
          <cell r="AY14">
            <v>0</v>
          </cell>
          <cell r="AZ14">
            <v>0</v>
          </cell>
          <cell r="BA14">
            <v>0</v>
          </cell>
          <cell r="BB14">
            <v>0</v>
          </cell>
          <cell r="BD14">
            <v>0</v>
          </cell>
          <cell r="BE14">
            <v>0</v>
          </cell>
          <cell r="BF14">
            <v>0</v>
          </cell>
          <cell r="BG14">
            <v>0</v>
          </cell>
          <cell r="BH14">
            <v>0</v>
          </cell>
          <cell r="BJ14">
            <v>6025.6207924999999</v>
          </cell>
          <cell r="BK14">
            <v>11852.161406981249</v>
          </cell>
          <cell r="BL14">
            <v>17693.268372998704</v>
          </cell>
          <cell r="BM14">
            <v>23548.978106431201</v>
          </cell>
          <cell r="BN14">
            <v>59120.028678911156</v>
          </cell>
          <cell r="BP14">
            <v>29025.577114197273</v>
          </cell>
          <cell r="BQ14">
            <v>34123.101994482771</v>
          </cell>
          <cell r="BR14">
            <v>39233.370686968978</v>
          </cell>
          <cell r="BS14">
            <v>44356.415051186392</v>
          </cell>
          <cell r="BT14">
            <v>146738.46484683541</v>
          </cell>
          <cell r="BV14">
            <v>49336.017026314352</v>
          </cell>
          <cell r="BW14">
            <v>54172.208631380141</v>
          </cell>
          <cell r="BX14">
            <v>59020.490715458604</v>
          </cell>
          <cell r="BY14">
            <v>63880.893504747233</v>
          </cell>
          <cell r="BZ14">
            <v>226409.60987790034</v>
          </cell>
          <cell r="CB14">
            <v>66158.09177852131</v>
          </cell>
          <cell r="CC14">
            <v>71379.658882967604</v>
          </cell>
          <cell r="CD14">
            <v>76614.279905175019</v>
          </cell>
          <cell r="CE14">
            <v>81861.987479937976</v>
          </cell>
          <cell r="CF14">
            <v>296014.01804660191</v>
          </cell>
          <cell r="CH14">
            <v>86109.799782823786</v>
          </cell>
          <cell r="CI14">
            <v>91412.457094780839</v>
          </cell>
          <cell r="CJ14">
            <v>96728.371050017784</v>
          </cell>
          <cell r="CK14">
            <v>102057.57479014283</v>
          </cell>
          <cell r="CL14">
            <v>376308.20271776523</v>
          </cell>
          <cell r="CT14" t="str">
            <v>mstag:cumulativeNoiFromAcquisitionsDevelopmentsAndDispositions</v>
          </cell>
          <cell r="CU14">
            <v>3</v>
          </cell>
          <cell r="CV14" t="str">
            <v>ISO4217:USD</v>
          </cell>
          <cell r="CW14" t="b">
            <v>0</v>
          </cell>
          <cell r="CX14" t="b">
            <v>0</v>
          </cell>
        </row>
        <row r="15">
          <cell r="A15" t="str">
            <v xml:space="preserve">   Consolidated Property NOI</v>
          </cell>
          <cell r="AF15">
            <v>117649</v>
          </cell>
          <cell r="AG15">
            <v>109354</v>
          </cell>
          <cell r="AH15">
            <v>108219</v>
          </cell>
          <cell r="AI15">
            <v>116622</v>
          </cell>
          <cell r="AJ15">
            <v>451844</v>
          </cell>
          <cell r="AL15">
            <v>120340</v>
          </cell>
          <cell r="AM15">
            <v>119941</v>
          </cell>
          <cell r="AN15">
            <v>129850</v>
          </cell>
          <cell r="AO15">
            <v>126119</v>
          </cell>
          <cell r="AP15">
            <v>496250</v>
          </cell>
          <cell r="AR15">
            <v>124627</v>
          </cell>
          <cell r="AS15">
            <v>124959</v>
          </cell>
          <cell r="AT15">
            <v>126012</v>
          </cell>
          <cell r="AU15">
            <v>125605</v>
          </cell>
          <cell r="AV15">
            <v>501203</v>
          </cell>
          <cell r="AX15">
            <v>130710</v>
          </cell>
          <cell r="AY15">
            <v>130447</v>
          </cell>
          <cell r="AZ15">
            <v>134213</v>
          </cell>
          <cell r="BA15">
            <v>119434</v>
          </cell>
          <cell r="BB15">
            <v>514804</v>
          </cell>
          <cell r="BD15">
            <v>117835</v>
          </cell>
          <cell r="BE15">
            <v>119610</v>
          </cell>
          <cell r="BF15">
            <v>115712</v>
          </cell>
          <cell r="BG15">
            <v>116982</v>
          </cell>
          <cell r="BH15">
            <v>470139</v>
          </cell>
          <cell r="BJ15">
            <v>123779.7561243503</v>
          </cell>
          <cell r="BK15">
            <v>130058.41373528099</v>
          </cell>
          <cell r="BL15">
            <v>134316.16526560546</v>
          </cell>
          <cell r="BM15">
            <v>138615.57097002683</v>
          </cell>
          <cell r="BN15">
            <v>526769.90609526366</v>
          </cell>
          <cell r="BP15">
            <v>145430.54096759437</v>
          </cell>
          <cell r="BQ15">
            <v>151967.19067143509</v>
          </cell>
          <cell r="BR15">
            <v>156487.67398203869</v>
          </cell>
          <cell r="BS15">
            <v>161031.34973590792</v>
          </cell>
          <cell r="BT15">
            <v>614916.75535697606</v>
          </cell>
          <cell r="BV15">
            <v>165723.49741868119</v>
          </cell>
          <cell r="BW15">
            <v>170272.23473139229</v>
          </cell>
          <cell r="BX15">
            <v>174833.0625231161</v>
          </cell>
          <cell r="BY15">
            <v>179406.01102005003</v>
          </cell>
          <cell r="BZ15">
            <v>690234.80569323967</v>
          </cell>
          <cell r="CB15">
            <v>184575.01837238914</v>
          </cell>
          <cell r="CC15">
            <v>189474.70010139822</v>
          </cell>
          <cell r="CD15">
            <v>194387.43574816844</v>
          </cell>
          <cell r="CE15">
            <v>199313.25794749422</v>
          </cell>
          <cell r="CF15">
            <v>767750.41216945008</v>
          </cell>
          <cell r="CH15">
            <v>203108.62154165731</v>
          </cell>
          <cell r="CI15">
            <v>207958.83014489163</v>
          </cell>
          <cell r="CJ15">
            <v>212822.29539140587</v>
          </cell>
          <cell r="CK15">
            <v>217699.05042280818</v>
          </cell>
          <cell r="CL15">
            <v>841588.79750076297</v>
          </cell>
        </row>
        <row r="17">
          <cell r="A17" t="str">
            <v>AMB Share of Unconsolidated NOI</v>
          </cell>
          <cell r="AF17">
            <v>3068</v>
          </cell>
          <cell r="AG17">
            <v>3145</v>
          </cell>
          <cell r="AH17">
            <v>3015</v>
          </cell>
          <cell r="AI17">
            <v>2733</v>
          </cell>
          <cell r="AJ17">
            <v>11961</v>
          </cell>
          <cell r="AL17">
            <v>3055</v>
          </cell>
          <cell r="AM17">
            <v>2760</v>
          </cell>
          <cell r="AN17">
            <v>2840</v>
          </cell>
          <cell r="AO17">
            <v>2204</v>
          </cell>
          <cell r="AP17">
            <v>10859</v>
          </cell>
          <cell r="AR17">
            <v>4638</v>
          </cell>
          <cell r="AS17">
            <v>7217</v>
          </cell>
          <cell r="AT17">
            <v>7149</v>
          </cell>
          <cell r="AU17">
            <v>7193</v>
          </cell>
          <cell r="AV17">
            <v>26197</v>
          </cell>
          <cell r="AX17">
            <v>6847</v>
          </cell>
          <cell r="AY17">
            <v>7061</v>
          </cell>
          <cell r="AZ17">
            <v>7352</v>
          </cell>
          <cell r="BA17">
            <v>11710</v>
          </cell>
          <cell r="BB17">
            <v>32970</v>
          </cell>
          <cell r="BD17">
            <v>11046</v>
          </cell>
          <cell r="BE17">
            <v>11359</v>
          </cell>
          <cell r="BF17">
            <v>14793</v>
          </cell>
          <cell r="BG17">
            <v>18335</v>
          </cell>
          <cell r="BH17">
            <v>55533</v>
          </cell>
          <cell r="BJ17">
            <v>19251.75</v>
          </cell>
          <cell r="BK17">
            <v>20214.337500000001</v>
          </cell>
          <cell r="BL17">
            <v>21225.054375000003</v>
          </cell>
          <cell r="BM17">
            <v>22286.307093750005</v>
          </cell>
          <cell r="BN17">
            <v>82977.448968750003</v>
          </cell>
          <cell r="BP17">
            <v>23400.622448437505</v>
          </cell>
          <cell r="BQ17">
            <v>24570.65357085938</v>
          </cell>
          <cell r="BR17">
            <v>25799.186249402352</v>
          </cell>
          <cell r="BS17">
            <v>27089.145561872472</v>
          </cell>
          <cell r="BT17">
            <v>100859.60783057171</v>
          </cell>
          <cell r="BV17">
            <v>27224.59128968183</v>
          </cell>
          <cell r="BW17">
            <v>27360.714246130236</v>
          </cell>
          <cell r="BX17">
            <v>27497.517817360884</v>
          </cell>
          <cell r="BY17">
            <v>27635.005406447686</v>
          </cell>
          <cell r="BZ17">
            <v>109717.82875962064</v>
          </cell>
          <cell r="CB17">
            <v>27773.180433479924</v>
          </cell>
          <cell r="CC17">
            <v>27912.046335647319</v>
          </cell>
          <cell r="CD17">
            <v>28051.606567325554</v>
          </cell>
          <cell r="CE17">
            <v>28191.864600162178</v>
          </cell>
          <cell r="CF17">
            <v>111928.69793661498</v>
          </cell>
          <cell r="CH17">
            <v>28332.823923162985</v>
          </cell>
          <cell r="CI17">
            <v>28474.488042778798</v>
          </cell>
          <cell r="CJ17">
            <v>28616.860482992688</v>
          </cell>
          <cell r="CK17">
            <v>28759.94478540765</v>
          </cell>
          <cell r="CL17">
            <v>114184.11723434212</v>
          </cell>
          <cell r="CT17" t="str">
            <v>mstag:netRentalIncomeFromJointVentures</v>
          </cell>
          <cell r="CU17">
            <v>3</v>
          </cell>
          <cell r="CV17" t="str">
            <v>ISO4217:USD</v>
          </cell>
          <cell r="CW17" t="b">
            <v>0</v>
          </cell>
        </row>
        <row r="18">
          <cell r="A18" t="str">
            <v>Consolidated JV Interest in NOI</v>
          </cell>
          <cell r="AF18">
            <v>-24332</v>
          </cell>
          <cell r="AG18">
            <v>-24602</v>
          </cell>
          <cell r="AH18">
            <v>-26437</v>
          </cell>
          <cell r="AI18">
            <v>-26972</v>
          </cell>
          <cell r="AJ18">
            <v>-102343</v>
          </cell>
          <cell r="AL18">
            <v>-28716</v>
          </cell>
          <cell r="AM18">
            <v>-29254</v>
          </cell>
          <cell r="AN18">
            <v>-32812</v>
          </cell>
          <cell r="AO18">
            <v>-36023</v>
          </cell>
          <cell r="AP18">
            <v>-126805</v>
          </cell>
          <cell r="AR18">
            <v>-38283</v>
          </cell>
          <cell r="AS18">
            <v>-38463</v>
          </cell>
          <cell r="AT18">
            <v>-40704</v>
          </cell>
          <cell r="AU18">
            <v>-44588</v>
          </cell>
          <cell r="AV18">
            <v>-162038</v>
          </cell>
          <cell r="AX18">
            <v>-34904</v>
          </cell>
          <cell r="AY18">
            <v>-37390</v>
          </cell>
          <cell r="AZ18">
            <v>-40768</v>
          </cell>
          <cell r="BA18">
            <v>-27943</v>
          </cell>
          <cell r="BB18">
            <v>-141005</v>
          </cell>
          <cell r="BD18">
            <v>-26754</v>
          </cell>
          <cell r="BE18">
            <v>-26838</v>
          </cell>
          <cell r="BF18">
            <v>-27574</v>
          </cell>
          <cell r="BG18">
            <v>-28217</v>
          </cell>
          <cell r="BH18">
            <v>-109383</v>
          </cell>
          <cell r="BJ18">
            <v>-29856.673493022794</v>
          </cell>
          <cell r="BK18">
            <v>-30980.961005126272</v>
          </cell>
          <cell r="BL18">
            <v>-31592.24319492728</v>
          </cell>
          <cell r="BM18">
            <v>-32326.266881020339</v>
          </cell>
          <cell r="BN18">
            <v>-124756.14457409669</v>
          </cell>
          <cell r="BP18">
            <v>-34206.433820773993</v>
          </cell>
          <cell r="BQ18">
            <v>-35743.906445274733</v>
          </cell>
          <cell r="BR18">
            <v>-36807.160505758016</v>
          </cell>
          <cell r="BS18">
            <v>-37875.869615575706</v>
          </cell>
          <cell r="BT18">
            <v>-144633.37038738246</v>
          </cell>
          <cell r="BV18">
            <v>-38979.500518137269</v>
          </cell>
          <cell r="BW18">
            <v>-40049.400147335567</v>
          </cell>
          <cell r="BX18">
            <v>-41122.143554515154</v>
          </cell>
          <cell r="BY18">
            <v>-42197.737849120946</v>
          </cell>
          <cell r="BZ18">
            <v>-162348.78206910894</v>
          </cell>
          <cell r="CB18">
            <v>-43413.529984256304</v>
          </cell>
          <cell r="CC18">
            <v>-44565.974564955148</v>
          </cell>
          <cell r="CD18">
            <v>-45721.489532183718</v>
          </cell>
          <cell r="CE18">
            <v>-46880.082561908341</v>
          </cell>
          <cell r="CF18">
            <v>-180581.0766433035</v>
          </cell>
          <cell r="CH18">
            <v>-47772.782628522567</v>
          </cell>
          <cell r="CI18">
            <v>-48913.590731824966</v>
          </cell>
          <cell r="CJ18">
            <v>-50057.516904330878</v>
          </cell>
          <cell r="CK18">
            <v>-51204.568941213285</v>
          </cell>
          <cell r="CL18">
            <v>-197948.45920589168</v>
          </cell>
          <cell r="CT18" t="str">
            <v>mstag:otherMinorityInterestsInNetIncome</v>
          </cell>
          <cell r="CU18">
            <v>3</v>
          </cell>
          <cell r="CW18" t="b">
            <v>1</v>
          </cell>
        </row>
        <row r="19">
          <cell r="A19" t="str">
            <v>Discontinued Operations EBITDA</v>
          </cell>
          <cell r="AF19">
            <v>1757</v>
          </cell>
          <cell r="AG19">
            <v>1550</v>
          </cell>
          <cell r="AH19">
            <v>2050</v>
          </cell>
          <cell r="AI19">
            <v>215</v>
          </cell>
          <cell r="AJ19">
            <v>5572</v>
          </cell>
          <cell r="AL19">
            <v>-245</v>
          </cell>
          <cell r="AM19">
            <v>898</v>
          </cell>
          <cell r="AN19">
            <v>2918</v>
          </cell>
          <cell r="AO19">
            <v>3237</v>
          </cell>
          <cell r="AP19">
            <v>6808</v>
          </cell>
          <cell r="AR19">
            <v>2371</v>
          </cell>
          <cell r="AS19">
            <v>1673</v>
          </cell>
          <cell r="AT19">
            <v>551</v>
          </cell>
          <cell r="AU19">
            <v>7109</v>
          </cell>
          <cell r="AV19">
            <v>11704</v>
          </cell>
          <cell r="AX19">
            <v>401</v>
          </cell>
          <cell r="AY19">
            <v>1303</v>
          </cell>
          <cell r="AZ19">
            <v>918</v>
          </cell>
          <cell r="BA19">
            <v>2640</v>
          </cell>
          <cell r="BB19">
            <v>5262</v>
          </cell>
          <cell r="BD19">
            <v>12</v>
          </cell>
          <cell r="BE19">
            <v>513</v>
          </cell>
          <cell r="BF19">
            <v>2627</v>
          </cell>
          <cell r="BG19">
            <v>2282</v>
          </cell>
          <cell r="BH19">
            <v>5434</v>
          </cell>
          <cell r="BJ19">
            <v>0</v>
          </cell>
          <cell r="BK19">
            <v>0</v>
          </cell>
          <cell r="BL19">
            <v>0</v>
          </cell>
          <cell r="BM19">
            <v>0</v>
          </cell>
          <cell r="BN19">
            <v>0</v>
          </cell>
          <cell r="BP19">
            <v>0</v>
          </cell>
          <cell r="BQ19">
            <v>0</v>
          </cell>
          <cell r="BR19">
            <v>0</v>
          </cell>
          <cell r="BS19">
            <v>0</v>
          </cell>
          <cell r="BT19">
            <v>0</v>
          </cell>
          <cell r="BV19">
            <v>0</v>
          </cell>
          <cell r="BW19">
            <v>0</v>
          </cell>
          <cell r="BX19">
            <v>0</v>
          </cell>
          <cell r="BY19">
            <v>0</v>
          </cell>
          <cell r="BZ19">
            <v>0</v>
          </cell>
          <cell r="CB19">
            <v>0</v>
          </cell>
          <cell r="CC19">
            <v>0</v>
          </cell>
          <cell r="CD19">
            <v>0</v>
          </cell>
          <cell r="CE19">
            <v>0</v>
          </cell>
          <cell r="CF19">
            <v>0</v>
          </cell>
          <cell r="CH19">
            <v>0</v>
          </cell>
          <cell r="CI19">
            <v>0</v>
          </cell>
          <cell r="CJ19">
            <v>0</v>
          </cell>
          <cell r="CK19">
            <v>0</v>
          </cell>
          <cell r="CL19">
            <v>0</v>
          </cell>
          <cell r="CT19" t="str">
            <v>mstag:incomeLossFromDiscontinuedOperationsNetOfTax</v>
          </cell>
          <cell r="CU19">
            <v>3</v>
          </cell>
          <cell r="CW19" t="b">
            <v>0</v>
          </cell>
        </row>
        <row r="20">
          <cell r="A20" t="str">
            <v xml:space="preserve">   AMB Pro-Rata Share of NOI</v>
          </cell>
          <cell r="B20">
            <v>54350</v>
          </cell>
          <cell r="C20">
            <v>62149</v>
          </cell>
          <cell r="D20">
            <v>67708</v>
          </cell>
          <cell r="E20">
            <v>73883</v>
          </cell>
          <cell r="F20">
            <v>258090</v>
          </cell>
          <cell r="H20">
            <v>78123</v>
          </cell>
          <cell r="I20">
            <v>82646</v>
          </cell>
          <cell r="J20">
            <v>82926</v>
          </cell>
          <cell r="K20">
            <v>83381</v>
          </cell>
          <cell r="L20">
            <v>327076</v>
          </cell>
          <cell r="N20">
            <v>83293</v>
          </cell>
          <cell r="O20">
            <v>85509</v>
          </cell>
          <cell r="P20">
            <v>91099</v>
          </cell>
          <cell r="Q20">
            <v>96533</v>
          </cell>
          <cell r="R20">
            <v>356434</v>
          </cell>
          <cell r="T20">
            <v>102881</v>
          </cell>
          <cell r="U20">
            <v>105895</v>
          </cell>
          <cell r="V20">
            <v>110740</v>
          </cell>
          <cell r="W20">
            <v>110354</v>
          </cell>
          <cell r="X20">
            <v>429870</v>
          </cell>
          <cell r="Z20">
            <v>115172</v>
          </cell>
          <cell r="AA20">
            <v>112898</v>
          </cell>
          <cell r="AB20">
            <v>117625</v>
          </cell>
          <cell r="AC20">
            <v>118098</v>
          </cell>
          <cell r="AD20">
            <v>463793</v>
          </cell>
          <cell r="AF20">
            <v>98142</v>
          </cell>
          <cell r="AG20">
            <v>89447</v>
          </cell>
          <cell r="AH20">
            <v>86847</v>
          </cell>
          <cell r="AI20">
            <v>92598</v>
          </cell>
          <cell r="AJ20">
            <v>367034</v>
          </cell>
          <cell r="AL20">
            <v>94434</v>
          </cell>
          <cell r="AM20">
            <v>94345</v>
          </cell>
          <cell r="AN20">
            <v>102796</v>
          </cell>
          <cell r="AO20">
            <v>95537</v>
          </cell>
          <cell r="AP20">
            <v>387112</v>
          </cell>
          <cell r="AR20">
            <v>93353</v>
          </cell>
          <cell r="AS20">
            <v>95386</v>
          </cell>
          <cell r="AT20">
            <v>93008</v>
          </cell>
          <cell r="AU20">
            <v>95319</v>
          </cell>
          <cell r="AV20">
            <v>377066</v>
          </cell>
          <cell r="AX20">
            <v>103054</v>
          </cell>
          <cell r="AY20">
            <v>101421</v>
          </cell>
          <cell r="AZ20">
            <v>101715</v>
          </cell>
          <cell r="BA20">
            <v>105841</v>
          </cell>
          <cell r="BB20">
            <v>412031</v>
          </cell>
          <cell r="BD20">
            <v>102139</v>
          </cell>
          <cell r="BE20">
            <v>104644</v>
          </cell>
          <cell r="BF20">
            <v>105558</v>
          </cell>
          <cell r="BG20">
            <v>109382</v>
          </cell>
          <cell r="BH20">
            <v>421723</v>
          </cell>
          <cell r="BJ20">
            <v>113174.8326313275</v>
          </cell>
          <cell r="BK20">
            <v>119291.79023015473</v>
          </cell>
          <cell r="BL20">
            <v>123948.97644567818</v>
          </cell>
          <cell r="BM20">
            <v>128575.61118275652</v>
          </cell>
          <cell r="BN20">
            <v>484991.21048991696</v>
          </cell>
          <cell r="BP20">
            <v>134624.72959525787</v>
          </cell>
          <cell r="BQ20">
            <v>140793.93779701972</v>
          </cell>
          <cell r="BR20">
            <v>145479.69972568302</v>
          </cell>
          <cell r="BS20">
            <v>150244.62568220467</v>
          </cell>
          <cell r="BT20">
            <v>571142.99280016532</v>
          </cell>
          <cell r="BV20">
            <v>153968.58819022574</v>
          </cell>
          <cell r="BW20">
            <v>157583.54883018695</v>
          </cell>
          <cell r="BX20">
            <v>161208.43678596182</v>
          </cell>
          <cell r="BY20">
            <v>164843.27857737677</v>
          </cell>
          <cell r="BZ20">
            <v>637603.85238375131</v>
          </cell>
          <cell r="CB20">
            <v>168934.66882161275</v>
          </cell>
          <cell r="CC20">
            <v>172820.77187209041</v>
          </cell>
          <cell r="CD20">
            <v>176717.5527833103</v>
          </cell>
          <cell r="CE20">
            <v>180625.03998574804</v>
          </cell>
          <cell r="CF20">
            <v>699098.03346276144</v>
          </cell>
          <cell r="CH20">
            <v>183668.66283629774</v>
          </cell>
          <cell r="CI20">
            <v>187519.72745584545</v>
          </cell>
          <cell r="CJ20">
            <v>191381.6389700677</v>
          </cell>
          <cell r="CK20">
            <v>195254.42626700256</v>
          </cell>
          <cell r="CL20">
            <v>757824.45552921353</v>
          </cell>
        </row>
        <row r="21">
          <cell r="AG21">
            <v>2645</v>
          </cell>
          <cell r="AR21">
            <v>2747</v>
          </cell>
        </row>
        <row r="22">
          <cell r="A22" t="str">
            <v>Development Gains and Asset Management</v>
          </cell>
          <cell r="AG22">
            <v>-15519</v>
          </cell>
          <cell r="AR22">
            <v>-23587</v>
          </cell>
        </row>
        <row r="23">
          <cell r="A23" t="str">
            <v>Development Profits</v>
          </cell>
          <cell r="B23">
            <v>0</v>
          </cell>
          <cell r="C23">
            <v>0</v>
          </cell>
          <cell r="D23">
            <v>0</v>
          </cell>
          <cell r="E23">
            <v>0</v>
          </cell>
          <cell r="F23">
            <v>0</v>
          </cell>
          <cell r="H23">
            <v>0</v>
          </cell>
          <cell r="I23">
            <v>0</v>
          </cell>
          <cell r="J23">
            <v>0</v>
          </cell>
          <cell r="K23">
            <v>0</v>
          </cell>
          <cell r="L23">
            <v>0</v>
          </cell>
          <cell r="N23">
            <v>0</v>
          </cell>
          <cell r="O23">
            <v>0</v>
          </cell>
          <cell r="P23">
            <v>0</v>
          </cell>
          <cell r="Q23">
            <v>0</v>
          </cell>
          <cell r="R23">
            <v>0</v>
          </cell>
          <cell r="T23">
            <v>0</v>
          </cell>
          <cell r="U23">
            <v>0</v>
          </cell>
          <cell r="V23">
            <v>1341</v>
          </cell>
          <cell r="W23">
            <v>11828</v>
          </cell>
          <cell r="X23">
            <v>13169</v>
          </cell>
          <cell r="Z23">
            <v>0</v>
          </cell>
          <cell r="AA23">
            <v>0</v>
          </cell>
          <cell r="AB23">
            <v>618</v>
          </cell>
          <cell r="AC23">
            <v>414</v>
          </cell>
          <cell r="AD23">
            <v>1032</v>
          </cell>
          <cell r="AF23">
            <v>0</v>
          </cell>
          <cell r="AG23">
            <v>0</v>
          </cell>
          <cell r="AH23">
            <v>0</v>
          </cell>
          <cell r="AI23">
            <v>8929</v>
          </cell>
          <cell r="AJ23">
            <v>8929</v>
          </cell>
          <cell r="AL23">
            <v>0</v>
          </cell>
          <cell r="AM23">
            <v>3235</v>
          </cell>
          <cell r="AN23">
            <v>1521</v>
          </cell>
          <cell r="AO23">
            <v>3772</v>
          </cell>
          <cell r="AP23">
            <v>8528</v>
          </cell>
          <cell r="AR23">
            <v>17949</v>
          </cell>
          <cell r="AS23">
            <v>1975</v>
          </cell>
          <cell r="AT23">
            <v>398</v>
          </cell>
          <cell r="AU23">
            <v>34489</v>
          </cell>
          <cell r="AV23">
            <v>54811</v>
          </cell>
          <cell r="AX23">
            <v>674</v>
          </cell>
          <cell r="AY23">
            <v>45698</v>
          </cell>
          <cell r="AZ23">
            <v>23517</v>
          </cell>
          <cell r="BA23">
            <v>36500</v>
          </cell>
          <cell r="BB23">
            <v>106389</v>
          </cell>
          <cell r="BD23">
            <v>12192</v>
          </cell>
          <cell r="BE23">
            <v>28996</v>
          </cell>
          <cell r="BF23">
            <v>48298</v>
          </cell>
          <cell r="BG23">
            <v>84707</v>
          </cell>
          <cell r="BH23">
            <v>174193</v>
          </cell>
          <cell r="BJ23">
            <v>16557.263999999996</v>
          </cell>
          <cell r="BK23">
            <v>36469.53</v>
          </cell>
          <cell r="BL23">
            <v>58233.135999999999</v>
          </cell>
          <cell r="BM23">
            <v>78000</v>
          </cell>
          <cell r="BN23">
            <v>189259.93</v>
          </cell>
          <cell r="BP23">
            <v>17601.537599999996</v>
          </cell>
          <cell r="BQ23">
            <v>35522.57699999999</v>
          </cell>
          <cell r="BR23">
            <v>55109.822400000005</v>
          </cell>
          <cell r="BS23">
            <v>72900</v>
          </cell>
          <cell r="BT23">
            <v>181133.93699999998</v>
          </cell>
          <cell r="BV23">
            <v>20301.537599999996</v>
          </cell>
          <cell r="BW23">
            <v>38222.57699999999</v>
          </cell>
          <cell r="BX23">
            <v>57809.822400000005</v>
          </cell>
          <cell r="BY23">
            <v>75600</v>
          </cell>
          <cell r="BZ23">
            <v>191933.93699999998</v>
          </cell>
          <cell r="CB23">
            <v>23001.537599999996</v>
          </cell>
          <cell r="CC23">
            <v>40922.57699999999</v>
          </cell>
          <cell r="CD23">
            <v>60509.822400000005</v>
          </cell>
          <cell r="CE23">
            <v>78300</v>
          </cell>
          <cell r="CF23">
            <v>202733.93699999998</v>
          </cell>
          <cell r="CH23">
            <v>25701.537599999996</v>
          </cell>
          <cell r="CI23">
            <v>43622.57699999999</v>
          </cell>
          <cell r="CJ23">
            <v>63209.822400000005</v>
          </cell>
          <cell r="CK23">
            <v>81000</v>
          </cell>
          <cell r="CL23">
            <v>213533.93699999998</v>
          </cell>
          <cell r="CT23" t="str">
            <v>mstag:profitsFromSaleOfTradingProperties</v>
          </cell>
          <cell r="CU23">
            <v>3</v>
          </cell>
          <cell r="CV23" t="str">
            <v>ISO4217:USD</v>
          </cell>
          <cell r="CW23" t="b">
            <v>0</v>
          </cell>
          <cell r="CX23" t="b">
            <v>0</v>
          </cell>
        </row>
        <row r="24">
          <cell r="A24" t="str">
            <v>Development Profits - Unconsolidated JVs</v>
          </cell>
          <cell r="AJ24">
            <v>0</v>
          </cell>
          <cell r="AL24">
            <v>0</v>
          </cell>
          <cell r="AM24">
            <v>0</v>
          </cell>
          <cell r="AN24">
            <v>0</v>
          </cell>
          <cell r="AO24">
            <v>0</v>
          </cell>
          <cell r="AP24">
            <v>0</v>
          </cell>
          <cell r="AR24">
            <v>0</v>
          </cell>
          <cell r="AS24">
            <v>5441</v>
          </cell>
          <cell r="AT24">
            <v>0</v>
          </cell>
          <cell r="AU24">
            <v>0</v>
          </cell>
          <cell r="AV24">
            <v>5441</v>
          </cell>
          <cell r="AX24">
            <v>0</v>
          </cell>
          <cell r="AY24">
            <v>0</v>
          </cell>
          <cell r="AZ24">
            <v>0</v>
          </cell>
          <cell r="BA24">
            <v>0</v>
          </cell>
          <cell r="BB24">
            <v>0</v>
          </cell>
          <cell r="BD24">
            <v>0</v>
          </cell>
          <cell r="BE24">
            <v>0</v>
          </cell>
          <cell r="BF24">
            <v>0</v>
          </cell>
          <cell r="BG24">
            <v>0</v>
          </cell>
          <cell r="BH24">
            <v>0</v>
          </cell>
          <cell r="BJ24">
            <v>0</v>
          </cell>
          <cell r="BK24">
            <v>0</v>
          </cell>
          <cell r="BL24">
            <v>0</v>
          </cell>
          <cell r="BM24">
            <v>0</v>
          </cell>
          <cell r="BN24">
            <v>0</v>
          </cell>
          <cell r="BP24">
            <v>0</v>
          </cell>
          <cell r="BQ24">
            <v>0</v>
          </cell>
          <cell r="BR24">
            <v>0</v>
          </cell>
          <cell r="BS24">
            <v>0</v>
          </cell>
          <cell r="BT24">
            <v>0</v>
          </cell>
          <cell r="BV24">
            <v>0</v>
          </cell>
          <cell r="BW24">
            <v>0</v>
          </cell>
          <cell r="BX24">
            <v>0</v>
          </cell>
          <cell r="BY24">
            <v>0</v>
          </cell>
          <cell r="BZ24">
            <v>0</v>
          </cell>
          <cell r="CB24">
            <v>0</v>
          </cell>
          <cell r="CC24">
            <v>0</v>
          </cell>
          <cell r="CD24">
            <v>0</v>
          </cell>
          <cell r="CE24">
            <v>0</v>
          </cell>
          <cell r="CF24">
            <v>0</v>
          </cell>
          <cell r="CH24">
            <v>0</v>
          </cell>
          <cell r="CI24">
            <v>0</v>
          </cell>
          <cell r="CJ24">
            <v>0</v>
          </cell>
          <cell r="CK24">
            <v>0</v>
          </cell>
          <cell r="CL24">
            <v>0</v>
          </cell>
          <cell r="CT24" t="str">
            <v>mstag:profitsFromSaleOfTradingProperties</v>
          </cell>
          <cell r="CU24">
            <v>3</v>
          </cell>
          <cell r="CV24" t="str">
            <v>ISO4217:USD</v>
          </cell>
          <cell r="CW24" t="b">
            <v>0</v>
          </cell>
          <cell r="CX24" t="b">
            <v>0</v>
          </cell>
        </row>
        <row r="25">
          <cell r="A25" t="str">
            <v>JV Partner Share of Dev Profits (non-LP)</v>
          </cell>
          <cell r="AH25">
            <v>0</v>
          </cell>
          <cell r="AI25">
            <v>-4767</v>
          </cell>
          <cell r="AJ25">
            <v>-4767</v>
          </cell>
          <cell r="AL25">
            <v>0</v>
          </cell>
          <cell r="AM25">
            <v>-606</v>
          </cell>
          <cell r="AN25">
            <v>-66</v>
          </cell>
          <cell r="AO25">
            <v>149</v>
          </cell>
          <cell r="AP25">
            <v>-523</v>
          </cell>
          <cell r="AR25">
            <v>-9379</v>
          </cell>
          <cell r="AS25">
            <v>-190</v>
          </cell>
          <cell r="AT25">
            <v>-5</v>
          </cell>
          <cell r="AU25">
            <v>-1662</v>
          </cell>
          <cell r="AV25">
            <v>-11236</v>
          </cell>
          <cell r="AX25">
            <v>0</v>
          </cell>
          <cell r="AY25">
            <v>589</v>
          </cell>
          <cell r="AZ25">
            <v>-64</v>
          </cell>
          <cell r="BA25">
            <v>-1190</v>
          </cell>
          <cell r="BB25">
            <v>-665</v>
          </cell>
          <cell r="BD25">
            <v>-12</v>
          </cell>
          <cell r="BE25">
            <v>-1323</v>
          </cell>
          <cell r="BF25">
            <v>0</v>
          </cell>
          <cell r="BG25">
            <v>-5451</v>
          </cell>
          <cell r="BH25">
            <v>-6786</v>
          </cell>
          <cell r="BJ25">
            <v>-1065.4803742783947</v>
          </cell>
          <cell r="BK25">
            <v>-2346.859268183267</v>
          </cell>
          <cell r="BL25">
            <v>-3747.374176112954</v>
          </cell>
          <cell r="BM25">
            <v>-3935.1000000000004</v>
          </cell>
          <cell r="BN25">
            <v>-11094.813818574616</v>
          </cell>
          <cell r="BP25">
            <v>-887.99757191999981</v>
          </cell>
          <cell r="BQ25">
            <v>-1792.1140096499996</v>
          </cell>
          <cell r="BR25">
            <v>-2780.2905400800005</v>
          </cell>
          <cell r="BS25">
            <v>-3677.8050000000003</v>
          </cell>
          <cell r="BT25">
            <v>-9138.2071216500008</v>
          </cell>
          <cell r="BV25">
            <v>-1024.2125719199998</v>
          </cell>
          <cell r="BW25">
            <v>-1928.3290096499995</v>
          </cell>
          <cell r="BX25">
            <v>-2916.5055400800002</v>
          </cell>
          <cell r="BY25">
            <v>-3814.02</v>
          </cell>
          <cell r="BZ25">
            <v>-9683.0671216499995</v>
          </cell>
          <cell r="CB25">
            <v>-1160.4275719199998</v>
          </cell>
          <cell r="CC25">
            <v>-2064.5440096499997</v>
          </cell>
          <cell r="CD25">
            <v>-3052.7205400800003</v>
          </cell>
          <cell r="CE25">
            <v>-3950.2350000000001</v>
          </cell>
          <cell r="CF25">
            <v>-10227.92712165</v>
          </cell>
          <cell r="CH25">
            <v>-1296.6425719199999</v>
          </cell>
          <cell r="CI25">
            <v>-2200.7590096499994</v>
          </cell>
          <cell r="CJ25">
            <v>-3188.9355400800005</v>
          </cell>
          <cell r="CK25">
            <v>-4086.4500000000003</v>
          </cell>
          <cell r="CL25">
            <v>-10772.787121650001</v>
          </cell>
          <cell r="CT25" t="str">
            <v>mstag:otherMinorityInterestsInNetIncome</v>
          </cell>
          <cell r="CU25">
            <v>3</v>
          </cell>
          <cell r="CV25" t="str">
            <v>ISO4217:USD</v>
          </cell>
          <cell r="CW25" t="b">
            <v>1</v>
          </cell>
          <cell r="CX25" t="b">
            <v>0</v>
          </cell>
        </row>
        <row r="26">
          <cell r="A26" t="str">
            <v>Net Development Profits</v>
          </cell>
          <cell r="AF26">
            <v>0</v>
          </cell>
          <cell r="AG26">
            <v>0</v>
          </cell>
          <cell r="AH26">
            <v>0</v>
          </cell>
          <cell r="AI26">
            <v>4162</v>
          </cell>
          <cell r="AJ26">
            <v>4162</v>
          </cell>
          <cell r="AL26">
            <v>0</v>
          </cell>
          <cell r="AM26">
            <v>2629</v>
          </cell>
          <cell r="AN26">
            <v>1455</v>
          </cell>
          <cell r="AO26">
            <v>3921</v>
          </cell>
          <cell r="AP26">
            <v>8005</v>
          </cell>
          <cell r="AR26">
            <v>8570</v>
          </cell>
          <cell r="AS26">
            <v>7226</v>
          </cell>
          <cell r="AT26">
            <v>393</v>
          </cell>
          <cell r="AU26">
            <v>32827</v>
          </cell>
          <cell r="AV26">
            <v>43575</v>
          </cell>
          <cell r="AX26">
            <v>674</v>
          </cell>
          <cell r="AY26">
            <v>46287</v>
          </cell>
          <cell r="AZ26">
            <v>23453</v>
          </cell>
          <cell r="BA26">
            <v>35310</v>
          </cell>
          <cell r="BB26">
            <v>105724</v>
          </cell>
          <cell r="BD26">
            <v>12180</v>
          </cell>
          <cell r="BE26">
            <v>27673</v>
          </cell>
          <cell r="BF26">
            <v>48298</v>
          </cell>
          <cell r="BG26">
            <v>79256</v>
          </cell>
          <cell r="BH26">
            <v>167407</v>
          </cell>
          <cell r="BJ26">
            <v>15491.7836257216</v>
          </cell>
          <cell r="BK26">
            <v>34122.670731816732</v>
          </cell>
          <cell r="BL26">
            <v>54485.761823887042</v>
          </cell>
          <cell r="BM26">
            <v>74064.899999999994</v>
          </cell>
          <cell r="BN26">
            <v>178165.11618142537</v>
          </cell>
          <cell r="BP26">
            <v>16713.540028079995</v>
          </cell>
          <cell r="BQ26">
            <v>33730.462990349988</v>
          </cell>
          <cell r="BR26">
            <v>52329.531859920004</v>
          </cell>
          <cell r="BS26">
            <v>69222.195000000007</v>
          </cell>
          <cell r="BT26">
            <v>171995.72987834999</v>
          </cell>
          <cell r="BV26">
            <v>19277.325028079995</v>
          </cell>
          <cell r="BW26">
            <v>36294.247990349992</v>
          </cell>
          <cell r="BX26">
            <v>54893.316859920007</v>
          </cell>
          <cell r="BY26">
            <v>71785.98</v>
          </cell>
          <cell r="BZ26">
            <v>182250.86987834997</v>
          </cell>
          <cell r="CB26">
            <v>21841.110028079995</v>
          </cell>
          <cell r="CC26">
            <v>38858.032990349988</v>
          </cell>
          <cell r="CD26">
            <v>57457.101859920003</v>
          </cell>
          <cell r="CE26">
            <v>74349.764999999999</v>
          </cell>
          <cell r="CF26">
            <v>192506.00987834999</v>
          </cell>
          <cell r="CH26">
            <v>24404.895028079995</v>
          </cell>
          <cell r="CI26">
            <v>41421.817990349991</v>
          </cell>
          <cell r="CJ26">
            <v>60020.886859920007</v>
          </cell>
          <cell r="CK26">
            <v>76913.55</v>
          </cell>
          <cell r="CL26">
            <v>202761.14987834997</v>
          </cell>
        </row>
        <row r="28">
          <cell r="A28" t="str">
            <v>Private Capital Income</v>
          </cell>
          <cell r="B28">
            <v>1183</v>
          </cell>
          <cell r="C28">
            <v>613</v>
          </cell>
          <cell r="D28">
            <v>1220</v>
          </cell>
          <cell r="E28">
            <v>1707</v>
          </cell>
          <cell r="F28">
            <v>4723</v>
          </cell>
          <cell r="H28">
            <v>1915</v>
          </cell>
          <cell r="I28">
            <v>1847</v>
          </cell>
          <cell r="J28">
            <v>2076</v>
          </cell>
          <cell r="K28">
            <v>2687</v>
          </cell>
          <cell r="L28">
            <v>8525</v>
          </cell>
          <cell r="N28">
            <v>396</v>
          </cell>
          <cell r="O28">
            <v>704</v>
          </cell>
          <cell r="P28">
            <v>1431</v>
          </cell>
          <cell r="Q28">
            <v>4520</v>
          </cell>
          <cell r="R28">
            <v>7051</v>
          </cell>
          <cell r="T28">
            <v>2420</v>
          </cell>
          <cell r="U28">
            <v>1544</v>
          </cell>
          <cell r="V28">
            <v>2340</v>
          </cell>
          <cell r="W28">
            <v>2950</v>
          </cell>
          <cell r="X28">
            <v>9254</v>
          </cell>
          <cell r="Z28">
            <v>2588</v>
          </cell>
          <cell r="AA28">
            <v>3114</v>
          </cell>
          <cell r="AB28">
            <v>2766</v>
          </cell>
          <cell r="AC28">
            <v>2725</v>
          </cell>
          <cell r="AD28">
            <v>11193</v>
          </cell>
          <cell r="AF28">
            <v>2361</v>
          </cell>
          <cell r="AG28">
            <v>3555</v>
          </cell>
          <cell r="AH28">
            <v>1928</v>
          </cell>
          <cell r="AI28">
            <v>5493</v>
          </cell>
          <cell r="AJ28">
            <v>13337</v>
          </cell>
          <cell r="AL28">
            <v>2429</v>
          </cell>
          <cell r="AM28">
            <v>2922</v>
          </cell>
          <cell r="AN28">
            <v>2726</v>
          </cell>
          <cell r="AO28">
            <v>4818</v>
          </cell>
          <cell r="AP28">
            <v>12895</v>
          </cell>
          <cell r="AR28">
            <v>3318</v>
          </cell>
          <cell r="AS28">
            <v>3438</v>
          </cell>
          <cell r="AT28">
            <v>5764</v>
          </cell>
          <cell r="AU28">
            <v>31422</v>
          </cell>
          <cell r="AV28">
            <v>43942</v>
          </cell>
          <cell r="AX28">
            <v>5106</v>
          </cell>
          <cell r="AY28">
            <v>4943</v>
          </cell>
          <cell r="AZ28">
            <v>7490</v>
          </cell>
          <cell r="BA28">
            <v>28563</v>
          </cell>
          <cell r="BB28">
            <v>46102</v>
          </cell>
          <cell r="BD28">
            <v>5925</v>
          </cell>
          <cell r="BE28">
            <v>8518</v>
          </cell>
          <cell r="BF28">
            <v>7564</v>
          </cell>
          <cell r="BG28">
            <v>9700</v>
          </cell>
          <cell r="BH28">
            <v>31707</v>
          </cell>
          <cell r="BJ28">
            <v>5935.0349894088158</v>
          </cell>
          <cell r="BK28">
            <v>29848.661671735863</v>
          </cell>
          <cell r="BL28">
            <v>10171.496891699884</v>
          </cell>
          <cell r="BM28">
            <v>9956.4495379657892</v>
          </cell>
          <cell r="BN28">
            <v>55911.64309081035</v>
          </cell>
          <cell r="BP28">
            <v>5867.0341509774007</v>
          </cell>
          <cell r="BQ28">
            <v>8445.0058113726882</v>
          </cell>
          <cell r="BR28">
            <v>8072.0340130928771</v>
          </cell>
          <cell r="BS28">
            <v>34917.333323667604</v>
          </cell>
          <cell r="BT28">
            <v>57301.407299110571</v>
          </cell>
          <cell r="BV28">
            <v>5913.7190461510208</v>
          </cell>
          <cell r="BW28">
            <v>8461.7151314038929</v>
          </cell>
          <cell r="BX28">
            <v>8040.0800786300179</v>
          </cell>
          <cell r="BY28">
            <v>9996.1246290849613</v>
          </cell>
          <cell r="BZ28">
            <v>32411.638885269895</v>
          </cell>
          <cell r="CB28">
            <v>5853.9893255280194</v>
          </cell>
          <cell r="CC28">
            <v>8374.1640567012655</v>
          </cell>
          <cell r="CD28">
            <v>7954.8995604986158</v>
          </cell>
          <cell r="CE28">
            <v>9887.731887881464</v>
          </cell>
          <cell r="CF28">
            <v>32070.784830609366</v>
          </cell>
          <cell r="CH28">
            <v>5783.8847314842797</v>
          </cell>
          <cell r="CI28">
            <v>8264.3474109124381</v>
          </cell>
          <cell r="CJ28">
            <v>7841.4771270206174</v>
          </cell>
          <cell r="CK28">
            <v>9735.3728199187462</v>
          </cell>
          <cell r="CL28">
            <v>31625.082089336083</v>
          </cell>
          <cell r="CT28" t="str">
            <v>mstag:fundFeeAndPromotionIncomeNetOfExpenses</v>
          </cell>
          <cell r="CU28">
            <v>3</v>
          </cell>
          <cell r="CV28" t="str">
            <v>ISO4217:USD</v>
          </cell>
          <cell r="CW28" t="b">
            <v>0</v>
          </cell>
          <cell r="CX28" t="b">
            <v>0</v>
          </cell>
        </row>
        <row r="30">
          <cell r="A30" t="str">
            <v>Other Income / Expenses</v>
          </cell>
        </row>
        <row r="31">
          <cell r="A31" t="str">
            <v>G&amp;A Expenses</v>
          </cell>
          <cell r="B31">
            <v>2718</v>
          </cell>
          <cell r="C31">
            <v>3144</v>
          </cell>
          <cell r="D31">
            <v>2832</v>
          </cell>
          <cell r="E31">
            <v>3235</v>
          </cell>
          <cell r="F31">
            <v>11929</v>
          </cell>
          <cell r="H31">
            <v>4072</v>
          </cell>
          <cell r="I31">
            <v>4278</v>
          </cell>
          <cell r="J31">
            <v>6107</v>
          </cell>
          <cell r="K31">
            <v>6107</v>
          </cell>
          <cell r="L31">
            <v>20564</v>
          </cell>
          <cell r="N31">
            <v>5351</v>
          </cell>
          <cell r="O31">
            <v>5984</v>
          </cell>
          <cell r="P31">
            <v>5987</v>
          </cell>
          <cell r="Q31">
            <v>6428</v>
          </cell>
          <cell r="R31">
            <v>23750</v>
          </cell>
          <cell r="T31">
            <v>8183</v>
          </cell>
          <cell r="U31">
            <v>9201</v>
          </cell>
          <cell r="V31">
            <v>8796</v>
          </cell>
          <cell r="W31">
            <v>9640</v>
          </cell>
          <cell r="X31">
            <v>35820</v>
          </cell>
          <cell r="Z31">
            <v>9945</v>
          </cell>
          <cell r="AA31">
            <v>10762</v>
          </cell>
          <cell r="AB31">
            <v>12376</v>
          </cell>
          <cell r="AC31">
            <v>13000</v>
          </cell>
          <cell r="AD31">
            <v>46083</v>
          </cell>
          <cell r="AF31">
            <v>12174</v>
          </cell>
          <cell r="AG31">
            <v>12170</v>
          </cell>
          <cell r="AH31">
            <v>10843</v>
          </cell>
          <cell r="AI31">
            <v>12542</v>
          </cell>
          <cell r="AJ31">
            <v>47729</v>
          </cell>
          <cell r="AL31">
            <v>15036</v>
          </cell>
          <cell r="AM31">
            <v>15081</v>
          </cell>
          <cell r="AN31">
            <v>15747</v>
          </cell>
          <cell r="AO31">
            <v>14991</v>
          </cell>
          <cell r="AP31">
            <v>60855</v>
          </cell>
          <cell r="AR31">
            <v>19163</v>
          </cell>
          <cell r="AS31">
            <v>19009</v>
          </cell>
          <cell r="AT31">
            <v>19994</v>
          </cell>
          <cell r="AU31">
            <v>20752</v>
          </cell>
          <cell r="AV31">
            <v>78918</v>
          </cell>
          <cell r="AX31">
            <v>23469</v>
          </cell>
          <cell r="AY31">
            <v>25623</v>
          </cell>
          <cell r="AZ31">
            <v>26346</v>
          </cell>
          <cell r="BA31">
            <v>30934</v>
          </cell>
          <cell r="BB31">
            <v>106372</v>
          </cell>
          <cell r="BD31">
            <v>30095</v>
          </cell>
          <cell r="BE31">
            <v>30537</v>
          </cell>
          <cell r="BF31">
            <v>35406</v>
          </cell>
          <cell r="BG31">
            <v>34548</v>
          </cell>
          <cell r="BH31">
            <v>130586</v>
          </cell>
          <cell r="BJ31">
            <v>33346.680386921762</v>
          </cell>
          <cell r="BK31">
            <v>34811.48845856652</v>
          </cell>
          <cell r="BL31">
            <v>41574.655260953048</v>
          </cell>
          <cell r="BM31">
            <v>40610.248625385095</v>
          </cell>
          <cell r="BN31">
            <v>150343.07273182643</v>
          </cell>
          <cell r="BP31">
            <v>39666.83869206949</v>
          </cell>
          <cell r="BQ31">
            <v>41086.20158353648</v>
          </cell>
          <cell r="BR31">
            <v>48796.436541877767</v>
          </cell>
          <cell r="BS31">
            <v>47454.346492739271</v>
          </cell>
          <cell r="BT31">
            <v>177003.82331022303</v>
          </cell>
          <cell r="BV31">
            <v>45366.458077569238</v>
          </cell>
          <cell r="BW31">
            <v>45985.711848050712</v>
          </cell>
          <cell r="BX31">
            <v>54072.13013550621</v>
          </cell>
          <cell r="BY31">
            <v>52065.290342937711</v>
          </cell>
          <cell r="BZ31">
            <v>197489.59040406387</v>
          </cell>
          <cell r="CB31">
            <v>49776.176173512918</v>
          </cell>
          <cell r="CC31">
            <v>50432.207395149504</v>
          </cell>
          <cell r="CD31">
            <v>59274.158982226683</v>
          </cell>
          <cell r="CE31">
            <v>57049.915721303536</v>
          </cell>
          <cell r="CF31">
            <v>216532.45827219263</v>
          </cell>
          <cell r="CH31">
            <v>54117.510530339838</v>
          </cell>
          <cell r="CI31">
            <v>54721.626823507824</v>
          </cell>
          <cell r="CJ31">
            <v>64192.750046175723</v>
          </cell>
          <cell r="CK31">
            <v>61670.566625883643</v>
          </cell>
          <cell r="CL31">
            <v>234702.45402590703</v>
          </cell>
          <cell r="CT31" t="str">
            <v>mstag:generalAndAdministrativeExpensesByNature</v>
          </cell>
          <cell r="CU31">
            <v>3</v>
          </cell>
          <cell r="CV31" t="str">
            <v>ISO4217:USD</v>
          </cell>
          <cell r="CW31" t="b">
            <v>0</v>
          </cell>
          <cell r="CX31" t="b">
            <v>0</v>
          </cell>
        </row>
        <row r="32">
          <cell r="A32" t="str">
            <v>Other Income</v>
          </cell>
          <cell r="B32">
            <v>0</v>
          </cell>
          <cell r="C32">
            <v>0</v>
          </cell>
          <cell r="D32">
            <v>0</v>
          </cell>
          <cell r="E32">
            <v>0</v>
          </cell>
          <cell r="F32">
            <v>0</v>
          </cell>
          <cell r="H32">
            <v>0</v>
          </cell>
          <cell r="I32">
            <v>0</v>
          </cell>
          <cell r="J32">
            <v>0</v>
          </cell>
          <cell r="K32">
            <v>0</v>
          </cell>
          <cell r="L32">
            <v>0</v>
          </cell>
          <cell r="N32">
            <v>419</v>
          </cell>
          <cell r="O32">
            <v>861</v>
          </cell>
          <cell r="P32">
            <v>0</v>
          </cell>
          <cell r="Q32">
            <v>0</v>
          </cell>
          <cell r="R32">
            <v>1280</v>
          </cell>
          <cell r="T32">
            <v>5139</v>
          </cell>
          <cell r="U32">
            <v>3692</v>
          </cell>
          <cell r="V32">
            <v>5392</v>
          </cell>
          <cell r="W32">
            <v>3835</v>
          </cell>
          <cell r="X32">
            <v>18058</v>
          </cell>
          <cell r="Z32">
            <v>2850</v>
          </cell>
          <cell r="AA32">
            <v>3330</v>
          </cell>
          <cell r="AB32">
            <v>2609</v>
          </cell>
          <cell r="AC32">
            <v>539</v>
          </cell>
          <cell r="AD32">
            <v>9328</v>
          </cell>
          <cell r="AF32">
            <v>1393</v>
          </cell>
          <cell r="AG32">
            <v>1549</v>
          </cell>
          <cell r="AH32">
            <v>2882</v>
          </cell>
          <cell r="AI32">
            <v>1005</v>
          </cell>
          <cell r="AJ32">
            <v>6829</v>
          </cell>
          <cell r="AL32">
            <v>1665</v>
          </cell>
          <cell r="AM32">
            <v>486</v>
          </cell>
          <cell r="AN32">
            <v>1295</v>
          </cell>
          <cell r="AO32">
            <v>682</v>
          </cell>
          <cell r="AP32">
            <v>4128</v>
          </cell>
          <cell r="AR32">
            <v>-566</v>
          </cell>
          <cell r="AS32">
            <v>893</v>
          </cell>
          <cell r="AT32">
            <v>2897</v>
          </cell>
          <cell r="AU32">
            <v>3342</v>
          </cell>
          <cell r="AV32">
            <v>6566</v>
          </cell>
          <cell r="AX32">
            <v>3063</v>
          </cell>
          <cell r="AY32">
            <v>1933</v>
          </cell>
          <cell r="AZ32">
            <v>2643</v>
          </cell>
          <cell r="BA32">
            <v>1785</v>
          </cell>
          <cell r="BB32">
            <v>9424</v>
          </cell>
          <cell r="BD32">
            <v>5507</v>
          </cell>
          <cell r="BE32">
            <v>6472</v>
          </cell>
          <cell r="BF32">
            <v>7956</v>
          </cell>
          <cell r="BG32">
            <v>2318</v>
          </cell>
          <cell r="BH32">
            <v>22253</v>
          </cell>
          <cell r="BJ32">
            <v>4867.1494026562495</v>
          </cell>
          <cell r="BK32">
            <v>4842.9761604971591</v>
          </cell>
          <cell r="BL32">
            <v>4818.8029183380686</v>
          </cell>
          <cell r="BM32">
            <v>4794.6296761789772</v>
          </cell>
          <cell r="BN32">
            <v>19323.558157670454</v>
          </cell>
          <cell r="BP32">
            <v>4811.3838948298926</v>
          </cell>
          <cell r="BQ32">
            <v>4828.1381134808071</v>
          </cell>
          <cell r="BR32">
            <v>4844.8923321317216</v>
          </cell>
          <cell r="BS32">
            <v>4861.646550782637</v>
          </cell>
          <cell r="BT32">
            <v>19346.060891225057</v>
          </cell>
          <cell r="BV32">
            <v>4849.6688181812851</v>
          </cell>
          <cell r="BW32">
            <v>4837.6910855799333</v>
          </cell>
          <cell r="BX32">
            <v>4825.7133529785815</v>
          </cell>
          <cell r="BY32">
            <v>4813.7356203772297</v>
          </cell>
          <cell r="BZ32">
            <v>19326.80887711703</v>
          </cell>
          <cell r="CB32">
            <v>4800.6862132649112</v>
          </cell>
          <cell r="CC32">
            <v>4787.6368061525927</v>
          </cell>
          <cell r="CD32">
            <v>4774.5873990402742</v>
          </cell>
          <cell r="CE32">
            <v>4761.5379919279558</v>
          </cell>
          <cell r="CF32">
            <v>19124.448410385736</v>
          </cell>
          <cell r="CH32">
            <v>4743.1954767094676</v>
          </cell>
          <cell r="CI32">
            <v>4724.8529614909785</v>
          </cell>
          <cell r="CJ32">
            <v>4706.5104462724903</v>
          </cell>
          <cell r="CK32">
            <v>4688.1679310540012</v>
          </cell>
          <cell r="CL32">
            <v>18862.726815526938</v>
          </cell>
          <cell r="CT32" t="str">
            <v>mstag:otherOperatingExpense</v>
          </cell>
          <cell r="CU32">
            <v>3</v>
          </cell>
          <cell r="CV32" t="str">
            <v>ISO4217:USD</v>
          </cell>
          <cell r="CW32" t="b">
            <v>1</v>
          </cell>
          <cell r="CX32" t="b">
            <v>0</v>
          </cell>
        </row>
        <row r="33">
          <cell r="A33" t="str">
            <v>Other Expenses</v>
          </cell>
          <cell r="B33">
            <v>0</v>
          </cell>
          <cell r="C33">
            <v>0</v>
          </cell>
          <cell r="D33">
            <v>0</v>
          </cell>
          <cell r="E33">
            <v>0</v>
          </cell>
          <cell r="F33">
            <v>0</v>
          </cell>
          <cell r="H33">
            <v>0</v>
          </cell>
          <cell r="I33">
            <v>0</v>
          </cell>
          <cell r="J33">
            <v>0</v>
          </cell>
          <cell r="K33">
            <v>0</v>
          </cell>
          <cell r="L33">
            <v>0</v>
          </cell>
          <cell r="N33">
            <v>0</v>
          </cell>
          <cell r="O33">
            <v>0</v>
          </cell>
          <cell r="P33">
            <v>0</v>
          </cell>
          <cell r="Q33">
            <v>0</v>
          </cell>
          <cell r="R33">
            <v>0</v>
          </cell>
          <cell r="T33">
            <v>0</v>
          </cell>
          <cell r="U33">
            <v>0</v>
          </cell>
          <cell r="V33">
            <v>0</v>
          </cell>
          <cell r="W33">
            <v>0</v>
          </cell>
          <cell r="X33">
            <v>0</v>
          </cell>
          <cell r="Z33">
            <v>0</v>
          </cell>
          <cell r="AA33">
            <v>0</v>
          </cell>
          <cell r="AB33">
            <v>0</v>
          </cell>
          <cell r="AC33">
            <v>0</v>
          </cell>
          <cell r="AD33">
            <v>0</v>
          </cell>
          <cell r="AF33">
            <v>0</v>
          </cell>
          <cell r="AG33">
            <v>0</v>
          </cell>
          <cell r="AH33">
            <v>0</v>
          </cell>
          <cell r="AI33">
            <v>0</v>
          </cell>
          <cell r="AJ33">
            <v>0</v>
          </cell>
          <cell r="AL33">
            <v>0</v>
          </cell>
          <cell r="AM33">
            <v>0</v>
          </cell>
          <cell r="AN33">
            <v>0</v>
          </cell>
          <cell r="AO33">
            <v>0</v>
          </cell>
          <cell r="AP33">
            <v>0</v>
          </cell>
          <cell r="AR33">
            <v>0</v>
          </cell>
          <cell r="AS33">
            <v>0</v>
          </cell>
          <cell r="AT33">
            <v>0</v>
          </cell>
          <cell r="AU33">
            <v>0</v>
          </cell>
          <cell r="AV33">
            <v>0</v>
          </cell>
          <cell r="AX33">
            <v>-537</v>
          </cell>
          <cell r="AY33">
            <v>296</v>
          </cell>
          <cell r="AZ33">
            <v>-893</v>
          </cell>
          <cell r="BA33">
            <v>-1486</v>
          </cell>
          <cell r="BB33">
            <v>-2620</v>
          </cell>
          <cell r="BD33">
            <v>-912</v>
          </cell>
          <cell r="BE33">
            <v>-1139</v>
          </cell>
          <cell r="BF33">
            <v>-944</v>
          </cell>
          <cell r="BG33">
            <v>-2117</v>
          </cell>
          <cell r="BH33">
            <v>-5112</v>
          </cell>
          <cell r="BJ33">
            <v>-973.42988053124998</v>
          </cell>
          <cell r="BK33">
            <v>-968.59523209943188</v>
          </cell>
          <cell r="BL33">
            <v>-963.76058366761379</v>
          </cell>
          <cell r="BM33">
            <v>-958.92593523579546</v>
          </cell>
          <cell r="BN33">
            <v>-3864.7116315340909</v>
          </cell>
          <cell r="BP33">
            <v>-721.70758422448387</v>
          </cell>
          <cell r="BQ33">
            <v>-724.22071702212099</v>
          </cell>
          <cell r="BR33">
            <v>-726.73384981975823</v>
          </cell>
          <cell r="BS33">
            <v>-729.24698261739547</v>
          </cell>
          <cell r="BT33">
            <v>-2901.9091336837587</v>
          </cell>
          <cell r="BV33">
            <v>-727.45032272719277</v>
          </cell>
          <cell r="BW33">
            <v>-725.65366283698995</v>
          </cell>
          <cell r="BX33">
            <v>-723.85700294678725</v>
          </cell>
          <cell r="BY33">
            <v>-722.06034305658443</v>
          </cell>
          <cell r="BZ33">
            <v>-2899.0213315675542</v>
          </cell>
          <cell r="CB33">
            <v>-720.1029319897367</v>
          </cell>
          <cell r="CC33">
            <v>-718.14552092288886</v>
          </cell>
          <cell r="CD33">
            <v>-716.18810985604114</v>
          </cell>
          <cell r="CE33">
            <v>-714.2306987891933</v>
          </cell>
          <cell r="CF33">
            <v>-2868.66726155786</v>
          </cell>
          <cell r="CH33">
            <v>0</v>
          </cell>
          <cell r="CI33">
            <v>0</v>
          </cell>
          <cell r="CJ33">
            <v>0</v>
          </cell>
          <cell r="CK33">
            <v>0</v>
          </cell>
          <cell r="CL33">
            <v>0</v>
          </cell>
          <cell r="CT33" t="str">
            <v>mstag:otherNonOperatingIncomeExpense</v>
          </cell>
          <cell r="CU33">
            <v>3</v>
          </cell>
          <cell r="CV33" t="str">
            <v>ISO4217:USD</v>
          </cell>
          <cell r="CW33" t="b">
            <v>0</v>
          </cell>
        </row>
        <row r="34">
          <cell r="A34" t="str">
            <v>AMB Share of Other Unconsolidated JV Expenses</v>
          </cell>
          <cell r="AF34">
            <v>0</v>
          </cell>
          <cell r="AG34">
            <v>197</v>
          </cell>
          <cell r="AH34">
            <v>138</v>
          </cell>
          <cell r="AI34">
            <v>95</v>
          </cell>
          <cell r="AJ34">
            <v>430</v>
          </cell>
          <cell r="AL34">
            <v>141</v>
          </cell>
          <cell r="AM34">
            <v>130</v>
          </cell>
          <cell r="AN34">
            <v>137</v>
          </cell>
          <cell r="AO34">
            <v>209</v>
          </cell>
          <cell r="AP34">
            <v>617</v>
          </cell>
          <cell r="AR34">
            <v>-229</v>
          </cell>
          <cell r="AS34">
            <v>-474</v>
          </cell>
          <cell r="AT34">
            <v>-305</v>
          </cell>
          <cell r="AU34">
            <v>-1727</v>
          </cell>
          <cell r="AV34">
            <v>-2735</v>
          </cell>
          <cell r="AX34">
            <v>-1611</v>
          </cell>
          <cell r="AY34">
            <v>-2537</v>
          </cell>
          <cell r="AZ34">
            <v>-1176</v>
          </cell>
          <cell r="BA34">
            <v>-1184</v>
          </cell>
          <cell r="BB34">
            <v>-6508</v>
          </cell>
          <cell r="BD34">
            <v>-1303</v>
          </cell>
          <cell r="BE34">
            <v>-1305</v>
          </cell>
          <cell r="BF34">
            <v>1068</v>
          </cell>
          <cell r="BG34">
            <v>-6857</v>
          </cell>
          <cell r="BH34">
            <v>-8397</v>
          </cell>
          <cell r="BJ34">
            <v>-2573.1696579557984</v>
          </cell>
          <cell r="BK34">
            <v>-2701.8281408535886</v>
          </cell>
          <cell r="BL34">
            <v>-2836.9195478962679</v>
          </cell>
          <cell r="BM34">
            <v>-2978.7655252910818</v>
          </cell>
          <cell r="BN34">
            <v>-11090.682871996738</v>
          </cell>
          <cell r="BP34">
            <v>-3127.7038015556359</v>
          </cell>
          <cell r="BQ34">
            <v>-3284.0889916334177</v>
          </cell>
          <cell r="BR34">
            <v>-3448.2934412150889</v>
          </cell>
          <cell r="BS34">
            <v>-3620.7081132758435</v>
          </cell>
          <cell r="BT34">
            <v>-13480.794347679985</v>
          </cell>
          <cell r="BV34">
            <v>-3638.8116538422223</v>
          </cell>
          <cell r="BW34">
            <v>-3657.0057121114328</v>
          </cell>
          <cell r="BX34">
            <v>-3675.2907406719896</v>
          </cell>
          <cell r="BY34">
            <v>-3693.667194375349</v>
          </cell>
          <cell r="BZ34">
            <v>-14664.775301000995</v>
          </cell>
          <cell r="CB34">
            <v>-3712.135530347226</v>
          </cell>
          <cell r="CC34">
            <v>-3730.6962079989617</v>
          </cell>
          <cell r="CD34">
            <v>-3749.3496890389561</v>
          </cell>
          <cell r="CE34">
            <v>-3768.0964374841501</v>
          </cell>
          <cell r="CF34">
            <v>-14960.277864869293</v>
          </cell>
          <cell r="CH34">
            <v>-3786.9369196715706</v>
          </cell>
          <cell r="CI34">
            <v>-3805.871604269928</v>
          </cell>
          <cell r="CJ34">
            <v>-3824.9009622912772</v>
          </cell>
          <cell r="CK34">
            <v>-3844.0254671027333</v>
          </cell>
          <cell r="CL34">
            <v>-15261.734953335508</v>
          </cell>
          <cell r="CT34" t="str">
            <v>mstag:otherOperatingExpense</v>
          </cell>
          <cell r="CU34">
            <v>3</v>
          </cell>
          <cell r="CV34" t="str">
            <v>ISO4217:USD</v>
          </cell>
          <cell r="CW34" t="b">
            <v>1</v>
          </cell>
          <cell r="CX34" t="b">
            <v>0</v>
          </cell>
        </row>
        <row r="35">
          <cell r="A35" t="str">
            <v>Cons. JV Partner Share of Other Expense</v>
          </cell>
          <cell r="AF35">
            <v>-519</v>
          </cell>
          <cell r="AG35">
            <v>-474</v>
          </cell>
          <cell r="AH35">
            <v>-662</v>
          </cell>
          <cell r="AI35">
            <v>-765</v>
          </cell>
          <cell r="AJ35">
            <v>-2420</v>
          </cell>
          <cell r="AL35">
            <v>-227</v>
          </cell>
          <cell r="AM35">
            <v>-365</v>
          </cell>
          <cell r="AN35">
            <v>-661</v>
          </cell>
          <cell r="AO35">
            <v>-348</v>
          </cell>
          <cell r="AP35">
            <v>-1601</v>
          </cell>
          <cell r="AR35">
            <v>-453</v>
          </cell>
          <cell r="AS35">
            <v>-859</v>
          </cell>
          <cell r="AT35">
            <v>-240</v>
          </cell>
          <cell r="AU35">
            <v>-292</v>
          </cell>
          <cell r="AV35">
            <v>-1844</v>
          </cell>
          <cell r="AX35">
            <v>-313</v>
          </cell>
          <cell r="AY35">
            <v>-1101</v>
          </cell>
          <cell r="AZ35">
            <v>-251</v>
          </cell>
          <cell r="BA35">
            <v>165</v>
          </cell>
          <cell r="BB35">
            <v>-1500</v>
          </cell>
          <cell r="BD35">
            <v>-423</v>
          </cell>
          <cell r="BE35">
            <v>-383</v>
          </cell>
          <cell r="BF35">
            <v>-427</v>
          </cell>
          <cell r="BG35">
            <v>0</v>
          </cell>
          <cell r="BH35">
            <v>-1233</v>
          </cell>
          <cell r="BJ35">
            <v>0</v>
          </cell>
          <cell r="BK35">
            <v>0</v>
          </cell>
          <cell r="BL35">
            <v>0</v>
          </cell>
          <cell r="BM35">
            <v>0</v>
          </cell>
          <cell r="BN35">
            <v>0</v>
          </cell>
          <cell r="BP35">
            <v>0</v>
          </cell>
          <cell r="BQ35">
            <v>0</v>
          </cell>
          <cell r="BR35">
            <v>0</v>
          </cell>
          <cell r="BS35">
            <v>0</v>
          </cell>
          <cell r="BT35">
            <v>0</v>
          </cell>
          <cell r="BV35">
            <v>0</v>
          </cell>
          <cell r="BW35">
            <v>0</v>
          </cell>
          <cell r="BX35">
            <v>0</v>
          </cell>
          <cell r="BY35">
            <v>0</v>
          </cell>
          <cell r="BZ35">
            <v>0</v>
          </cell>
          <cell r="CB35">
            <v>0</v>
          </cell>
          <cell r="CC35">
            <v>0</v>
          </cell>
          <cell r="CD35">
            <v>0</v>
          </cell>
          <cell r="CE35">
            <v>0</v>
          </cell>
          <cell r="CF35">
            <v>0</v>
          </cell>
          <cell r="CH35">
            <v>0</v>
          </cell>
          <cell r="CI35">
            <v>0</v>
          </cell>
          <cell r="CJ35">
            <v>0</v>
          </cell>
          <cell r="CK35">
            <v>0</v>
          </cell>
          <cell r="CL35">
            <v>0</v>
          </cell>
          <cell r="CT35" t="str">
            <v>mstag:otherMinorityInterestsInNetIncome</v>
          </cell>
          <cell r="CU35">
            <v>3</v>
          </cell>
          <cell r="CW35" t="b">
            <v>1</v>
          </cell>
        </row>
        <row r="37">
          <cell r="A37" t="str">
            <v>EBITDA</v>
          </cell>
          <cell r="B37">
            <v>52815</v>
          </cell>
          <cell r="C37">
            <v>59618</v>
          </cell>
          <cell r="D37">
            <v>66096</v>
          </cell>
          <cell r="E37">
            <v>72355</v>
          </cell>
          <cell r="F37">
            <v>250884</v>
          </cell>
          <cell r="H37">
            <v>75966</v>
          </cell>
          <cell r="I37">
            <v>80215</v>
          </cell>
          <cell r="J37">
            <v>78895</v>
          </cell>
          <cell r="K37">
            <v>79961</v>
          </cell>
          <cell r="L37">
            <v>315037</v>
          </cell>
          <cell r="N37">
            <v>79999</v>
          </cell>
          <cell r="O37">
            <v>82407</v>
          </cell>
          <cell r="P37">
            <v>87990</v>
          </cell>
          <cell r="Q37">
            <v>95831</v>
          </cell>
          <cell r="R37">
            <v>346227</v>
          </cell>
          <cell r="T37">
            <v>103731</v>
          </cell>
          <cell r="U37">
            <v>103185</v>
          </cell>
          <cell r="V37">
            <v>111017</v>
          </cell>
          <cell r="W37">
            <v>119327</v>
          </cell>
          <cell r="X37">
            <v>434531</v>
          </cell>
          <cell r="Z37">
            <v>110665</v>
          </cell>
          <cell r="AA37">
            <v>108580</v>
          </cell>
          <cell r="AB37">
            <v>111242</v>
          </cell>
          <cell r="AC37">
            <v>108776</v>
          </cell>
          <cell r="AD37">
            <v>439263</v>
          </cell>
          <cell r="AF37">
            <v>89203</v>
          </cell>
          <cell r="AG37">
            <v>82104</v>
          </cell>
          <cell r="AH37">
            <v>80290</v>
          </cell>
          <cell r="AI37">
            <v>90046</v>
          </cell>
          <cell r="AJ37">
            <v>341643</v>
          </cell>
          <cell r="AL37">
            <v>83406</v>
          </cell>
          <cell r="AM37">
            <v>85066</v>
          </cell>
          <cell r="AN37">
            <v>92001</v>
          </cell>
          <cell r="AO37">
            <v>89828</v>
          </cell>
          <cell r="AP37">
            <v>350301</v>
          </cell>
          <cell r="AR37">
            <v>84830</v>
          </cell>
          <cell r="AS37">
            <v>86601</v>
          </cell>
          <cell r="AT37">
            <v>81523</v>
          </cell>
          <cell r="AU37">
            <v>140139</v>
          </cell>
          <cell r="AV37">
            <v>387652</v>
          </cell>
          <cell r="AX37">
            <v>85967</v>
          </cell>
          <cell r="AY37">
            <v>125619</v>
          </cell>
          <cell r="AZ37">
            <v>106635</v>
          </cell>
          <cell r="BA37">
            <v>138060</v>
          </cell>
          <cell r="BB37">
            <v>456281</v>
          </cell>
          <cell r="BD37">
            <v>93018</v>
          </cell>
          <cell r="BE37">
            <v>113943</v>
          </cell>
          <cell r="BF37">
            <v>133667</v>
          </cell>
          <cell r="BG37">
            <v>157134</v>
          </cell>
          <cell r="BH37">
            <v>497762</v>
          </cell>
          <cell r="BJ37">
            <v>102575.52072370534</v>
          </cell>
          <cell r="BK37">
            <v>149624.18696268497</v>
          </cell>
          <cell r="BL37">
            <v>148049.70268708625</v>
          </cell>
          <cell r="BM37">
            <v>172843.65031098927</v>
          </cell>
          <cell r="BN37">
            <v>573093.06068446592</v>
          </cell>
          <cell r="BP37">
            <v>118500.43759129556</v>
          </cell>
          <cell r="BQ37">
            <v>142703.03342003122</v>
          </cell>
          <cell r="BR37">
            <v>157754.69409791499</v>
          </cell>
          <cell r="BS37">
            <v>207441.49896802241</v>
          </cell>
          <cell r="BT37">
            <v>626399.66407726402</v>
          </cell>
          <cell r="BV37">
            <v>134276.58102849941</v>
          </cell>
          <cell r="BW37">
            <v>156808.83181452163</v>
          </cell>
          <cell r="BX37">
            <v>170496.26919836545</v>
          </cell>
          <cell r="BY37">
            <v>194958.10094646926</v>
          </cell>
          <cell r="BZ37">
            <v>656539.78298785572</v>
          </cell>
          <cell r="CB37">
            <v>147222.03975263581</v>
          </cell>
          <cell r="CC37">
            <v>169959.55660122287</v>
          </cell>
          <cell r="CD37">
            <v>183164.44482164751</v>
          </cell>
          <cell r="CE37">
            <v>208091.83200798061</v>
          </cell>
          <cell r="CF37">
            <v>708437.87318348663</v>
          </cell>
          <cell r="CH37">
            <v>160696.19062256007</v>
          </cell>
          <cell r="CI37">
            <v>183403.24739082111</v>
          </cell>
          <cell r="CJ37">
            <v>195932.86239481383</v>
          </cell>
          <cell r="CK37">
            <v>221076.92492498888</v>
          </cell>
          <cell r="CL37">
            <v>761109.22533318412</v>
          </cell>
        </row>
        <row r="39">
          <cell r="A39" t="str">
            <v>Consolidated Interest Expense</v>
          </cell>
          <cell r="B39">
            <v>11841</v>
          </cell>
          <cell r="C39">
            <v>15720</v>
          </cell>
          <cell r="D39">
            <v>19544</v>
          </cell>
          <cell r="E39">
            <v>22565</v>
          </cell>
          <cell r="F39">
            <v>69670</v>
          </cell>
          <cell r="H39">
            <v>22967</v>
          </cell>
          <cell r="I39">
            <v>23591</v>
          </cell>
          <cell r="J39">
            <v>21147</v>
          </cell>
          <cell r="K39">
            <v>20976</v>
          </cell>
          <cell r="L39">
            <v>88681</v>
          </cell>
          <cell r="N39">
            <v>20342</v>
          </cell>
          <cell r="O39">
            <v>20002</v>
          </cell>
          <cell r="P39">
            <v>22562</v>
          </cell>
          <cell r="Q39">
            <v>27364</v>
          </cell>
          <cell r="R39">
            <v>90270</v>
          </cell>
          <cell r="T39">
            <v>31552</v>
          </cell>
          <cell r="U39">
            <v>30206</v>
          </cell>
          <cell r="V39">
            <v>32996</v>
          </cell>
          <cell r="W39">
            <v>34231</v>
          </cell>
          <cell r="X39">
            <v>128985</v>
          </cell>
          <cell r="Z39">
            <v>35851</v>
          </cell>
          <cell r="AA39">
            <v>37217</v>
          </cell>
          <cell r="AB39">
            <v>38661</v>
          </cell>
          <cell r="AC39">
            <v>37442</v>
          </cell>
          <cell r="AD39">
            <v>149171</v>
          </cell>
          <cell r="AF39">
            <v>37180</v>
          </cell>
          <cell r="AG39">
            <v>36645</v>
          </cell>
          <cell r="AH39">
            <v>35867</v>
          </cell>
          <cell r="AI39">
            <v>38810</v>
          </cell>
          <cell r="AJ39">
            <v>148502</v>
          </cell>
          <cell r="AL39">
            <v>39425</v>
          </cell>
          <cell r="AM39">
            <v>39961</v>
          </cell>
          <cell r="AN39">
            <v>40324</v>
          </cell>
          <cell r="AO39">
            <v>39401</v>
          </cell>
          <cell r="AP39">
            <v>159111</v>
          </cell>
          <cell r="AR39">
            <v>40896</v>
          </cell>
          <cell r="AS39">
            <v>40971</v>
          </cell>
          <cell r="AT39">
            <v>40760</v>
          </cell>
          <cell r="AU39">
            <v>38445</v>
          </cell>
          <cell r="AV39">
            <v>161072</v>
          </cell>
          <cell r="AX39">
            <v>39789</v>
          </cell>
          <cell r="AY39">
            <v>44075</v>
          </cell>
          <cell r="AZ39">
            <v>44535</v>
          </cell>
          <cell r="BA39">
            <v>37218</v>
          </cell>
          <cell r="BB39">
            <v>165617</v>
          </cell>
          <cell r="BD39">
            <v>33865</v>
          </cell>
          <cell r="BE39">
            <v>33369</v>
          </cell>
          <cell r="BF39">
            <v>28896</v>
          </cell>
          <cell r="BG39">
            <v>30551</v>
          </cell>
          <cell r="BH39">
            <v>126681</v>
          </cell>
          <cell r="BJ39">
            <v>36138.72631474783</v>
          </cell>
          <cell r="BK39">
            <v>38000.646025276714</v>
          </cell>
          <cell r="BL39">
            <v>40132.966007292911</v>
          </cell>
          <cell r="BM39">
            <v>42303.666563678984</v>
          </cell>
          <cell r="BN39">
            <v>156576.00491099642</v>
          </cell>
          <cell r="BP39">
            <v>44372.451359349587</v>
          </cell>
          <cell r="BQ39">
            <v>46334.90148855048</v>
          </cell>
          <cell r="BR39">
            <v>48227.224701981497</v>
          </cell>
          <cell r="BS39">
            <v>49896.928280275803</v>
          </cell>
          <cell r="BT39">
            <v>188831.50583015737</v>
          </cell>
          <cell r="BV39">
            <v>51606.513155034234</v>
          </cell>
          <cell r="BW39">
            <v>53508.503966285432</v>
          </cell>
          <cell r="BX39">
            <v>55429.246572633281</v>
          </cell>
          <cell r="BY39">
            <v>57356.286267457894</v>
          </cell>
          <cell r="BZ39">
            <v>217900.54996141081</v>
          </cell>
          <cell r="CB39">
            <v>59410.742495691033</v>
          </cell>
          <cell r="CC39">
            <v>61462.380334853842</v>
          </cell>
          <cell r="CD39">
            <v>63394.797444043303</v>
          </cell>
          <cell r="CE39">
            <v>65334.261702369215</v>
          </cell>
          <cell r="CF39">
            <v>249602.18197695736</v>
          </cell>
          <cell r="CH39">
            <v>67218.591262326576</v>
          </cell>
          <cell r="CI39">
            <v>69062.137297424022</v>
          </cell>
          <cell r="CJ39">
            <v>70930.900121710351</v>
          </cell>
          <cell r="CK39">
            <v>72808.844281371785</v>
          </cell>
          <cell r="CL39">
            <v>280020.47296283272</v>
          </cell>
          <cell r="CT39" t="str">
            <v>mstag:interestExpense</v>
          </cell>
          <cell r="CU39">
            <v>3</v>
          </cell>
          <cell r="CV39" t="str">
            <v>ISO4217:USD</v>
          </cell>
          <cell r="CW39" t="b">
            <v>0</v>
          </cell>
          <cell r="CX39" t="b">
            <v>0</v>
          </cell>
        </row>
        <row r="40">
          <cell r="A40" t="str">
            <v>AMB Share of Unconsolidated Int Exp</v>
          </cell>
          <cell r="AF40">
            <v>577</v>
          </cell>
          <cell r="AG40">
            <v>697</v>
          </cell>
          <cell r="AH40">
            <v>808</v>
          </cell>
          <cell r="AI40">
            <v>693</v>
          </cell>
          <cell r="AJ40">
            <v>2775</v>
          </cell>
          <cell r="AL40">
            <v>703</v>
          </cell>
          <cell r="AM40">
            <v>955</v>
          </cell>
          <cell r="AN40">
            <v>1316</v>
          </cell>
          <cell r="AO40">
            <v>953</v>
          </cell>
          <cell r="AP40">
            <v>3927</v>
          </cell>
          <cell r="AR40">
            <v>1662</v>
          </cell>
          <cell r="AS40">
            <v>2274</v>
          </cell>
          <cell r="AT40">
            <v>2252</v>
          </cell>
          <cell r="AU40">
            <v>2833</v>
          </cell>
          <cell r="AV40">
            <v>9021</v>
          </cell>
          <cell r="AX40">
            <v>2027</v>
          </cell>
          <cell r="AY40">
            <v>2428</v>
          </cell>
          <cell r="AZ40">
            <v>2146</v>
          </cell>
          <cell r="BA40">
            <v>3823</v>
          </cell>
          <cell r="BB40">
            <v>10424</v>
          </cell>
          <cell r="BD40">
            <v>4068</v>
          </cell>
          <cell r="BE40">
            <v>4249</v>
          </cell>
          <cell r="BF40">
            <v>6033</v>
          </cell>
          <cell r="BG40">
            <v>5395</v>
          </cell>
          <cell r="BH40">
            <v>19745</v>
          </cell>
          <cell r="BJ40">
            <v>6951.8874574530564</v>
          </cell>
          <cell r="BK40">
            <v>7299.4818303257098</v>
          </cell>
          <cell r="BL40">
            <v>7664.4559218419963</v>
          </cell>
          <cell r="BM40">
            <v>8047.6787179340963</v>
          </cell>
          <cell r="BN40">
            <v>29963.503927554859</v>
          </cell>
          <cell r="BP40">
            <v>8450.0626538308006</v>
          </cell>
          <cell r="BQ40">
            <v>8872.5657865223402</v>
          </cell>
          <cell r="BR40">
            <v>9316.1940758484598</v>
          </cell>
          <cell r="BS40">
            <v>9782.0037796408833</v>
          </cell>
          <cell r="BT40">
            <v>36420.826295842482</v>
          </cell>
          <cell r="BV40">
            <v>9830.9137985390862</v>
          </cell>
          <cell r="BW40">
            <v>9880.0683675317796</v>
          </cell>
          <cell r="BX40">
            <v>9929.4687093694374</v>
          </cell>
          <cell r="BY40">
            <v>9979.1160529162844</v>
          </cell>
          <cell r="BZ40">
            <v>39619.566928356588</v>
          </cell>
          <cell r="CB40">
            <v>10029.011633180866</v>
          </cell>
          <cell r="CC40">
            <v>10079.156691346769</v>
          </cell>
          <cell r="CD40">
            <v>10129.552474803502</v>
          </cell>
          <cell r="CE40">
            <v>10180.200237177518</v>
          </cell>
          <cell r="CF40">
            <v>40417.921036508655</v>
          </cell>
          <cell r="CH40">
            <v>10231.101238363404</v>
          </cell>
          <cell r="CI40">
            <v>10282.256744555219</v>
          </cell>
          <cell r="CJ40">
            <v>10333.668028277994</v>
          </cell>
          <cell r="CK40">
            <v>10385.336368419385</v>
          </cell>
          <cell r="CL40">
            <v>41232.362379616003</v>
          </cell>
          <cell r="CT40" t="str">
            <v>mstag:jointVentureInterestExpense</v>
          </cell>
          <cell r="CU40">
            <v>3</v>
          </cell>
          <cell r="CV40" t="str">
            <v>ISO4217:USD</v>
          </cell>
          <cell r="CW40" t="b">
            <v>0</v>
          </cell>
        </row>
        <row r="41">
          <cell r="A41" t="str">
            <v>Consolidated JV Share of Int Exp</v>
          </cell>
          <cell r="AF41">
            <v>-9868</v>
          </cell>
          <cell r="AG41">
            <v>-9557</v>
          </cell>
          <cell r="AH41">
            <v>-9754</v>
          </cell>
          <cell r="AI41">
            <v>-9981</v>
          </cell>
          <cell r="AJ41">
            <v>-39160</v>
          </cell>
          <cell r="AL41">
            <v>-11082</v>
          </cell>
          <cell r="AM41">
            <v>-11501</v>
          </cell>
          <cell r="AN41">
            <v>-11280</v>
          </cell>
          <cell r="AO41">
            <v>-14351</v>
          </cell>
          <cell r="AP41">
            <v>-48214</v>
          </cell>
          <cell r="AR41">
            <v>-15149</v>
          </cell>
          <cell r="AS41">
            <v>-15219</v>
          </cell>
          <cell r="AT41">
            <v>-16000</v>
          </cell>
          <cell r="AU41">
            <v>-17239</v>
          </cell>
          <cell r="AV41">
            <v>-63607</v>
          </cell>
          <cell r="AX41">
            <v>-14782</v>
          </cell>
          <cell r="AY41">
            <v>-16743</v>
          </cell>
          <cell r="AZ41">
            <v>-16548</v>
          </cell>
          <cell r="BA41">
            <v>-11571</v>
          </cell>
          <cell r="BB41">
            <v>-59644</v>
          </cell>
          <cell r="BD41">
            <v>-10873</v>
          </cell>
          <cell r="BE41">
            <v>-11909</v>
          </cell>
          <cell r="BF41">
            <v>-12270</v>
          </cell>
          <cell r="BG41">
            <v>-12662</v>
          </cell>
          <cell r="BH41">
            <v>-47714</v>
          </cell>
          <cell r="BJ41">
            <v>-14977.858420259141</v>
          </cell>
          <cell r="BK41">
            <v>-15749.539457695451</v>
          </cell>
          <cell r="BL41">
            <v>-16633.289109500271</v>
          </cell>
          <cell r="BM41">
            <v>-17532.94576378198</v>
          </cell>
          <cell r="BN41">
            <v>-64893.632751236844</v>
          </cell>
          <cell r="BP41">
            <v>-18390.362970511094</v>
          </cell>
          <cell r="BQ41">
            <v>-19203.709294230179</v>
          </cell>
          <cell r="BR41">
            <v>-19987.99120082779</v>
          </cell>
          <cell r="BS41">
            <v>-20680.007393697499</v>
          </cell>
          <cell r="BT41">
            <v>-78262.070859266561</v>
          </cell>
          <cell r="BV41">
            <v>-21388.55257009733</v>
          </cell>
          <cell r="BW41">
            <v>-22176.841256296233</v>
          </cell>
          <cell r="BX41">
            <v>-22972.901708706187</v>
          </cell>
          <cell r="BY41">
            <v>-23771.572017889823</v>
          </cell>
          <cell r="BZ41">
            <v>-90309.86755298957</v>
          </cell>
          <cell r="CB41">
            <v>-24623.050685098362</v>
          </cell>
          <cell r="CC41">
            <v>-25473.361258221317</v>
          </cell>
          <cell r="CD41">
            <v>-26274.260261087245</v>
          </cell>
          <cell r="CE41">
            <v>-27078.079986756547</v>
          </cell>
          <cell r="CF41">
            <v>-103448.75219116347</v>
          </cell>
          <cell r="CH41">
            <v>-27859.048887551282</v>
          </cell>
          <cell r="CI41">
            <v>-28623.114872180391</v>
          </cell>
          <cell r="CJ41">
            <v>-29397.632069035277</v>
          </cell>
          <cell r="CK41">
            <v>-30175.954511823838</v>
          </cell>
          <cell r="CL41">
            <v>-116055.75034059078</v>
          </cell>
          <cell r="CT41" t="str">
            <v>mstag:otherMinorityInterestsInNetIncome</v>
          </cell>
          <cell r="CU41">
            <v>3</v>
          </cell>
          <cell r="CW41" t="b">
            <v>0</v>
          </cell>
        </row>
        <row r="42">
          <cell r="A42" t="str">
            <v>AMB Pro-Rata Share of Interest Expense</v>
          </cell>
          <cell r="AF42">
            <v>27889</v>
          </cell>
          <cell r="AG42">
            <v>27785</v>
          </cell>
          <cell r="AH42">
            <v>26921</v>
          </cell>
          <cell r="AI42">
            <v>29522</v>
          </cell>
          <cell r="AJ42">
            <v>112117</v>
          </cell>
          <cell r="AL42">
            <v>29046</v>
          </cell>
          <cell r="AM42">
            <v>29415</v>
          </cell>
          <cell r="AN42">
            <v>30360</v>
          </cell>
          <cell r="AO42">
            <v>26003</v>
          </cell>
          <cell r="AP42">
            <v>114824</v>
          </cell>
          <cell r="AR42">
            <v>27409</v>
          </cell>
          <cell r="AS42">
            <v>28026</v>
          </cell>
          <cell r="AT42">
            <v>27012</v>
          </cell>
          <cell r="AU42">
            <v>24039</v>
          </cell>
          <cell r="AV42">
            <v>106486</v>
          </cell>
          <cell r="AX42">
            <v>27034</v>
          </cell>
          <cell r="AY42">
            <v>29760</v>
          </cell>
          <cell r="AZ42">
            <v>30133</v>
          </cell>
          <cell r="BA42">
            <v>29470</v>
          </cell>
          <cell r="BB42">
            <v>116397</v>
          </cell>
          <cell r="BD42">
            <v>27060</v>
          </cell>
          <cell r="BE42">
            <v>25709</v>
          </cell>
          <cell r="BF42">
            <v>22659</v>
          </cell>
          <cell r="BG42">
            <v>23284</v>
          </cell>
          <cell r="BH42">
            <v>98712</v>
          </cell>
          <cell r="BJ42">
            <v>28112.755351941745</v>
          </cell>
          <cell r="BK42">
            <v>29550.588397906977</v>
          </cell>
          <cell r="BL42">
            <v>31164.132819634637</v>
          </cell>
          <cell r="BM42">
            <v>32818.399517831102</v>
          </cell>
          <cell r="BN42">
            <v>121645.87608731442</v>
          </cell>
          <cell r="BP42">
            <v>34432.151042669291</v>
          </cell>
          <cell r="BQ42">
            <v>36003.757980842638</v>
          </cell>
          <cell r="BR42">
            <v>37555.427577002163</v>
          </cell>
          <cell r="BS42">
            <v>38998.924666219187</v>
          </cell>
          <cell r="BT42">
            <v>146990.26126673329</v>
          </cell>
          <cell r="BU42">
            <v>0</v>
          </cell>
          <cell r="BV42">
            <v>40048.874383475988</v>
          </cell>
          <cell r="BW42">
            <v>41211.731077520977</v>
          </cell>
          <cell r="BX42">
            <v>42385.813573296531</v>
          </cell>
          <cell r="BY42">
            <v>43563.830302484363</v>
          </cell>
          <cell r="BZ42">
            <v>167210.24933677784</v>
          </cell>
          <cell r="CA42">
            <v>0</v>
          </cell>
          <cell r="CB42">
            <v>44816.703443773527</v>
          </cell>
          <cell r="CC42">
            <v>46068.175767979301</v>
          </cell>
          <cell r="CD42">
            <v>47250.089657759556</v>
          </cell>
          <cell r="CE42">
            <v>48436.38195279018</v>
          </cell>
          <cell r="CF42">
            <v>186571.35082230251</v>
          </cell>
          <cell r="CG42">
            <v>0</v>
          </cell>
          <cell r="CH42">
            <v>49590.643613138702</v>
          </cell>
          <cell r="CI42">
            <v>50721.279169798858</v>
          </cell>
          <cell r="CJ42">
            <v>51866.936080953077</v>
          </cell>
          <cell r="CK42">
            <v>53018.226137967336</v>
          </cell>
          <cell r="CL42">
            <v>205197.08500185795</v>
          </cell>
        </row>
        <row r="44">
          <cell r="A44" t="str">
            <v>Non Real Estate Depreciation</v>
          </cell>
          <cell r="AF44">
            <v>1033</v>
          </cell>
          <cell r="AG44">
            <v>189</v>
          </cell>
          <cell r="AH44">
            <v>170</v>
          </cell>
          <cell r="AI44">
            <v>172</v>
          </cell>
          <cell r="AJ44">
            <v>1564</v>
          </cell>
          <cell r="AL44">
            <v>175</v>
          </cell>
          <cell r="AM44">
            <v>161</v>
          </cell>
          <cell r="AN44">
            <v>172</v>
          </cell>
          <cell r="AO44">
            <v>363</v>
          </cell>
          <cell r="AP44">
            <v>871</v>
          </cell>
          <cell r="AR44">
            <v>745</v>
          </cell>
          <cell r="AS44">
            <v>802</v>
          </cell>
          <cell r="AT44">
            <v>892</v>
          </cell>
          <cell r="AU44">
            <v>949</v>
          </cell>
          <cell r="AV44">
            <v>3388</v>
          </cell>
          <cell r="AX44">
            <v>1000</v>
          </cell>
          <cell r="AY44">
            <v>1068</v>
          </cell>
          <cell r="AZ44">
            <v>1001</v>
          </cell>
          <cell r="BA44">
            <v>1477</v>
          </cell>
          <cell r="BB44">
            <v>4546</v>
          </cell>
          <cell r="BD44">
            <v>1177</v>
          </cell>
          <cell r="BE44">
            <v>1401</v>
          </cell>
          <cell r="BF44">
            <v>1387</v>
          </cell>
          <cell r="BG44">
            <v>1658</v>
          </cell>
          <cell r="BH44">
            <v>5623</v>
          </cell>
          <cell r="BJ44">
            <v>1680.1067715064153</v>
          </cell>
          <cell r="BK44">
            <v>1702.5083013641192</v>
          </cell>
          <cell r="BL44">
            <v>1725.208519703101</v>
          </cell>
          <cell r="BM44">
            <v>1748.2114090553309</v>
          </cell>
          <cell r="BN44">
            <v>6856.0350016289667</v>
          </cell>
          <cell r="BP44">
            <v>1771.5210050534579</v>
          </cell>
          <cell r="BQ44">
            <v>1795.1413971388208</v>
          </cell>
          <cell r="BR44">
            <v>1819.0767292789021</v>
          </cell>
          <cell r="BS44">
            <v>1843.3312006943459</v>
          </cell>
          <cell r="BT44">
            <v>7229.0703321655274</v>
          </cell>
          <cell r="BV44">
            <v>1867.9090665956703</v>
          </cell>
          <cell r="BW44">
            <v>1892.8146389298029</v>
          </cell>
          <cell r="BX44">
            <v>1918.0522871365695</v>
          </cell>
          <cell r="BY44">
            <v>1943.62643891527</v>
          </cell>
          <cell r="BZ44">
            <v>7622.4024315773131</v>
          </cell>
          <cell r="CB44">
            <v>1969.5415810014747</v>
          </cell>
          <cell r="CC44">
            <v>1995.8022599541789</v>
          </cell>
          <cell r="CD44">
            <v>2022.4130829534517</v>
          </cell>
          <cell r="CE44">
            <v>2049.3787186087211</v>
          </cell>
          <cell r="CF44">
            <v>8037.1356425178265</v>
          </cell>
          <cell r="CH44">
            <v>2076.7038977778361</v>
          </cell>
          <cell r="CI44">
            <v>2104.39341439705</v>
          </cell>
          <cell r="CJ44">
            <v>2132.4521263220686</v>
          </cell>
          <cell r="CK44">
            <v>2160.884956180314</v>
          </cell>
          <cell r="CL44">
            <v>8474.4343946772697</v>
          </cell>
          <cell r="CT44" t="str">
            <v>mstag:depreciationNonRealEstate</v>
          </cell>
          <cell r="CU44">
            <v>3</v>
          </cell>
          <cell r="CV44" t="str">
            <v>ISO4217:USD</v>
          </cell>
          <cell r="CW44" t="b">
            <v>0</v>
          </cell>
        </row>
        <row r="45">
          <cell r="A45" t="str">
            <v>Impairment Charges</v>
          </cell>
          <cell r="AF45">
            <v>0</v>
          </cell>
          <cell r="AG45">
            <v>-5200</v>
          </cell>
          <cell r="AH45">
            <v>0</v>
          </cell>
          <cell r="AI45">
            <v>0</v>
          </cell>
          <cell r="AJ45">
            <v>-5200</v>
          </cell>
          <cell r="AL45">
            <v>0</v>
          </cell>
          <cell r="AM45">
            <v>0</v>
          </cell>
          <cell r="AN45">
            <v>0</v>
          </cell>
          <cell r="AO45">
            <v>0</v>
          </cell>
          <cell r="AP45">
            <v>0</v>
          </cell>
          <cell r="AR45">
            <v>0</v>
          </cell>
          <cell r="AS45">
            <v>0</v>
          </cell>
          <cell r="AT45">
            <v>0</v>
          </cell>
          <cell r="AU45">
            <v>0</v>
          </cell>
          <cell r="AV45">
            <v>0</v>
          </cell>
          <cell r="AX45">
            <v>0</v>
          </cell>
          <cell r="AY45">
            <v>-5394</v>
          </cell>
          <cell r="AZ45">
            <v>0</v>
          </cell>
          <cell r="BA45">
            <v>-918</v>
          </cell>
          <cell r="BB45">
            <v>-6312</v>
          </cell>
          <cell r="BD45">
            <v>-257</v>
          </cell>
          <cell r="BE45">
            <v>0</v>
          </cell>
          <cell r="BF45">
            <v>0</v>
          </cell>
          <cell r="BG45">
            <v>-900</v>
          </cell>
          <cell r="BH45">
            <v>-1157</v>
          </cell>
          <cell r="BJ45">
            <v>0</v>
          </cell>
          <cell r="BK45">
            <v>0</v>
          </cell>
          <cell r="BL45">
            <v>0</v>
          </cell>
          <cell r="BM45">
            <v>0</v>
          </cell>
          <cell r="BN45">
            <v>0</v>
          </cell>
          <cell r="BT45">
            <v>0</v>
          </cell>
          <cell r="BZ45">
            <v>0</v>
          </cell>
          <cell r="CF45">
            <v>0</v>
          </cell>
          <cell r="CL45">
            <v>0</v>
          </cell>
          <cell r="CT45" t="str">
            <v>mstag:assetImpairmentNonGoodwillOneTimeIncomeStatement</v>
          </cell>
          <cell r="CU45">
            <v>3</v>
          </cell>
          <cell r="CV45" t="str">
            <v>ISO4217:USD</v>
          </cell>
          <cell r="CW45" t="b">
            <v>1</v>
          </cell>
          <cell r="CX45" t="b">
            <v>0</v>
          </cell>
        </row>
        <row r="46">
          <cell r="A46" t="str">
            <v xml:space="preserve">   Loss on Investments in other companies</v>
          </cell>
          <cell r="B46">
            <v>0</v>
          </cell>
          <cell r="C46">
            <v>0</v>
          </cell>
          <cell r="D46">
            <v>0</v>
          </cell>
          <cell r="E46">
            <v>0</v>
          </cell>
          <cell r="F46">
            <v>0</v>
          </cell>
          <cell r="H46">
            <v>0</v>
          </cell>
          <cell r="I46">
            <v>0</v>
          </cell>
          <cell r="J46">
            <v>0</v>
          </cell>
          <cell r="K46">
            <v>0</v>
          </cell>
          <cell r="L46">
            <v>0</v>
          </cell>
          <cell r="N46">
            <v>0</v>
          </cell>
          <cell r="O46">
            <v>0</v>
          </cell>
          <cell r="P46">
            <v>0</v>
          </cell>
          <cell r="Q46">
            <v>0</v>
          </cell>
          <cell r="R46">
            <v>0</v>
          </cell>
          <cell r="T46">
            <v>4655</v>
          </cell>
          <cell r="U46">
            <v>16103</v>
          </cell>
          <cell r="V46">
            <v>0</v>
          </cell>
          <cell r="W46">
            <v>0</v>
          </cell>
          <cell r="X46">
            <v>20758</v>
          </cell>
          <cell r="Z46">
            <v>0</v>
          </cell>
          <cell r="AA46">
            <v>0</v>
          </cell>
          <cell r="AB46">
            <v>0</v>
          </cell>
          <cell r="AC46">
            <v>0</v>
          </cell>
          <cell r="AD46">
            <v>0</v>
          </cell>
          <cell r="AF46">
            <v>0</v>
          </cell>
          <cell r="AG46">
            <v>0</v>
          </cell>
          <cell r="AH46">
            <v>0</v>
          </cell>
          <cell r="AI46">
            <v>0</v>
          </cell>
          <cell r="AJ46">
            <v>0</v>
          </cell>
          <cell r="AL46">
            <v>0</v>
          </cell>
          <cell r="AM46">
            <v>0</v>
          </cell>
          <cell r="AN46">
            <v>0</v>
          </cell>
          <cell r="AO46">
            <v>0</v>
          </cell>
          <cell r="AP46">
            <v>0</v>
          </cell>
          <cell r="AR46">
            <v>0</v>
          </cell>
          <cell r="AS46">
            <v>0</v>
          </cell>
          <cell r="AT46">
            <v>0</v>
          </cell>
          <cell r="AU46">
            <v>0</v>
          </cell>
          <cell r="AV46">
            <v>0</v>
          </cell>
          <cell r="AX46">
            <v>0</v>
          </cell>
          <cell r="AY46">
            <v>0</v>
          </cell>
          <cell r="AZ46">
            <v>0</v>
          </cell>
          <cell r="BA46">
            <v>0</v>
          </cell>
          <cell r="BB46">
            <v>0</v>
          </cell>
          <cell r="BD46">
            <v>0</v>
          </cell>
          <cell r="BE46">
            <v>0</v>
          </cell>
          <cell r="BF46">
            <v>0</v>
          </cell>
          <cell r="BG46">
            <v>0</v>
          </cell>
          <cell r="BH46">
            <v>0</v>
          </cell>
          <cell r="BJ46">
            <v>0</v>
          </cell>
          <cell r="BK46">
            <v>0</v>
          </cell>
          <cell r="BL46">
            <v>0</v>
          </cell>
          <cell r="BM46">
            <v>0</v>
          </cell>
          <cell r="BN46">
            <v>0</v>
          </cell>
          <cell r="BP46">
            <v>0</v>
          </cell>
          <cell r="BQ46">
            <v>0</v>
          </cell>
          <cell r="BR46">
            <v>0</v>
          </cell>
          <cell r="BS46">
            <v>0</v>
          </cell>
          <cell r="BT46">
            <v>0</v>
          </cell>
          <cell r="BV46">
            <v>0</v>
          </cell>
          <cell r="BW46">
            <v>0</v>
          </cell>
          <cell r="BX46">
            <v>0</v>
          </cell>
          <cell r="BY46">
            <v>0</v>
          </cell>
          <cell r="BZ46">
            <v>0</v>
          </cell>
          <cell r="CB46">
            <v>0</v>
          </cell>
          <cell r="CC46">
            <v>0</v>
          </cell>
          <cell r="CD46">
            <v>0</v>
          </cell>
          <cell r="CE46">
            <v>0</v>
          </cell>
          <cell r="CF46">
            <v>0</v>
          </cell>
          <cell r="CH46">
            <v>0</v>
          </cell>
          <cell r="CI46">
            <v>0</v>
          </cell>
          <cell r="CJ46">
            <v>0</v>
          </cell>
          <cell r="CK46">
            <v>0</v>
          </cell>
          <cell r="CL46">
            <v>0</v>
          </cell>
          <cell r="CT46" t="str">
            <v>mstag:otherOperatingExpense</v>
          </cell>
          <cell r="CU46">
            <v>3</v>
          </cell>
          <cell r="CV46" t="str">
            <v>ISO4217:USD</v>
          </cell>
          <cell r="CW46" t="b">
            <v>1</v>
          </cell>
        </row>
        <row r="47">
          <cell r="A47" t="str">
            <v xml:space="preserve">   Preferred Dividend</v>
          </cell>
          <cell r="B47">
            <v>0</v>
          </cell>
          <cell r="C47">
            <v>0</v>
          </cell>
          <cell r="D47">
            <v>-1514</v>
          </cell>
          <cell r="E47">
            <v>-2125</v>
          </cell>
          <cell r="F47">
            <v>-3639</v>
          </cell>
          <cell r="H47">
            <v>-2125</v>
          </cell>
          <cell r="I47">
            <v>-2125</v>
          </cell>
          <cell r="J47">
            <v>-2125</v>
          </cell>
          <cell r="K47">
            <v>-2125</v>
          </cell>
          <cell r="L47">
            <v>-8500</v>
          </cell>
          <cell r="N47">
            <v>-2125</v>
          </cell>
          <cell r="O47">
            <v>-2125</v>
          </cell>
          <cell r="P47">
            <v>-2125</v>
          </cell>
          <cell r="Q47">
            <v>-2125</v>
          </cell>
          <cell r="R47">
            <v>-8500</v>
          </cell>
          <cell r="T47">
            <v>-2125</v>
          </cell>
          <cell r="U47">
            <v>-2125</v>
          </cell>
          <cell r="V47">
            <v>-2125</v>
          </cell>
          <cell r="W47">
            <v>-2125</v>
          </cell>
          <cell r="X47">
            <v>-8500</v>
          </cell>
          <cell r="Z47">
            <v>-2125</v>
          </cell>
          <cell r="AA47">
            <v>-2125</v>
          </cell>
          <cell r="AB47">
            <v>-2123</v>
          </cell>
          <cell r="AC47">
            <v>-2123</v>
          </cell>
          <cell r="AD47">
            <v>-8496</v>
          </cell>
          <cell r="AF47">
            <v>-2123</v>
          </cell>
          <cell r="AG47">
            <v>-2195</v>
          </cell>
          <cell r="AH47">
            <v>-1470</v>
          </cell>
          <cell r="AI47">
            <v>-1211</v>
          </cell>
          <cell r="AJ47">
            <v>-6999</v>
          </cell>
          <cell r="AL47">
            <v>-1783</v>
          </cell>
          <cell r="AM47">
            <v>-1783</v>
          </cell>
          <cell r="AN47">
            <v>-1782.8125</v>
          </cell>
          <cell r="AO47">
            <v>-1782</v>
          </cell>
          <cell r="AP47">
            <v>-7130.8125</v>
          </cell>
          <cell r="AR47">
            <v>-1782.8125</v>
          </cell>
          <cell r="AS47">
            <v>-1782.8125</v>
          </cell>
          <cell r="AT47">
            <v>-1783</v>
          </cell>
          <cell r="AU47">
            <v>-2039</v>
          </cell>
          <cell r="AV47">
            <v>-7387.625</v>
          </cell>
          <cell r="AX47">
            <v>-3096</v>
          </cell>
          <cell r="AY47">
            <v>-3095</v>
          </cell>
          <cell r="AZ47">
            <v>-3440</v>
          </cell>
          <cell r="BA47">
            <v>-3951</v>
          </cell>
          <cell r="BB47">
            <v>-13582</v>
          </cell>
          <cell r="BD47">
            <v>-3952</v>
          </cell>
          <cell r="BE47">
            <v>-3952</v>
          </cell>
          <cell r="BF47">
            <v>-3952</v>
          </cell>
          <cell r="BG47">
            <v>-3950</v>
          </cell>
          <cell r="BH47">
            <v>-15806</v>
          </cell>
          <cell r="BJ47">
            <v>-3951.5625</v>
          </cell>
          <cell r="BK47">
            <v>-3951.5625</v>
          </cell>
          <cell r="BL47">
            <v>-3951.5625</v>
          </cell>
          <cell r="BM47">
            <v>-3951.5625</v>
          </cell>
          <cell r="BN47">
            <v>-15806.25</v>
          </cell>
          <cell r="BP47">
            <v>-3951.5625</v>
          </cell>
          <cell r="BQ47">
            <v>-3951.5625</v>
          </cell>
          <cell r="BR47">
            <v>-3951.5625</v>
          </cell>
          <cell r="BS47">
            <v>-3951.5625</v>
          </cell>
          <cell r="BT47">
            <v>-15806.25</v>
          </cell>
          <cell r="BV47">
            <v>-3951.5625</v>
          </cell>
          <cell r="BW47">
            <v>-3951.5625</v>
          </cell>
          <cell r="BX47">
            <v>-3951.5625</v>
          </cell>
          <cell r="BY47">
            <v>-3951.5625</v>
          </cell>
          <cell r="BZ47">
            <v>-15806.25</v>
          </cell>
          <cell r="CB47">
            <v>-3951.5625</v>
          </cell>
          <cell r="CC47">
            <v>-3951.5625</v>
          </cell>
          <cell r="CD47">
            <v>-3951.5625</v>
          </cell>
          <cell r="CE47">
            <v>-3951.5625</v>
          </cell>
          <cell r="CF47">
            <v>-15806.25</v>
          </cell>
          <cell r="CH47">
            <v>-3951.5625</v>
          </cell>
          <cell r="CI47">
            <v>-3951.5625</v>
          </cell>
          <cell r="CJ47">
            <v>-3951.5625</v>
          </cell>
          <cell r="CK47">
            <v>-3951.5625</v>
          </cell>
          <cell r="CL47">
            <v>-15806.25</v>
          </cell>
          <cell r="CT47" t="str">
            <v>mstag:preferredDividendsPaid</v>
          </cell>
          <cell r="CU47">
            <v>3</v>
          </cell>
          <cell r="CV47" t="str">
            <v>ISO4217:USD</v>
          </cell>
          <cell r="CW47" t="b">
            <v>1</v>
          </cell>
          <cell r="CX47" t="b">
            <v>0</v>
          </cell>
        </row>
        <row r="48">
          <cell r="A48" t="str">
            <v xml:space="preserve">   Preferred Unit Redemption Premium</v>
          </cell>
          <cell r="T48">
            <v>0</v>
          </cell>
          <cell r="U48">
            <v>0</v>
          </cell>
          <cell r="V48">
            <v>0</v>
          </cell>
          <cell r="W48">
            <v>-4400</v>
          </cell>
          <cell r="X48">
            <v>-4400</v>
          </cell>
          <cell r="Z48">
            <v>0</v>
          </cell>
          <cell r="AA48">
            <v>0</v>
          </cell>
          <cell r="AB48">
            <v>412</v>
          </cell>
          <cell r="AC48">
            <v>0</v>
          </cell>
          <cell r="AD48">
            <v>412</v>
          </cell>
          <cell r="AF48">
            <v>0</v>
          </cell>
          <cell r="AG48">
            <v>0</v>
          </cell>
          <cell r="AH48">
            <v>-3671</v>
          </cell>
          <cell r="AI48">
            <v>-1742</v>
          </cell>
          <cell r="AJ48">
            <v>-5413</v>
          </cell>
          <cell r="AL48">
            <v>0</v>
          </cell>
          <cell r="AM48">
            <v>0</v>
          </cell>
          <cell r="AN48">
            <v>0</v>
          </cell>
          <cell r="AO48">
            <v>0</v>
          </cell>
          <cell r="AP48">
            <v>0</v>
          </cell>
          <cell r="AR48">
            <v>0</v>
          </cell>
          <cell r="AS48">
            <v>0</v>
          </cell>
          <cell r="AT48">
            <v>0</v>
          </cell>
          <cell r="AU48">
            <v>0</v>
          </cell>
          <cell r="AV48">
            <v>0</v>
          </cell>
          <cell r="AX48">
            <v>-1097</v>
          </cell>
          <cell r="AY48">
            <v>77</v>
          </cell>
          <cell r="AZ48">
            <v>16</v>
          </cell>
          <cell r="BA48">
            <v>-66</v>
          </cell>
          <cell r="BB48">
            <v>-1070</v>
          </cell>
          <cell r="BD48">
            <v>0</v>
          </cell>
          <cell r="BE48">
            <v>-2927</v>
          </cell>
          <cell r="BF48">
            <v>-3</v>
          </cell>
          <cell r="BG48">
            <v>0</v>
          </cell>
          <cell r="BH48">
            <v>-2930</v>
          </cell>
          <cell r="BJ48">
            <v>0</v>
          </cell>
          <cell r="BK48">
            <v>0</v>
          </cell>
          <cell r="BL48">
            <v>0</v>
          </cell>
          <cell r="BM48">
            <v>0</v>
          </cell>
          <cell r="BN48">
            <v>0</v>
          </cell>
          <cell r="BP48">
            <v>0</v>
          </cell>
          <cell r="BQ48">
            <v>0</v>
          </cell>
          <cell r="BR48">
            <v>0</v>
          </cell>
          <cell r="BS48">
            <v>0</v>
          </cell>
          <cell r="BT48">
            <v>0</v>
          </cell>
          <cell r="BV48">
            <v>0</v>
          </cell>
          <cell r="BW48">
            <v>0</v>
          </cell>
          <cell r="BX48">
            <v>0</v>
          </cell>
          <cell r="BY48">
            <v>0</v>
          </cell>
          <cell r="BZ48">
            <v>0</v>
          </cell>
          <cell r="CB48">
            <v>0</v>
          </cell>
          <cell r="CC48">
            <v>0</v>
          </cell>
          <cell r="CD48">
            <v>0</v>
          </cell>
          <cell r="CE48">
            <v>0</v>
          </cell>
          <cell r="CF48">
            <v>0</v>
          </cell>
          <cell r="CH48">
            <v>0</v>
          </cell>
          <cell r="CI48">
            <v>0</v>
          </cell>
          <cell r="CJ48">
            <v>0</v>
          </cell>
          <cell r="CK48">
            <v>0</v>
          </cell>
          <cell r="CL48">
            <v>0</v>
          </cell>
          <cell r="CT48" t="str">
            <v>mstag:preferredDividendsPaid</v>
          </cell>
          <cell r="CU48">
            <v>3</v>
          </cell>
          <cell r="CV48" t="str">
            <v>ISO4217:USD</v>
          </cell>
          <cell r="CW48" t="b">
            <v>1</v>
          </cell>
          <cell r="CX48" t="b">
            <v>0</v>
          </cell>
        </row>
        <row r="49">
          <cell r="A49" t="str">
            <v>Preferred Unit holders</v>
          </cell>
          <cell r="N49">
            <v>-5610</v>
          </cell>
          <cell r="O49">
            <v>-5962</v>
          </cell>
          <cell r="P49">
            <v>-6206</v>
          </cell>
          <cell r="Q49">
            <v>-6835</v>
          </cell>
          <cell r="R49">
            <v>-24613</v>
          </cell>
          <cell r="T49">
            <v>-6858</v>
          </cell>
          <cell r="U49">
            <v>-7345</v>
          </cell>
          <cell r="V49">
            <v>-7423</v>
          </cell>
          <cell r="W49">
            <v>-7056</v>
          </cell>
          <cell r="X49">
            <v>-28682</v>
          </cell>
          <cell r="Z49">
            <v>-5857</v>
          </cell>
          <cell r="AA49">
            <v>-6510</v>
          </cell>
          <cell r="AB49">
            <v>-6403</v>
          </cell>
          <cell r="AC49">
            <v>-6379</v>
          </cell>
          <cell r="AD49">
            <v>-25149</v>
          </cell>
          <cell r="AF49">
            <v>-6380</v>
          </cell>
          <cell r="AG49">
            <v>-6379</v>
          </cell>
          <cell r="AH49">
            <v>-6314</v>
          </cell>
          <cell r="AI49">
            <v>-5534</v>
          </cell>
          <cell r="AJ49">
            <v>-24607</v>
          </cell>
          <cell r="AL49">
            <v>-4912</v>
          </cell>
          <cell r="AM49">
            <v>-4912</v>
          </cell>
          <cell r="AN49">
            <v>-4942</v>
          </cell>
          <cell r="AO49">
            <v>-5395</v>
          </cell>
          <cell r="AP49">
            <v>-20161</v>
          </cell>
          <cell r="AR49">
            <v>-5368</v>
          </cell>
          <cell r="AS49">
            <v>-5368</v>
          </cell>
          <cell r="AT49">
            <v>-5368</v>
          </cell>
          <cell r="AU49">
            <v>-5369</v>
          </cell>
          <cell r="AV49">
            <v>-21473</v>
          </cell>
          <cell r="AX49">
            <v>-5001</v>
          </cell>
          <cell r="AY49">
            <v>-4024</v>
          </cell>
          <cell r="AZ49">
            <v>-3791</v>
          </cell>
          <cell r="BA49">
            <v>-3646</v>
          </cell>
          <cell r="BB49">
            <v>-16462</v>
          </cell>
          <cell r="BD49">
            <v>-3699</v>
          </cell>
          <cell r="BE49">
            <v>-1480</v>
          </cell>
          <cell r="BF49">
            <v>-1431</v>
          </cell>
          <cell r="BG49">
            <v>-1432</v>
          </cell>
          <cell r="BH49">
            <v>-8042</v>
          </cell>
          <cell r="BJ49">
            <v>-1431.81765</v>
          </cell>
          <cell r="BK49">
            <v>-1431.81765</v>
          </cell>
          <cell r="BL49">
            <v>-1431.81765</v>
          </cell>
          <cell r="BM49">
            <v>-1431.81765</v>
          </cell>
          <cell r="BN49">
            <v>-5727.2705999999998</v>
          </cell>
          <cell r="BP49">
            <v>-1431.81765</v>
          </cell>
          <cell r="BQ49">
            <v>-1431.81765</v>
          </cell>
          <cell r="BR49">
            <v>-1431.81765</v>
          </cell>
          <cell r="BS49">
            <v>-1431.81765</v>
          </cell>
          <cell r="BT49">
            <v>-5727.2705999999998</v>
          </cell>
          <cell r="BV49">
            <v>-1431.81765</v>
          </cell>
          <cell r="BW49">
            <v>-1431.81765</v>
          </cell>
          <cell r="BX49">
            <v>-1431.81765</v>
          </cell>
          <cell r="BY49">
            <v>-1431.81765</v>
          </cell>
          <cell r="BZ49">
            <v>-5727.2705999999998</v>
          </cell>
          <cell r="CB49">
            <v>-1431.81765</v>
          </cell>
          <cell r="CC49">
            <v>-1431.81765</v>
          </cell>
          <cell r="CD49">
            <v>-1431.81765</v>
          </cell>
          <cell r="CE49">
            <v>-1431.81765</v>
          </cell>
          <cell r="CF49">
            <v>-5727.2705999999998</v>
          </cell>
          <cell r="CH49">
            <v>-1431.81765</v>
          </cell>
          <cell r="CI49">
            <v>-1431.81765</v>
          </cell>
          <cell r="CJ49">
            <v>-1431.81765</v>
          </cell>
          <cell r="CK49">
            <v>-1431.81765</v>
          </cell>
          <cell r="CL49">
            <v>-5727.2705999999998</v>
          </cell>
          <cell r="CT49" t="str">
            <v>mstag:shareOfNetIncomeToPreferredUnitholdersOfOperatingPartnership</v>
          </cell>
          <cell r="CU49">
            <v>3</v>
          </cell>
          <cell r="CV49" t="str">
            <v>ISO4217:USD</v>
          </cell>
          <cell r="CW49" t="b">
            <v>1</v>
          </cell>
          <cell r="CX49" t="b">
            <v>0</v>
          </cell>
        </row>
        <row r="51">
          <cell r="A51" t="str">
            <v>Funds from Operations</v>
          </cell>
          <cell r="AF51">
            <v>51778</v>
          </cell>
          <cell r="AG51">
            <v>40356</v>
          </cell>
          <cell r="AH51">
            <v>41744</v>
          </cell>
          <cell r="AI51">
            <v>51865</v>
          </cell>
          <cell r="AJ51">
            <v>185743</v>
          </cell>
          <cell r="AL51">
            <v>47490</v>
          </cell>
          <cell r="AM51">
            <v>48795</v>
          </cell>
          <cell r="AN51">
            <v>54744.1875</v>
          </cell>
          <cell r="AO51">
            <v>56285</v>
          </cell>
          <cell r="AP51">
            <v>207314.1875</v>
          </cell>
          <cell r="AR51">
            <v>49525.1875</v>
          </cell>
          <cell r="AS51">
            <v>50622.1875</v>
          </cell>
          <cell r="AT51">
            <v>46468</v>
          </cell>
          <cell r="AU51">
            <v>107743</v>
          </cell>
          <cell r="AV51">
            <v>248917.375</v>
          </cell>
          <cell r="AX51">
            <v>48739</v>
          </cell>
          <cell r="AY51">
            <v>82355</v>
          </cell>
          <cell r="AZ51">
            <v>68286</v>
          </cell>
          <cell r="BA51">
            <v>98532</v>
          </cell>
          <cell r="BB51">
            <v>297912</v>
          </cell>
          <cell r="BD51">
            <v>56873</v>
          </cell>
          <cell r="BE51">
            <v>78474</v>
          </cell>
          <cell r="BF51">
            <v>104235</v>
          </cell>
          <cell r="BG51">
            <v>125910</v>
          </cell>
          <cell r="BH51">
            <v>365492</v>
          </cell>
          <cell r="BJ51">
            <v>67399.278450257189</v>
          </cell>
          <cell r="BK51">
            <v>112987.71011341388</v>
          </cell>
          <cell r="BL51">
            <v>109776.98119774852</v>
          </cell>
          <cell r="BM51">
            <v>132893.65923410282</v>
          </cell>
          <cell r="BN51">
            <v>423057.62899552251</v>
          </cell>
          <cell r="BP51">
            <v>76913.385393572811</v>
          </cell>
          <cell r="BQ51">
            <v>99520.753892049761</v>
          </cell>
          <cell r="BR51">
            <v>112996.80964163394</v>
          </cell>
          <cell r="BS51">
            <v>161215.86295110887</v>
          </cell>
          <cell r="BT51">
            <v>450646.81187836523</v>
          </cell>
          <cell r="BV51">
            <v>86976.417428427754</v>
          </cell>
          <cell r="BW51">
            <v>108320.90594807085</v>
          </cell>
          <cell r="BX51">
            <v>120809.02318793235</v>
          </cell>
          <cell r="BY51">
            <v>144067.26405506962</v>
          </cell>
          <cell r="BZ51">
            <v>460173.61061950057</v>
          </cell>
          <cell r="CB51">
            <v>95052.414577860807</v>
          </cell>
          <cell r="CC51">
            <v>116512.1984232894</v>
          </cell>
          <cell r="CD51">
            <v>128508.56193093451</v>
          </cell>
          <cell r="CE51">
            <v>152222.69118658168</v>
          </cell>
          <cell r="CF51">
            <v>492295.86611866631</v>
          </cell>
          <cell r="CH51">
            <v>103645.46296164353</v>
          </cell>
          <cell r="CI51">
            <v>125194.1946566252</v>
          </cell>
          <cell r="CJ51">
            <v>136550.09403753866</v>
          </cell>
          <cell r="CK51">
            <v>160514.4336808412</v>
          </cell>
          <cell r="CL51">
            <v>525904.18533664884</v>
          </cell>
        </row>
        <row r="53">
          <cell r="A53" t="str">
            <v>- Tenant Improvements &amp; Lease Commissions</v>
          </cell>
          <cell r="B53">
            <v>3500</v>
          </cell>
          <cell r="C53">
            <v>3500</v>
          </cell>
          <cell r="D53">
            <v>3500</v>
          </cell>
          <cell r="E53">
            <v>3500</v>
          </cell>
          <cell r="F53">
            <v>14000</v>
          </cell>
          <cell r="H53">
            <v>3600</v>
          </cell>
          <cell r="I53">
            <v>3600</v>
          </cell>
          <cell r="J53">
            <v>3600</v>
          </cell>
          <cell r="K53">
            <v>3600</v>
          </cell>
          <cell r="L53">
            <v>14400</v>
          </cell>
          <cell r="N53">
            <v>1900.8720000000001</v>
          </cell>
          <cell r="O53">
            <v>6419</v>
          </cell>
          <cell r="P53">
            <v>6692</v>
          </cell>
          <cell r="Q53">
            <v>12037</v>
          </cell>
          <cell r="R53">
            <v>27048.871999999999</v>
          </cell>
          <cell r="T53">
            <v>5240</v>
          </cell>
          <cell r="U53">
            <v>6082</v>
          </cell>
          <cell r="V53">
            <v>10740</v>
          </cell>
          <cell r="W53">
            <v>5928</v>
          </cell>
          <cell r="X53">
            <v>27990</v>
          </cell>
          <cell r="Z53">
            <v>8882</v>
          </cell>
          <cell r="AA53">
            <v>12421</v>
          </cell>
          <cell r="AB53">
            <v>7108</v>
          </cell>
          <cell r="AC53">
            <v>8250</v>
          </cell>
          <cell r="AD53">
            <v>36661</v>
          </cell>
          <cell r="AF53">
            <v>8207</v>
          </cell>
          <cell r="AG53">
            <v>11694</v>
          </cell>
          <cell r="AH53">
            <v>8141</v>
          </cell>
          <cell r="AI53">
            <v>12080</v>
          </cell>
          <cell r="AJ53">
            <v>40122</v>
          </cell>
          <cell r="AL53">
            <v>12848</v>
          </cell>
          <cell r="AM53">
            <v>12170</v>
          </cell>
          <cell r="AN53">
            <v>11125</v>
          </cell>
          <cell r="AO53">
            <v>16312</v>
          </cell>
          <cell r="AP53">
            <v>52455</v>
          </cell>
          <cell r="AR53">
            <v>10852</v>
          </cell>
          <cell r="AS53">
            <v>9809</v>
          </cell>
          <cell r="AT53">
            <v>11238</v>
          </cell>
          <cell r="AU53">
            <v>11501</v>
          </cell>
          <cell r="AV53">
            <v>43400</v>
          </cell>
          <cell r="AX53">
            <v>9919</v>
          </cell>
          <cell r="AY53">
            <v>11153</v>
          </cell>
          <cell r="AZ53">
            <v>10545</v>
          </cell>
          <cell r="BA53">
            <v>11181</v>
          </cell>
          <cell r="BB53">
            <v>42798</v>
          </cell>
          <cell r="BD53">
            <v>10695</v>
          </cell>
          <cell r="BE53">
            <v>11960</v>
          </cell>
          <cell r="BF53">
            <v>12217</v>
          </cell>
          <cell r="BG53">
            <v>12217</v>
          </cell>
          <cell r="BH53">
            <v>47089</v>
          </cell>
          <cell r="BJ53">
            <v>7922.2382841929257</v>
          </cell>
          <cell r="BK53">
            <v>8350.4253161108318</v>
          </cell>
          <cell r="BL53">
            <v>8676.4283511974736</v>
          </cell>
          <cell r="BM53">
            <v>9000.292782792958</v>
          </cell>
          <cell r="BN53">
            <v>33949.384734294188</v>
          </cell>
          <cell r="BP53">
            <v>9423.7310716680513</v>
          </cell>
          <cell r="BQ53">
            <v>9855.5756457913812</v>
          </cell>
          <cell r="BR53">
            <v>10183.578980797813</v>
          </cell>
          <cell r="BS53">
            <v>10517.123797754328</v>
          </cell>
          <cell r="BT53">
            <v>39980.009496011575</v>
          </cell>
          <cell r="BV53">
            <v>10777.801173315802</v>
          </cell>
          <cell r="BW53">
            <v>11030.848418113088</v>
          </cell>
          <cell r="BX53">
            <v>11284.590575017328</v>
          </cell>
          <cell r="BY53">
            <v>11539.029500416375</v>
          </cell>
          <cell r="BZ53">
            <v>44632.269666862587</v>
          </cell>
          <cell r="CB53">
            <v>12670.100161620956</v>
          </cell>
          <cell r="CC53">
            <v>12961.557890406781</v>
          </cell>
          <cell r="CD53">
            <v>13253.816458748272</v>
          </cell>
          <cell r="CE53">
            <v>13546.877998931102</v>
          </cell>
          <cell r="CF53">
            <v>52432.352509707111</v>
          </cell>
          <cell r="CH53">
            <v>14693.49302690382</v>
          </cell>
          <cell r="CI53">
            <v>15001.578196467637</v>
          </cell>
          <cell r="CJ53">
            <v>15310.531117605417</v>
          </cell>
          <cell r="CK53">
            <v>15620.354101360206</v>
          </cell>
          <cell r="CL53">
            <v>60625.956442337083</v>
          </cell>
          <cell r="CT53" t="str">
            <v>mstag:tenantImprovementsAndLeasingCommissions</v>
          </cell>
          <cell r="CU53">
            <v>3</v>
          </cell>
          <cell r="CV53" t="str">
            <v>ISO4217:USD</v>
          </cell>
          <cell r="CW53" t="b">
            <v>0</v>
          </cell>
          <cell r="CX53" t="b">
            <v>0</v>
          </cell>
        </row>
        <row r="54">
          <cell r="A54" t="str">
            <v>- Capital Expenditures</v>
          </cell>
          <cell r="B54">
            <v>1400</v>
          </cell>
          <cell r="C54">
            <v>1400</v>
          </cell>
          <cell r="D54">
            <v>1400</v>
          </cell>
          <cell r="E54">
            <v>1400</v>
          </cell>
          <cell r="F54">
            <v>5600</v>
          </cell>
          <cell r="H54">
            <v>1600</v>
          </cell>
          <cell r="I54">
            <v>1600</v>
          </cell>
          <cell r="J54">
            <v>1600</v>
          </cell>
          <cell r="K54">
            <v>1600</v>
          </cell>
          <cell r="L54">
            <v>6400</v>
          </cell>
          <cell r="N54">
            <v>6991</v>
          </cell>
          <cell r="O54">
            <v>8997</v>
          </cell>
          <cell r="P54">
            <v>3148</v>
          </cell>
          <cell r="Q54">
            <v>3008</v>
          </cell>
          <cell r="R54">
            <v>22144</v>
          </cell>
          <cell r="T54">
            <v>2186</v>
          </cell>
          <cell r="U54">
            <v>3454</v>
          </cell>
          <cell r="V54">
            <v>5580</v>
          </cell>
          <cell r="W54">
            <v>8716</v>
          </cell>
          <cell r="X54">
            <v>19936</v>
          </cell>
          <cell r="Z54">
            <v>2341</v>
          </cell>
          <cell r="AA54">
            <v>3586</v>
          </cell>
          <cell r="AB54">
            <v>7618</v>
          </cell>
          <cell r="AC54">
            <v>4725</v>
          </cell>
          <cell r="AD54">
            <v>18270</v>
          </cell>
          <cell r="AF54">
            <v>2673</v>
          </cell>
          <cell r="AG54">
            <v>4190</v>
          </cell>
          <cell r="AH54">
            <v>4351</v>
          </cell>
          <cell r="AI54">
            <v>4914</v>
          </cell>
          <cell r="AJ54">
            <v>16128</v>
          </cell>
          <cell r="AL54">
            <v>2802</v>
          </cell>
          <cell r="AM54">
            <v>4086</v>
          </cell>
          <cell r="AN54">
            <v>5209</v>
          </cell>
          <cell r="AO54">
            <v>8659</v>
          </cell>
          <cell r="AP54">
            <v>20756</v>
          </cell>
          <cell r="AR54">
            <v>4405</v>
          </cell>
          <cell r="AS54">
            <v>6922</v>
          </cell>
          <cell r="AT54">
            <v>7453</v>
          </cell>
          <cell r="AU54">
            <v>9270</v>
          </cell>
          <cell r="AV54">
            <v>28050</v>
          </cell>
          <cell r="AX54">
            <v>3798</v>
          </cell>
          <cell r="AY54">
            <v>12474</v>
          </cell>
          <cell r="AZ54">
            <v>12958</v>
          </cell>
          <cell r="BA54">
            <v>13313</v>
          </cell>
          <cell r="BB54">
            <v>42543</v>
          </cell>
          <cell r="BD54">
            <v>2998</v>
          </cell>
          <cell r="BE54">
            <v>11353</v>
          </cell>
          <cell r="BF54">
            <v>10123</v>
          </cell>
          <cell r="BG54">
            <v>10123</v>
          </cell>
          <cell r="BH54">
            <v>34597</v>
          </cell>
          <cell r="BJ54">
            <v>10474.016115329106</v>
          </cell>
          <cell r="BK54">
            <v>11040.123534949593</v>
          </cell>
          <cell r="BL54">
            <v>11471.133171450516</v>
          </cell>
          <cell r="BM54">
            <v>11899.31535355949</v>
          </cell>
          <cell r="BN54">
            <v>44884.588175288707</v>
          </cell>
          <cell r="BP54">
            <v>12459.144445089643</v>
          </cell>
          <cell r="BQ54">
            <v>13030.087512746437</v>
          </cell>
          <cell r="BR54">
            <v>13463.741752053256</v>
          </cell>
          <cell r="BS54">
            <v>13904.722402049312</v>
          </cell>
          <cell r="BT54">
            <v>52857.696111938654</v>
          </cell>
          <cell r="BV54">
            <v>14249.36477893671</v>
          </cell>
          <cell r="BW54">
            <v>14583.919335978337</v>
          </cell>
          <cell r="BX54">
            <v>14919.392638498945</v>
          </cell>
          <cell r="BY54">
            <v>15255.787140834735</v>
          </cell>
          <cell r="BZ54">
            <v>59008.463894248729</v>
          </cell>
          <cell r="CB54">
            <v>15634.433933199118</v>
          </cell>
          <cell r="CC54">
            <v>15994.081966513422</v>
          </cell>
          <cell r="CD54">
            <v>16354.718206153208</v>
          </cell>
          <cell r="CE54">
            <v>16716.345283279948</v>
          </cell>
          <cell r="CF54">
            <v>64699.5793891457</v>
          </cell>
          <cell r="CH54">
            <v>16998.024116324825</v>
          </cell>
          <cell r="CI54">
            <v>17354.429440269181</v>
          </cell>
          <cell r="CJ54">
            <v>17711.838614159507</v>
          </cell>
          <cell r="CK54">
            <v>18070.25431150342</v>
          </cell>
          <cell r="CL54">
            <v>70134.546482256934</v>
          </cell>
          <cell r="CT54" t="str">
            <v>mstag:recurringButNonRevenueEnhancingCapex</v>
          </cell>
          <cell r="CU54">
            <v>3</v>
          </cell>
          <cell r="CV54" t="str">
            <v>ISO4217:USD</v>
          </cell>
          <cell r="CW54" t="b">
            <v>0</v>
          </cell>
          <cell r="CX54" t="b">
            <v>0</v>
          </cell>
        </row>
        <row r="55">
          <cell r="A55" t="str">
            <v>- Adjustment For Straight-lining</v>
          </cell>
          <cell r="B55">
            <v>2825</v>
          </cell>
          <cell r="C55">
            <v>2664</v>
          </cell>
          <cell r="D55">
            <v>2500</v>
          </cell>
          <cell r="E55">
            <v>2500</v>
          </cell>
          <cell r="F55">
            <v>10489</v>
          </cell>
          <cell r="H55">
            <v>2688</v>
          </cell>
          <cell r="I55">
            <v>2835</v>
          </cell>
          <cell r="J55">
            <v>3324</v>
          </cell>
          <cell r="K55">
            <v>3324</v>
          </cell>
          <cell r="L55">
            <v>12171</v>
          </cell>
          <cell r="N55">
            <v>3160</v>
          </cell>
          <cell r="O55">
            <v>2183</v>
          </cell>
          <cell r="P55">
            <v>1815</v>
          </cell>
          <cell r="Q55">
            <v>4018</v>
          </cell>
          <cell r="R55">
            <v>11176</v>
          </cell>
          <cell r="T55">
            <v>1325</v>
          </cell>
          <cell r="U55">
            <v>2141</v>
          </cell>
          <cell r="V55">
            <v>4113</v>
          </cell>
          <cell r="W55">
            <v>2514</v>
          </cell>
          <cell r="X55">
            <v>10093</v>
          </cell>
          <cell r="Z55">
            <v>3961</v>
          </cell>
          <cell r="AA55">
            <v>2786</v>
          </cell>
          <cell r="AB55">
            <v>3638</v>
          </cell>
          <cell r="AC55">
            <v>628</v>
          </cell>
          <cell r="AD55">
            <v>11013</v>
          </cell>
          <cell r="AF55">
            <v>2380</v>
          </cell>
          <cell r="AG55">
            <v>1873</v>
          </cell>
          <cell r="AH55">
            <v>2579</v>
          </cell>
          <cell r="AI55">
            <v>2016</v>
          </cell>
          <cell r="AJ55">
            <v>8848</v>
          </cell>
          <cell r="AL55">
            <v>3101</v>
          </cell>
          <cell r="AM55">
            <v>2928</v>
          </cell>
          <cell r="AN55">
            <v>2593</v>
          </cell>
          <cell r="AO55">
            <v>4320</v>
          </cell>
          <cell r="AP55">
            <v>12942</v>
          </cell>
          <cell r="AR55">
            <v>4497</v>
          </cell>
          <cell r="AS55">
            <v>4864</v>
          </cell>
          <cell r="AT55">
            <v>5889</v>
          </cell>
          <cell r="AU55">
            <v>4273</v>
          </cell>
          <cell r="AV55">
            <v>19523</v>
          </cell>
          <cell r="AX55">
            <v>5146</v>
          </cell>
          <cell r="AY55">
            <v>6154</v>
          </cell>
          <cell r="AZ55">
            <v>4890</v>
          </cell>
          <cell r="BA55">
            <v>3753</v>
          </cell>
          <cell r="BB55">
            <v>19943</v>
          </cell>
          <cell r="BD55">
            <v>4619</v>
          </cell>
          <cell r="BE55">
            <v>3339</v>
          </cell>
          <cell r="BF55">
            <v>6246</v>
          </cell>
          <cell r="BG55">
            <v>4479</v>
          </cell>
          <cell r="BH55">
            <v>18683</v>
          </cell>
          <cell r="BJ55">
            <v>4634.3098074245845</v>
          </cell>
          <cell r="BK55">
            <v>4884.7884335709996</v>
          </cell>
          <cell r="BL55">
            <v>5075.4919959425924</v>
          </cell>
          <cell r="BM55">
            <v>5264.9445291507418</v>
          </cell>
          <cell r="BN55">
            <v>19859.534766088917</v>
          </cell>
          <cell r="BP55">
            <v>5512.6452602545214</v>
          </cell>
          <cell r="BQ55">
            <v>5765.2634564448572</v>
          </cell>
          <cell r="BR55">
            <v>5957.1371438749911</v>
          </cell>
          <cell r="BS55">
            <v>6152.2524586366562</v>
          </cell>
          <cell r="BT55">
            <v>23387.298319211026</v>
          </cell>
          <cell r="BV55">
            <v>6304.7421559673539</v>
          </cell>
          <cell r="BW55">
            <v>6452.7684190306209</v>
          </cell>
          <cell r="BX55">
            <v>6601.201188169196</v>
          </cell>
          <cell r="BY55">
            <v>6750.0415493232031</v>
          </cell>
          <cell r="BZ55">
            <v>26108.753312490375</v>
          </cell>
          <cell r="CB55">
            <v>6917.5767644768202</v>
          </cell>
          <cell r="CC55">
            <v>7076.7058310790899</v>
          </cell>
          <cell r="CD55">
            <v>7236.2721372478727</v>
          </cell>
          <cell r="CE55">
            <v>7396.2768471610088</v>
          </cell>
          <cell r="CF55">
            <v>28626.83157996479</v>
          </cell>
          <cell r="CH55">
            <v>7520.9078353273626</v>
          </cell>
          <cell r="CI55">
            <v>7678.6021399748752</v>
          </cell>
          <cell r="CJ55">
            <v>7836.7406058303304</v>
          </cell>
          <cell r="CK55">
            <v>7995.3244158079442</v>
          </cell>
          <cell r="CL55">
            <v>31031.574996940511</v>
          </cell>
          <cell r="CT55" t="str">
            <v>mstag:straightLiningOfRents</v>
          </cell>
          <cell r="CU55">
            <v>3</v>
          </cell>
          <cell r="CV55" t="str">
            <v>ISO4217:USD</v>
          </cell>
          <cell r="CW55" t="b">
            <v>0</v>
          </cell>
          <cell r="CX55" t="b">
            <v>0</v>
          </cell>
        </row>
        <row r="56">
          <cell r="A56" t="str">
            <v>+ JV Partners' share of capex</v>
          </cell>
          <cell r="Z56">
            <v>-2842</v>
          </cell>
          <cell r="AA56">
            <v>-2966</v>
          </cell>
          <cell r="AB56">
            <v>-1784</v>
          </cell>
          <cell r="AC56">
            <v>-1955</v>
          </cell>
          <cell r="AD56">
            <v>-9547</v>
          </cell>
          <cell r="AF56">
            <v>-3867</v>
          </cell>
          <cell r="AG56">
            <v>-4388</v>
          </cell>
          <cell r="AH56">
            <v>-3522</v>
          </cell>
          <cell r="AI56">
            <v>-3054</v>
          </cell>
          <cell r="AJ56">
            <v>-14831</v>
          </cell>
          <cell r="AL56">
            <v>-4958</v>
          </cell>
          <cell r="AM56">
            <v>-2656</v>
          </cell>
          <cell r="AN56">
            <v>-4007</v>
          </cell>
          <cell r="AO56">
            <v>-6438</v>
          </cell>
          <cell r="AP56">
            <v>-18059</v>
          </cell>
          <cell r="AR56">
            <v>-3287</v>
          </cell>
          <cell r="AS56">
            <v>-4432</v>
          </cell>
          <cell r="AT56">
            <v>-5238</v>
          </cell>
          <cell r="AU56">
            <v>-4394</v>
          </cell>
          <cell r="AV56">
            <v>-17351</v>
          </cell>
          <cell r="AX56">
            <v>-3823</v>
          </cell>
          <cell r="AY56">
            <v>-6036</v>
          </cell>
          <cell r="AZ56">
            <v>-5718</v>
          </cell>
          <cell r="BA56">
            <v>-7331</v>
          </cell>
          <cell r="BB56">
            <v>-22908</v>
          </cell>
          <cell r="BD56">
            <v>-5046</v>
          </cell>
          <cell r="BE56">
            <v>-6193</v>
          </cell>
          <cell r="BF56">
            <v>-4742</v>
          </cell>
          <cell r="BG56">
            <v>-4742</v>
          </cell>
          <cell r="BH56">
            <v>-20723</v>
          </cell>
          <cell r="BJ56">
            <v>-4906.4293607518148</v>
          </cell>
          <cell r="BK56">
            <v>-5171.615707076061</v>
          </cell>
          <cell r="BL56">
            <v>-5373.5170896985419</v>
          </cell>
          <cell r="BM56">
            <v>-5574.0939846467554</v>
          </cell>
          <cell r="BN56">
            <v>-21025.656142173175</v>
          </cell>
          <cell r="BP56">
            <v>-5836.3393221984679</v>
          </cell>
          <cell r="BQ56">
            <v>-6103.7908708331124</v>
          </cell>
          <cell r="BR56">
            <v>-6306.931086460193</v>
          </cell>
          <cell r="BS56">
            <v>-6513.503272796388</v>
          </cell>
          <cell r="BT56">
            <v>-24760.56455228816</v>
          </cell>
          <cell r="BV56">
            <v>-6674.9469309214537</v>
          </cell>
          <cell r="BW56">
            <v>-6831.6650687749943</v>
          </cell>
          <cell r="BX56">
            <v>-6988.8135821161704</v>
          </cell>
          <cell r="BY56">
            <v>-7146.3936206498383</v>
          </cell>
          <cell r="BZ56">
            <v>-27641.819202462459</v>
          </cell>
          <cell r="CB56">
            <v>-7323.7662462936096</v>
          </cell>
          <cell r="CC56">
            <v>-7492.2391272554232</v>
          </cell>
          <cell r="CD56">
            <v>-7661.1749218194709</v>
          </cell>
          <cell r="CE56">
            <v>-7830.5748625223268</v>
          </cell>
          <cell r="CF56">
            <v>-30307.755157890831</v>
          </cell>
          <cell r="CH56">
            <v>-7962.5239908734875</v>
          </cell>
          <cell r="CI56">
            <v>-8129.4778628624372</v>
          </cell>
          <cell r="CJ56">
            <v>-8296.9019765232024</v>
          </cell>
          <cell r="CK56">
            <v>-8464.7975842289052</v>
          </cell>
          <cell r="CL56">
            <v>-32853.701414488038</v>
          </cell>
          <cell r="CT56" t="str">
            <v>mstag:tenantImprovementsAndLeasingCommissions</v>
          </cell>
          <cell r="CU56">
            <v>3</v>
          </cell>
          <cell r="CV56" t="str">
            <v>ISO4217:USD</v>
          </cell>
          <cell r="CW56" t="b">
            <v>0</v>
          </cell>
          <cell r="CX56" t="b">
            <v>0</v>
          </cell>
        </row>
        <row r="57">
          <cell r="A57" t="str">
            <v xml:space="preserve">   Adjusted Funds From Operations</v>
          </cell>
          <cell r="B57">
            <v>-7725</v>
          </cell>
          <cell r="C57">
            <v>-7564</v>
          </cell>
          <cell r="D57">
            <v>-7400</v>
          </cell>
          <cell r="E57">
            <v>-7400</v>
          </cell>
          <cell r="F57">
            <v>-30089</v>
          </cell>
          <cell r="H57">
            <v>-7888</v>
          </cell>
          <cell r="I57">
            <v>-8035</v>
          </cell>
          <cell r="J57">
            <v>-8524</v>
          </cell>
          <cell r="K57">
            <v>-8524</v>
          </cell>
          <cell r="L57">
            <v>-32971</v>
          </cell>
          <cell r="N57">
            <v>-12051.871999999999</v>
          </cell>
          <cell r="O57">
            <v>-17599</v>
          </cell>
          <cell r="P57">
            <v>-11655</v>
          </cell>
          <cell r="Q57">
            <v>-19063</v>
          </cell>
          <cell r="R57">
            <v>-60368.872000000003</v>
          </cell>
          <cell r="T57">
            <v>-8751</v>
          </cell>
          <cell r="U57">
            <v>-11677</v>
          </cell>
          <cell r="V57">
            <v>-20433</v>
          </cell>
          <cell r="W57">
            <v>-17158</v>
          </cell>
          <cell r="X57">
            <v>-58019</v>
          </cell>
          <cell r="Z57">
            <v>-12342</v>
          </cell>
          <cell r="AA57">
            <v>-15827</v>
          </cell>
          <cell r="AB57">
            <v>-16580</v>
          </cell>
          <cell r="AC57">
            <v>-11648</v>
          </cell>
          <cell r="AD57">
            <v>-56397</v>
          </cell>
          <cell r="AF57">
            <v>42385</v>
          </cell>
          <cell r="AG57">
            <v>26987</v>
          </cell>
          <cell r="AH57">
            <v>30195</v>
          </cell>
          <cell r="AI57">
            <v>35909</v>
          </cell>
          <cell r="AJ57">
            <v>135476</v>
          </cell>
          <cell r="AL57">
            <v>33697</v>
          </cell>
          <cell r="AM57">
            <v>32267</v>
          </cell>
          <cell r="AN57">
            <v>39824.1875</v>
          </cell>
          <cell r="AO57">
            <v>33432</v>
          </cell>
          <cell r="AP57">
            <v>139220.1875</v>
          </cell>
          <cell r="AR57">
            <v>33058.1875</v>
          </cell>
          <cell r="AS57">
            <v>33459.1875</v>
          </cell>
          <cell r="AT57">
            <v>27126</v>
          </cell>
          <cell r="AU57">
            <v>87093</v>
          </cell>
          <cell r="AV57">
            <v>175295.375</v>
          </cell>
          <cell r="AX57">
            <v>33699</v>
          </cell>
          <cell r="AY57">
            <v>58610</v>
          </cell>
          <cell r="AZ57">
            <v>45611</v>
          </cell>
          <cell r="BA57">
            <v>77616</v>
          </cell>
          <cell r="BB57">
            <v>215536</v>
          </cell>
          <cell r="BD57">
            <v>43607</v>
          </cell>
          <cell r="BE57">
            <v>58015</v>
          </cell>
          <cell r="BF57">
            <v>80391</v>
          </cell>
          <cell r="BG57">
            <v>103833</v>
          </cell>
          <cell r="BH57">
            <v>285846</v>
          </cell>
          <cell r="BJ57">
            <v>49275.143604062381</v>
          </cell>
          <cell r="BK57">
            <v>93883.988535858516</v>
          </cell>
          <cell r="BL57">
            <v>89927.444768856469</v>
          </cell>
          <cell r="BM57">
            <v>112303.20055324638</v>
          </cell>
          <cell r="BN57">
            <v>345389.77746202383</v>
          </cell>
          <cell r="BP57">
            <v>55354.203938759056</v>
          </cell>
          <cell r="BQ57">
            <v>76973.618147900197</v>
          </cell>
          <cell r="BR57">
            <v>89699.282851368058</v>
          </cell>
          <cell r="BS57">
            <v>137155.26756546498</v>
          </cell>
          <cell r="BT57">
            <v>359182.37250349217</v>
          </cell>
          <cell r="BV57">
            <v>62319.456251129341</v>
          </cell>
          <cell r="BW57">
            <v>83085.034843723799</v>
          </cell>
          <cell r="BX57">
            <v>94992.652368363051</v>
          </cell>
          <cell r="BY57">
            <v>117668.79948514517</v>
          </cell>
          <cell r="BZ57">
            <v>358065.94294836133</v>
          </cell>
          <cell r="CB57">
            <v>67154.069964857525</v>
          </cell>
          <cell r="CC57">
            <v>87972.091862545538</v>
          </cell>
          <cell r="CD57">
            <v>99324.930050604627</v>
          </cell>
          <cell r="CE57">
            <v>122393.76591973194</v>
          </cell>
          <cell r="CF57">
            <v>376844.85779773956</v>
          </cell>
          <cell r="CH57">
            <v>72395.561973961012</v>
          </cell>
          <cell r="CI57">
            <v>93289.062742775932</v>
          </cell>
          <cell r="CJ57">
            <v>103987.8856764666</v>
          </cell>
          <cell r="CK57">
            <v>127293.29843639855</v>
          </cell>
          <cell r="CL57">
            <v>396965.80882960238</v>
          </cell>
        </row>
        <row r="59">
          <cell r="A59" t="str">
            <v>FFO Per Share</v>
          </cell>
          <cell r="B59">
            <v>0</v>
          </cell>
          <cell r="C59">
            <v>0</v>
          </cell>
          <cell r="D59">
            <v>0</v>
          </cell>
          <cell r="E59">
            <v>0</v>
          </cell>
          <cell r="F59">
            <v>0</v>
          </cell>
          <cell r="H59">
            <v>0</v>
          </cell>
          <cell r="I59">
            <v>0</v>
          </cell>
          <cell r="J59">
            <v>0</v>
          </cell>
          <cell r="K59">
            <v>0</v>
          </cell>
          <cell r="L59">
            <v>0</v>
          </cell>
          <cell r="N59">
            <v>0</v>
          </cell>
          <cell r="O59">
            <v>0</v>
          </cell>
          <cell r="P59">
            <v>0</v>
          </cell>
          <cell r="Q59">
            <v>0</v>
          </cell>
          <cell r="R59">
            <v>0</v>
          </cell>
          <cell r="T59">
            <v>0</v>
          </cell>
          <cell r="U59">
            <v>0</v>
          </cell>
          <cell r="V59">
            <v>0</v>
          </cell>
          <cell r="W59">
            <v>0</v>
          </cell>
          <cell r="X59">
            <v>0</v>
          </cell>
          <cell r="Z59">
            <v>0</v>
          </cell>
          <cell r="AA59">
            <v>0</v>
          </cell>
          <cell r="AB59">
            <v>0</v>
          </cell>
          <cell r="AC59">
            <v>0</v>
          </cell>
          <cell r="AD59">
            <v>0</v>
          </cell>
          <cell r="AF59">
            <v>0.5926932024678464</v>
          </cell>
          <cell r="AG59">
            <v>0.46225270694342147</v>
          </cell>
          <cell r="AH59">
            <v>0.47762262924392379</v>
          </cell>
          <cell r="AI59">
            <v>0.586970874021983</v>
          </cell>
          <cell r="AJ59">
            <v>2.1195394126771747</v>
          </cell>
          <cell r="AL59">
            <v>0.52991684668477923</v>
          </cell>
          <cell r="AM59">
            <v>0.54648417093115464</v>
          </cell>
          <cell r="AN59">
            <v>0.60728195056821288</v>
          </cell>
          <cell r="AO59">
            <v>0.61849396625812958</v>
          </cell>
          <cell r="AP59">
            <v>2.3021769344422762</v>
          </cell>
          <cell r="AR59">
            <v>0.54279592359996276</v>
          </cell>
          <cell r="AS59">
            <v>0.55146518141352874</v>
          </cell>
          <cell r="AT59">
            <v>0.49947322493312551</v>
          </cell>
          <cell r="AU59">
            <v>1.1532817562928104</v>
          </cell>
          <cell r="AV59">
            <v>2.7470160862394275</v>
          </cell>
          <cell r="AX59">
            <v>0.51538749813889906</v>
          </cell>
          <cell r="AY59">
            <v>0.87128909716083225</v>
          </cell>
          <cell r="AZ59">
            <v>0.7179113240213586</v>
          </cell>
          <cell r="BA59">
            <v>1.0148742651104505</v>
          </cell>
          <cell r="BB59">
            <v>3.1194621844315407</v>
          </cell>
          <cell r="BD59">
            <v>0.57000253064967543</v>
          </cell>
          <cell r="BE59">
            <v>0.74167449258610929</v>
          </cell>
          <cell r="BF59">
            <v>0.99167663306360543</v>
          </cell>
          <cell r="BG59">
            <v>1.1976600399505375</v>
          </cell>
          <cell r="BH59">
            <v>3.5010136962499279</v>
          </cell>
          <cell r="BJ59">
            <v>0.63208248291014568</v>
          </cell>
          <cell r="BK59">
            <v>1.0570613113510809</v>
          </cell>
          <cell r="BL59">
            <v>1.0245502133612583</v>
          </cell>
          <cell r="BM59">
            <v>1.2432922621339775</v>
          </cell>
          <cell r="BN59">
            <v>3.9569862697564626</v>
          </cell>
          <cell r="BP59">
            <v>0.71439337923916701</v>
          </cell>
          <cell r="BQ59">
            <v>0.92216718144903442</v>
          </cell>
          <cell r="BR59">
            <v>1.0445402519938052</v>
          </cell>
          <cell r="BS59">
            <v>1.4938389444251814</v>
          </cell>
          <cell r="BT59">
            <v>4.1757290222061245</v>
          </cell>
          <cell r="BV59">
            <v>0.8001914378577577</v>
          </cell>
          <cell r="BW59">
            <v>0.99420292819918066</v>
          </cell>
          <cell r="BX59">
            <v>1.1062032541625484</v>
          </cell>
          <cell r="BY59">
            <v>1.3222941086724329</v>
          </cell>
          <cell r="BZ59">
            <v>4.2236163661447392</v>
          </cell>
          <cell r="CB59">
            <v>0.86626662322337789</v>
          </cell>
          <cell r="CC59">
            <v>1.0593509654718649</v>
          </cell>
          <cell r="CD59">
            <v>1.165689716296497</v>
          </cell>
          <cell r="CE59">
            <v>1.3840375261771511</v>
          </cell>
          <cell r="CF59">
            <v>4.4760472133222802</v>
          </cell>
          <cell r="CH59">
            <v>0.93577876387729442</v>
          </cell>
          <cell r="CI59">
            <v>1.1277078786535222</v>
          </cell>
          <cell r="CJ59">
            <v>1.227146201060443</v>
          </cell>
          <cell r="CK59">
            <v>1.4458609043012347</v>
          </cell>
          <cell r="CL59">
            <v>4.7371708795893142</v>
          </cell>
        </row>
        <row r="61">
          <cell r="A61" t="str">
            <v>AFFO Per Share</v>
          </cell>
          <cell r="B61">
            <v>-8.6954865595805966E-2</v>
          </cell>
          <cell r="C61">
            <v>-8.4150405700297762E-2</v>
          </cell>
          <cell r="D61">
            <v>-8.2173733328268175E-2</v>
          </cell>
          <cell r="E61">
            <v>-8.1318681318681321E-2</v>
          </cell>
          <cell r="F61">
            <v>-0.33459768594305322</v>
          </cell>
          <cell r="H61">
            <v>-8.718998601787871E-2</v>
          </cell>
          <cell r="I61">
            <v>-8.82540038760148E-2</v>
          </cell>
          <cell r="J61">
            <v>-9.3485986605247984E-2</v>
          </cell>
          <cell r="K61">
            <v>-9.3898199964676909E-2</v>
          </cell>
          <cell r="L61">
            <v>-0.36282817646381843</v>
          </cell>
          <cell r="N61">
            <v>-0.13434571537177886</v>
          </cell>
          <cell r="O61">
            <v>-0.19618312952166497</v>
          </cell>
          <cell r="P61">
            <v>-0.12877314712511601</v>
          </cell>
          <cell r="Q61">
            <v>-0.21103046019839652</v>
          </cell>
          <cell r="R61">
            <v>-0.67033245221695636</v>
          </cell>
          <cell r="T61">
            <v>-9.7009020453217368E-2</v>
          </cell>
          <cell r="U61">
            <v>-0.12887333658123132</v>
          </cell>
          <cell r="V61">
            <v>-0.22503331970005644</v>
          </cell>
          <cell r="W61">
            <v>-0.19210210239057732</v>
          </cell>
          <cell r="X61">
            <v>-0.64301777912508251</v>
          </cell>
          <cell r="Z61">
            <v>-0.13755370816410459</v>
          </cell>
          <cell r="AA61">
            <v>-0.17495679859325317</v>
          </cell>
          <cell r="AB61">
            <v>-0.18344964848756995</v>
          </cell>
          <cell r="AC61">
            <v>-0.13162301906254556</v>
          </cell>
          <cell r="AD61">
            <v>-0.62758317430747323</v>
          </cell>
          <cell r="AF61">
            <v>0.485173266379537</v>
          </cell>
          <cell r="AG61">
            <v>0.30911918431663482</v>
          </cell>
          <cell r="AH61">
            <v>0.34548235171570235</v>
          </cell>
          <cell r="AI61">
            <v>0.40639230917295649</v>
          </cell>
          <cell r="AJ61">
            <v>1.5461671115848306</v>
          </cell>
          <cell r="AL61">
            <v>0.37600774863628145</v>
          </cell>
          <cell r="AM61">
            <v>0.36137728749739861</v>
          </cell>
          <cell r="AN61">
            <v>0.4417731154525627</v>
          </cell>
          <cell r="AO61">
            <v>0.36737124064922783</v>
          </cell>
          <cell r="AP61">
            <v>1.5465293922354706</v>
          </cell>
          <cell r="AR61">
            <v>0.36231764729014393</v>
          </cell>
          <cell r="AS61">
            <v>0.36449584294706294</v>
          </cell>
          <cell r="AT61">
            <v>0.29157077342549631</v>
          </cell>
          <cell r="AU61">
            <v>0.93224402514139881</v>
          </cell>
          <cell r="AV61">
            <v>1.950628288804102</v>
          </cell>
          <cell r="AX61">
            <v>0.35634796158687621</v>
          </cell>
          <cell r="AY61">
            <v>0.62007472508768602</v>
          </cell>
          <cell r="AZ61">
            <v>0.4795222066007408</v>
          </cell>
          <cell r="BA61">
            <v>0.7994405975806107</v>
          </cell>
          <cell r="BB61">
            <v>2.2553854908559137</v>
          </cell>
          <cell r="BD61">
            <v>0.43704570453537522</v>
          </cell>
          <cell r="BE61">
            <v>0.54831212487426573</v>
          </cell>
          <cell r="BF61">
            <v>0.76482828424824967</v>
          </cell>
          <cell r="BG61">
            <v>0.98766289356035386</v>
          </cell>
          <cell r="BH61">
            <v>2.7378490072182444</v>
          </cell>
          <cell r="BJ61">
            <v>0.46211110610028916</v>
          </cell>
          <cell r="BK61">
            <v>0.87833563435323192</v>
          </cell>
          <cell r="BL61">
            <v>0.83929419191256027</v>
          </cell>
          <cell r="BM61">
            <v>1.0506573531455672</v>
          </cell>
          <cell r="BN61">
            <v>3.2303982855116486</v>
          </cell>
          <cell r="BP61">
            <v>0.51414557563095642</v>
          </cell>
          <cell r="BQ61">
            <v>0.71324363730582452</v>
          </cell>
          <cell r="BR61">
            <v>0.82917837955231644</v>
          </cell>
          <cell r="BS61">
            <v>1.2708915634715354</v>
          </cell>
          <cell r="BT61">
            <v>3.3274591559606326</v>
          </cell>
          <cell r="BV61">
            <v>0.57334501441313568</v>
          </cell>
          <cell r="BW61">
            <v>0.76258026286044267</v>
          </cell>
          <cell r="BX61">
            <v>0.86981235671402657</v>
          </cell>
          <cell r="BY61">
            <v>1.0800007993092033</v>
          </cell>
          <cell r="BZ61">
            <v>3.285738433296808</v>
          </cell>
          <cell r="CB61">
            <v>0.6120131685504081</v>
          </cell>
          <cell r="CC61">
            <v>0.79985891357568761</v>
          </cell>
          <cell r="CD61">
            <v>0.90096759151413186</v>
          </cell>
          <cell r="CE61">
            <v>1.1128272906134469</v>
          </cell>
          <cell r="CF61">
            <v>3.4256669642536743</v>
          </cell>
          <cell r="CH61">
            <v>0.65363429867901124</v>
          </cell>
          <cell r="CI61">
            <v>0.84031700779556806</v>
          </cell>
          <cell r="CJ61">
            <v>0.93451666777397557</v>
          </cell>
          <cell r="CK61">
            <v>1.1466159109073686</v>
          </cell>
          <cell r="CL61">
            <v>3.5750838851559239</v>
          </cell>
        </row>
        <row r="62">
          <cell r="A62" t="str">
            <v>Dividends Per Share</v>
          </cell>
          <cell r="B62">
            <v>0.34250000000000003</v>
          </cell>
          <cell r="C62">
            <v>0.34250000000000003</v>
          </cell>
          <cell r="D62">
            <v>0.34250000000000003</v>
          </cell>
          <cell r="E62">
            <v>0.34250000000000003</v>
          </cell>
          <cell r="F62">
            <v>1.37</v>
          </cell>
          <cell r="H62">
            <v>0.35</v>
          </cell>
          <cell r="I62">
            <v>0.35</v>
          </cell>
          <cell r="J62">
            <v>0.35</v>
          </cell>
          <cell r="K62">
            <v>0.35</v>
          </cell>
          <cell r="L62">
            <v>1.4</v>
          </cell>
          <cell r="N62">
            <v>0.37</v>
          </cell>
          <cell r="O62">
            <v>0.37</v>
          </cell>
          <cell r="P62">
            <v>0.37</v>
          </cell>
          <cell r="Q62">
            <v>0.37</v>
          </cell>
          <cell r="R62">
            <v>1.48</v>
          </cell>
          <cell r="T62">
            <v>0.39500000000000002</v>
          </cell>
          <cell r="U62">
            <v>0.39500000000000002</v>
          </cell>
          <cell r="V62">
            <v>0.39500000000000002</v>
          </cell>
          <cell r="W62">
            <v>0.39500000000000002</v>
          </cell>
          <cell r="X62">
            <v>1.58</v>
          </cell>
          <cell r="Z62">
            <v>0.41</v>
          </cell>
          <cell r="AA62">
            <v>0.41</v>
          </cell>
          <cell r="AB62">
            <v>0.41</v>
          </cell>
          <cell r="AC62">
            <v>0.41</v>
          </cell>
          <cell r="AD62">
            <v>1.64</v>
          </cell>
          <cell r="AF62">
            <v>0.41499999999999998</v>
          </cell>
          <cell r="AG62">
            <v>0.41499999999999998</v>
          </cell>
          <cell r="AH62">
            <v>0.41499999999999998</v>
          </cell>
          <cell r="AI62">
            <v>0.41499999999999998</v>
          </cell>
          <cell r="AJ62">
            <v>1.66</v>
          </cell>
          <cell r="AL62">
            <v>0.42499999999999999</v>
          </cell>
          <cell r="AM62">
            <v>0.42499999999999999</v>
          </cell>
          <cell r="AN62">
            <v>0.42499999999999999</v>
          </cell>
          <cell r="AO62">
            <v>0.42499999999999999</v>
          </cell>
          <cell r="AP62">
            <v>1.7</v>
          </cell>
          <cell r="AR62">
            <v>0.44</v>
          </cell>
          <cell r="AS62">
            <v>0.44</v>
          </cell>
          <cell r="AT62">
            <v>0.44</v>
          </cell>
          <cell r="AU62">
            <v>0.44</v>
          </cell>
          <cell r="AV62">
            <v>1.76</v>
          </cell>
          <cell r="AX62">
            <v>0.46</v>
          </cell>
          <cell r="AY62">
            <v>0.46</v>
          </cell>
          <cell r="AZ62">
            <v>0.46</v>
          </cell>
          <cell r="BA62">
            <v>0.46</v>
          </cell>
          <cell r="BB62">
            <v>1.84</v>
          </cell>
          <cell r="BD62">
            <v>0.5</v>
          </cell>
          <cell r="BE62">
            <v>0.5</v>
          </cell>
          <cell r="BF62">
            <v>0.5</v>
          </cell>
          <cell r="BG62">
            <v>0.5</v>
          </cell>
          <cell r="BH62">
            <v>2</v>
          </cell>
          <cell r="BJ62">
            <v>0.5</v>
          </cell>
          <cell r="BK62">
            <v>0.5</v>
          </cell>
          <cell r="BL62">
            <v>0.5</v>
          </cell>
          <cell r="BM62">
            <v>0.5</v>
          </cell>
          <cell r="BN62">
            <v>2</v>
          </cell>
          <cell r="BP62">
            <v>0.5</v>
          </cell>
          <cell r="BQ62">
            <v>0.5</v>
          </cell>
          <cell r="BR62">
            <v>0.5</v>
          </cell>
          <cell r="BS62">
            <v>0.5</v>
          </cell>
          <cell r="BT62">
            <v>2</v>
          </cell>
          <cell r="BV62">
            <v>0.5</v>
          </cell>
          <cell r="BW62">
            <v>0.5</v>
          </cell>
          <cell r="BX62">
            <v>0.5</v>
          </cell>
          <cell r="BY62">
            <v>0.5</v>
          </cell>
          <cell r="BZ62">
            <v>2</v>
          </cell>
          <cell r="CB62">
            <v>0.5</v>
          </cell>
          <cell r="CC62">
            <v>0.5</v>
          </cell>
          <cell r="CD62">
            <v>0.5</v>
          </cell>
          <cell r="CE62">
            <v>0.5</v>
          </cell>
          <cell r="CF62">
            <v>2</v>
          </cell>
          <cell r="CH62">
            <v>0.5</v>
          </cell>
          <cell r="CI62">
            <v>0.5</v>
          </cell>
          <cell r="CJ62">
            <v>0.5</v>
          </cell>
          <cell r="CK62">
            <v>0.5</v>
          </cell>
          <cell r="CL62">
            <v>2</v>
          </cell>
          <cell r="CT62" t="str">
            <v>mstag:dividendsPerShare</v>
          </cell>
          <cell r="CU62">
            <v>0</v>
          </cell>
          <cell r="CV62" t="str">
            <v>ISO4217:USD</v>
          </cell>
          <cell r="CW62" t="b">
            <v>0</v>
          </cell>
          <cell r="CX62" t="b">
            <v>0</v>
          </cell>
        </row>
        <row r="63">
          <cell r="A63" t="str">
            <v>NOI Per Share</v>
          </cell>
          <cell r="B63">
            <v>0.61177953982291966</v>
          </cell>
          <cell r="C63">
            <v>0.69141506661393515</v>
          </cell>
          <cell r="D63">
            <v>0.75186745083653805</v>
          </cell>
          <cell r="E63">
            <v>0.81190109890109885</v>
          </cell>
          <cell r="F63">
            <v>2.8694284000566879</v>
          </cell>
          <cell r="H63">
            <v>0.86353236278837953</v>
          </cell>
          <cell r="I63">
            <v>0.90775860663809815</v>
          </cell>
          <cell r="J63">
            <v>0.9094813380134672</v>
          </cell>
          <cell r="K63">
            <v>0.91850373196324797</v>
          </cell>
          <cell r="L63">
            <v>3.5994655716503914</v>
          </cell>
          <cell r="N63">
            <v>0.92849124770505165</v>
          </cell>
          <cell r="O63">
            <v>0.95320320599284336</v>
          </cell>
          <cell r="P63">
            <v>1.0065298095196005</v>
          </cell>
          <cell r="Q63">
            <v>1.0686357558795474</v>
          </cell>
          <cell r="R63">
            <v>3.9575653669294808</v>
          </cell>
          <cell r="T63">
            <v>1.1404850912178557</v>
          </cell>
          <cell r="U63">
            <v>1.168711310890596</v>
          </cell>
          <cell r="V63">
            <v>1.2196050420194906</v>
          </cell>
          <cell r="W63">
            <v>1.2355306799865817</v>
          </cell>
          <cell r="X63">
            <v>4.759105319198885</v>
          </cell>
          <cell r="Z63">
            <v>1.2836117060991941</v>
          </cell>
          <cell r="AA63">
            <v>1.2480111611537938</v>
          </cell>
          <cell r="AB63">
            <v>1.3014635044240299</v>
          </cell>
          <cell r="AC63">
            <v>1.3345136766181753</v>
          </cell>
          <cell r="AD63">
            <v>5.1711067907646964</v>
          </cell>
          <cell r="AF63">
            <v>1.1234133469156664</v>
          </cell>
          <cell r="AG63">
            <v>1.024559368568942</v>
          </cell>
          <cell r="AH63">
            <v>0.9936779532854314</v>
          </cell>
          <cell r="AI63">
            <v>1.0479577555709552</v>
          </cell>
          <cell r="AJ63">
            <v>4.1891207085463842</v>
          </cell>
          <cell r="AL63">
            <v>1.0537411560292786</v>
          </cell>
          <cell r="AM63">
            <v>1.0566256605492321</v>
          </cell>
          <cell r="AN63">
            <v>1.1403248133075317</v>
          </cell>
          <cell r="AO63">
            <v>1.04981892252648</v>
          </cell>
          <cell r="AP63">
            <v>4.3005713333545854</v>
          </cell>
          <cell r="AR63">
            <v>1.0231486323161791</v>
          </cell>
          <cell r="AS63">
            <v>1.0391107218413043</v>
          </cell>
          <cell r="AT63">
            <v>0.99972036034647793</v>
          </cell>
          <cell r="AU63">
            <v>1.0202951813860239</v>
          </cell>
          <cell r="AV63">
            <v>4.081975118394312</v>
          </cell>
          <cell r="AX63">
            <v>1.0897380584994789</v>
          </cell>
          <cell r="AY63">
            <v>1.0730011720375054</v>
          </cell>
          <cell r="AZ63">
            <v>1.0693604885750005</v>
          </cell>
          <cell r="BA63">
            <v>1.0901565693739619</v>
          </cell>
          <cell r="BB63">
            <v>4.3224489807907611</v>
          </cell>
          <cell r="BD63">
            <v>1.0236753552305522</v>
          </cell>
          <cell r="BE63">
            <v>0.98901273800469991</v>
          </cell>
          <cell r="BF63">
            <v>1.0042634626845883</v>
          </cell>
          <cell r="BG63">
            <v>1.0404451631313612</v>
          </cell>
          <cell r="BH63">
            <v>4.0484501147174301</v>
          </cell>
          <cell r="BJ63">
            <v>1.0613738137470623</v>
          </cell>
          <cell r="BK63">
            <v>1.1160394001040563</v>
          </cell>
          <cell r="BL63">
            <v>1.1568176577434772</v>
          </cell>
          <cell r="BM63">
            <v>1.2028945805538176</v>
          </cell>
          <cell r="BN63">
            <v>4.5373558278118979</v>
          </cell>
          <cell r="BP63">
            <v>1.2504327434370368</v>
          </cell>
          <cell r="BQ63">
            <v>1.3046077697946408</v>
          </cell>
          <cell r="BR63">
            <v>1.3448114393086215</v>
          </cell>
          <cell r="BS63">
            <v>1.3921785916484304</v>
          </cell>
          <cell r="BT63">
            <v>5.292256170468673</v>
          </cell>
          <cell r="BV63">
            <v>1.4165258769165752</v>
          </cell>
          <cell r="BW63">
            <v>1.4463507696113453</v>
          </cell>
          <cell r="BX63">
            <v>1.4761256457944922</v>
          </cell>
          <cell r="BY63">
            <v>1.5129828247019017</v>
          </cell>
          <cell r="BZ63">
            <v>5.8521262495247193</v>
          </cell>
          <cell r="CB63">
            <v>1.5395975552581447</v>
          </cell>
          <cell r="CC63">
            <v>1.5713191752778461</v>
          </cell>
          <cell r="CD63">
            <v>1.6029891773226708</v>
          </cell>
          <cell r="CE63">
            <v>1.6422770584255728</v>
          </cell>
          <cell r="CF63">
            <v>6.3563316693904488</v>
          </cell>
          <cell r="CH63">
            <v>1.6582803468739586</v>
          </cell>
          <cell r="CI63">
            <v>1.6891156545630401</v>
          </cell>
          <cell r="CJ63">
            <v>1.7199054520627197</v>
          </cell>
          <cell r="CK63">
            <v>1.7587872620387492</v>
          </cell>
          <cell r="CL63">
            <v>6.8262319309658563</v>
          </cell>
        </row>
        <row r="65">
          <cell r="A65" t="str">
            <v>Weighted Average Basic Common Shares</v>
          </cell>
          <cell r="AD65">
            <v>83310.884999999995</v>
          </cell>
          <cell r="AF65">
            <v>81097.725000000006</v>
          </cell>
          <cell r="AG65">
            <v>81898.536999999997</v>
          </cell>
          <cell r="AH65">
            <v>81996.849000000002</v>
          </cell>
          <cell r="AI65">
            <v>79391.137000000046</v>
          </cell>
          <cell r="AJ65">
            <v>81096.062000000005</v>
          </cell>
          <cell r="AL65">
            <v>81691.433999999994</v>
          </cell>
          <cell r="AM65">
            <v>82071.604000000007</v>
          </cell>
          <cell r="AN65">
            <v>82193.472999999998</v>
          </cell>
          <cell r="AO65">
            <v>82577.996999999974</v>
          </cell>
          <cell r="AP65">
            <v>82133.626999999993</v>
          </cell>
          <cell r="AR65">
            <v>83133.73</v>
          </cell>
          <cell r="AS65">
            <v>83521</v>
          </cell>
          <cell r="AT65">
            <v>84437</v>
          </cell>
          <cell r="AU65">
            <v>85100.270000000019</v>
          </cell>
          <cell r="AV65">
            <v>84048</v>
          </cell>
          <cell r="AX65">
            <v>86432.895000000004</v>
          </cell>
          <cell r="AY65">
            <v>88029.33</v>
          </cell>
          <cell r="AZ65">
            <v>87317.494000000006</v>
          </cell>
          <cell r="BA65">
            <v>89062.280999999988</v>
          </cell>
          <cell r="BB65">
            <v>87710.5</v>
          </cell>
          <cell r="BD65">
            <v>92265.001999999993</v>
          </cell>
          <cell r="BE65">
            <v>98937.407000000007</v>
          </cell>
          <cell r="BF65">
            <v>98722.380999999994</v>
          </cell>
          <cell r="BG65">
            <v>99035.418999999994</v>
          </cell>
          <cell r="BH65">
            <v>97240.052249999993</v>
          </cell>
          <cell r="BJ65">
            <v>99335.508000000002</v>
          </cell>
          <cell r="BK65">
            <v>99585.508000000002</v>
          </cell>
          <cell r="BL65">
            <v>99835.508000000002</v>
          </cell>
          <cell r="BM65">
            <v>100085.508</v>
          </cell>
          <cell r="BN65">
            <v>99710.508000000002</v>
          </cell>
          <cell r="BP65">
            <v>100335.508</v>
          </cell>
          <cell r="BQ65">
            <v>100585.508</v>
          </cell>
          <cell r="BR65">
            <v>100835.508</v>
          </cell>
          <cell r="BS65">
            <v>101085.508</v>
          </cell>
          <cell r="BT65">
            <v>100710.508</v>
          </cell>
          <cell r="BV65">
            <v>101335.508</v>
          </cell>
          <cell r="BW65">
            <v>101585.508</v>
          </cell>
          <cell r="BX65">
            <v>101835.508</v>
          </cell>
          <cell r="BY65">
            <v>102085.508</v>
          </cell>
          <cell r="BZ65">
            <v>101710.508</v>
          </cell>
          <cell r="CB65">
            <v>102335.508</v>
          </cell>
          <cell r="CC65">
            <v>102585.508</v>
          </cell>
          <cell r="CD65">
            <v>102835.508</v>
          </cell>
          <cell r="CE65">
            <v>103085.508</v>
          </cell>
          <cell r="CF65">
            <v>102710.508</v>
          </cell>
          <cell r="CH65">
            <v>103335.508</v>
          </cell>
          <cell r="CI65">
            <v>103585.508</v>
          </cell>
          <cell r="CJ65">
            <v>103835.508</v>
          </cell>
          <cell r="CK65">
            <v>104085.508</v>
          </cell>
          <cell r="CL65">
            <v>103710.508</v>
          </cell>
          <cell r="CT65" t="str">
            <v>mstag:averageBasicSharesOutstanding</v>
          </cell>
          <cell r="CU65">
            <v>3</v>
          </cell>
          <cell r="CV65" t="str">
            <v>ms_eqr_gcim_Decimal:ms_eqr_gcim_decimal</v>
          </cell>
          <cell r="CW65" t="b">
            <v>0</v>
          </cell>
          <cell r="CX65" t="b">
            <v>0</v>
          </cell>
        </row>
        <row r="66">
          <cell r="A66" t="str">
            <v>Weighted Average Diluted Common Shares</v>
          </cell>
          <cell r="B66">
            <v>86284.736000000004</v>
          </cell>
          <cell r="C66">
            <v>86222.175000000003</v>
          </cell>
          <cell r="D66">
            <v>86251.857000000004</v>
          </cell>
          <cell r="E66">
            <v>86181.937000000005</v>
          </cell>
          <cell r="F66">
            <v>86235.176000000007</v>
          </cell>
          <cell r="H66">
            <v>86020.68</v>
          </cell>
          <cell r="I66">
            <v>86468.82</v>
          </cell>
          <cell r="J66">
            <v>86637.633000000002</v>
          </cell>
          <cell r="K66">
            <v>86262.815000000002</v>
          </cell>
          <cell r="L66">
            <v>86347.486999999994</v>
          </cell>
          <cell r="N66">
            <v>83863.198000000004</v>
          </cell>
          <cell r="O66">
            <v>84125.277000000002</v>
          </cell>
          <cell r="P66">
            <v>84725.108999999997</v>
          </cell>
          <cell r="Q66">
            <v>84528.547000000006</v>
          </cell>
          <cell r="R66">
            <v>84155.305999999997</v>
          </cell>
          <cell r="T66">
            <v>84720.917000000001</v>
          </cell>
          <cell r="U66">
            <v>85378.726999999999</v>
          </cell>
          <cell r="V66">
            <v>85644.84</v>
          </cell>
          <cell r="W66">
            <v>84338.812000000005</v>
          </cell>
          <cell r="X66">
            <v>85214.066000000006</v>
          </cell>
          <cell r="Z66">
            <v>84781.872000000003</v>
          </cell>
          <cell r="AA66">
            <v>85529.415999999997</v>
          </cell>
          <cell r="AB66">
            <v>85527.828999999998</v>
          </cell>
          <cell r="AC66">
            <v>83648.771999999997</v>
          </cell>
          <cell r="AD66">
            <v>84795.087</v>
          </cell>
          <cell r="AF66">
            <v>82514.156000000003</v>
          </cell>
          <cell r="AG66">
            <v>82465.983999999997</v>
          </cell>
          <cell r="AH66">
            <v>82720.13</v>
          </cell>
          <cell r="AI66">
            <v>83667.797999999995</v>
          </cell>
          <cell r="AJ66">
            <v>82852.528000000006</v>
          </cell>
          <cell r="AL66">
            <v>84861.964999999997</v>
          </cell>
          <cell r="AM66">
            <v>84535.762000000002</v>
          </cell>
          <cell r="AN66">
            <v>85395.387000000002</v>
          </cell>
          <cell r="AO66">
            <v>86263.304999999993</v>
          </cell>
          <cell r="AP66">
            <v>85368.626000000004</v>
          </cell>
          <cell r="AR66">
            <v>86516.695000000007</v>
          </cell>
          <cell r="AS66">
            <v>87076</v>
          </cell>
          <cell r="AT66">
            <v>88373.475999999995</v>
          </cell>
          <cell r="AU66">
            <v>88981.657000000007</v>
          </cell>
          <cell r="AV66">
            <v>87736.956999999995</v>
          </cell>
          <cell r="AX66">
            <v>90179.328999999998</v>
          </cell>
          <cell r="AY66">
            <v>90135.659</v>
          </cell>
          <cell r="AZ66">
            <v>91058.028999999995</v>
          </cell>
          <cell r="BA66">
            <v>92251.667000000001</v>
          </cell>
          <cell r="BB66">
            <v>90906.171000000002</v>
          </cell>
          <cell r="BD66">
            <v>95098.710999999996</v>
          </cell>
          <cell r="BE66">
            <v>101361.01300000001</v>
          </cell>
          <cell r="BF66">
            <v>100914.34</v>
          </cell>
          <cell r="BG66">
            <v>101121</v>
          </cell>
          <cell r="BH66">
            <v>99623.766000000003</v>
          </cell>
          <cell r="BJ66">
            <v>102638.00448</v>
          </cell>
          <cell r="BK66">
            <v>102896.00448</v>
          </cell>
          <cell r="BL66">
            <v>103154.00448</v>
          </cell>
          <cell r="BM66">
            <v>103396.00448</v>
          </cell>
          <cell r="BN66">
            <v>103021.00448</v>
          </cell>
          <cell r="BP66">
            <v>103670.00448</v>
          </cell>
          <cell r="BQ66">
            <v>103928.00448</v>
          </cell>
          <cell r="BR66">
            <v>104186.00448</v>
          </cell>
          <cell r="BS66">
            <v>104428.00448</v>
          </cell>
          <cell r="BT66">
            <v>104053.00448</v>
          </cell>
          <cell r="BV66">
            <v>104702.00448</v>
          </cell>
          <cell r="BW66">
            <v>104960.00448</v>
          </cell>
          <cell r="BX66">
            <v>105218.00448</v>
          </cell>
          <cell r="BY66">
            <v>105460.00448</v>
          </cell>
          <cell r="BZ66">
            <v>105085.00448</v>
          </cell>
          <cell r="CB66">
            <v>105734.00448</v>
          </cell>
          <cell r="CC66">
            <v>105992.00448</v>
          </cell>
          <cell r="CD66">
            <v>106250.00448</v>
          </cell>
          <cell r="CE66">
            <v>106492.00448</v>
          </cell>
          <cell r="CF66">
            <v>106117.00448</v>
          </cell>
          <cell r="CH66">
            <v>106766.00448</v>
          </cell>
          <cell r="CI66">
            <v>107024.00448</v>
          </cell>
          <cell r="CJ66">
            <v>107282.00448</v>
          </cell>
          <cell r="CK66">
            <v>107524.00448</v>
          </cell>
          <cell r="CL66">
            <v>107149.00448</v>
          </cell>
          <cell r="CT66" t="str">
            <v>mstag:averageDilutedSharesOutstanding</v>
          </cell>
          <cell r="CU66">
            <v>3</v>
          </cell>
          <cell r="CV66" t="str">
            <v>ms_eqr_gcim_Decimal:ms_eqr_gcim_decimal</v>
          </cell>
          <cell r="CW66" t="b">
            <v>0</v>
          </cell>
          <cell r="CX66" t="b">
            <v>0</v>
          </cell>
        </row>
        <row r="67">
          <cell r="A67" t="str">
            <v>Weighted Average Shares and Units Outstanding (diluted)</v>
          </cell>
          <cell r="B67">
            <v>88839.191999999995</v>
          </cell>
          <cell r="C67">
            <v>89886.672999999995</v>
          </cell>
          <cell r="D67">
            <v>90053.107000000004</v>
          </cell>
          <cell r="E67">
            <v>91000</v>
          </cell>
          <cell r="F67">
            <v>89944.743000000002</v>
          </cell>
          <cell r="H67">
            <v>90469.104999999996</v>
          </cell>
          <cell r="I67">
            <v>91044.028000000006</v>
          </cell>
          <cell r="J67">
            <v>91179.441000000006</v>
          </cell>
          <cell r="K67">
            <v>90779.163</v>
          </cell>
          <cell r="L67">
            <v>90867.933999999994</v>
          </cell>
          <cell r="N67">
            <v>89707.9</v>
          </cell>
          <cell r="O67">
            <v>89707</v>
          </cell>
          <cell r="P67">
            <v>90508</v>
          </cell>
          <cell r="Q67">
            <v>90332.930999999997</v>
          </cell>
          <cell r="R67">
            <v>90063.957750000001</v>
          </cell>
          <cell r="T67">
            <v>90208.106</v>
          </cell>
          <cell r="U67">
            <v>90608.346999999994</v>
          </cell>
          <cell r="V67">
            <v>90799.887000000002</v>
          </cell>
          <cell r="W67">
            <v>89317.085999999996</v>
          </cell>
          <cell r="X67">
            <v>90325.801000000007</v>
          </cell>
          <cell r="Z67">
            <v>89724.952999999994</v>
          </cell>
          <cell r="AA67">
            <v>90462.331999999995</v>
          </cell>
          <cell r="AB67">
            <v>90379.023000000001</v>
          </cell>
          <cell r="AC67">
            <v>88495.159</v>
          </cell>
          <cell r="AD67">
            <v>89689.31</v>
          </cell>
          <cell r="AF67">
            <v>87360.543000000005</v>
          </cell>
          <cell r="AG67">
            <v>87302.895999999993</v>
          </cell>
          <cell r="AH67">
            <v>87399.543999999994</v>
          </cell>
          <cell r="AI67">
            <v>88360.432000000001</v>
          </cell>
          <cell r="AJ67">
            <v>87616</v>
          </cell>
          <cell r="AL67">
            <v>89617.834000000003</v>
          </cell>
          <cell r="AM67">
            <v>89288.953999999998</v>
          </cell>
          <cell r="AN67">
            <v>90146.244999999995</v>
          </cell>
          <cell r="AO67">
            <v>91003.312999999995</v>
          </cell>
          <cell r="AP67">
            <v>90014.086500000005</v>
          </cell>
          <cell r="AR67">
            <v>91240.898000000001</v>
          </cell>
          <cell r="AS67">
            <v>91795.8</v>
          </cell>
          <cell r="AT67">
            <v>93034.016000000003</v>
          </cell>
          <cell r="AU67">
            <v>93422.964000000007</v>
          </cell>
          <cell r="AV67">
            <v>92373.419500000018</v>
          </cell>
          <cell r="AX67">
            <v>94567.679999999993</v>
          </cell>
          <cell r="AY67">
            <v>94520.865999999995</v>
          </cell>
          <cell r="AZ67">
            <v>95117.596999999994</v>
          </cell>
          <cell r="BA67">
            <v>97087.888999999996</v>
          </cell>
          <cell r="BB67">
            <v>95323.508000000002</v>
          </cell>
          <cell r="BD67">
            <v>99776.75</v>
          </cell>
          <cell r="BE67">
            <v>105806.524</v>
          </cell>
          <cell r="BF67">
            <v>105109.868</v>
          </cell>
          <cell r="BG67">
            <v>105130</v>
          </cell>
          <cell r="BH67">
            <v>104169</v>
          </cell>
          <cell r="BJ67">
            <v>106630.51148</v>
          </cell>
          <cell r="BK67">
            <v>106888.51148</v>
          </cell>
          <cell r="BL67">
            <v>107146.51148</v>
          </cell>
          <cell r="BM67">
            <v>106888.51148</v>
          </cell>
          <cell r="BN67">
            <v>106888.51148</v>
          </cell>
          <cell r="BP67">
            <v>107662.51148</v>
          </cell>
          <cell r="BQ67">
            <v>107920.51148</v>
          </cell>
          <cell r="BR67">
            <v>108178.51148</v>
          </cell>
          <cell r="BS67">
            <v>107920.51148</v>
          </cell>
          <cell r="BT67">
            <v>107920.51148</v>
          </cell>
          <cell r="BV67">
            <v>108694.51148</v>
          </cell>
          <cell r="BW67">
            <v>108952.51148</v>
          </cell>
          <cell r="BX67">
            <v>109210.51148</v>
          </cell>
          <cell r="BY67">
            <v>108952.51148</v>
          </cell>
          <cell r="BZ67">
            <v>108952.51148</v>
          </cell>
          <cell r="CB67">
            <v>109726.51148</v>
          </cell>
          <cell r="CC67">
            <v>109984.51148</v>
          </cell>
          <cell r="CD67">
            <v>110242.51148</v>
          </cell>
          <cell r="CE67">
            <v>109984.51148</v>
          </cell>
          <cell r="CF67">
            <v>109984.51148</v>
          </cell>
          <cell r="CH67">
            <v>110758.51148</v>
          </cell>
          <cell r="CI67">
            <v>111016.51148</v>
          </cell>
          <cell r="CJ67">
            <v>111274.51148</v>
          </cell>
          <cell r="CK67">
            <v>111016.51148</v>
          </cell>
          <cell r="CL67">
            <v>111016.51148</v>
          </cell>
          <cell r="CT67" t="str">
            <v>mstag:averageDilutedSharesOutstandingForFfo</v>
          </cell>
          <cell r="CU67">
            <v>3</v>
          </cell>
          <cell r="CV67" t="str">
            <v>ms_eqr_gcim_Decimal:ms_eqr_gcim_decimal</v>
          </cell>
          <cell r="CW67" t="b">
            <v>0</v>
          </cell>
          <cell r="CX67" t="b">
            <v>0</v>
          </cell>
        </row>
        <row r="68">
          <cell r="A68" t="str">
            <v>Common Shares Outstanding (End)</v>
          </cell>
          <cell r="Z68">
            <v>84064.370999999999</v>
          </cell>
          <cell r="AA68">
            <v>84254.365000000005</v>
          </cell>
          <cell r="AB68">
            <v>84241.692999999999</v>
          </cell>
          <cell r="AC68">
            <v>82029.448999999993</v>
          </cell>
          <cell r="AD68">
            <v>82029.448999999993</v>
          </cell>
          <cell r="AF68">
            <v>81534.326000000001</v>
          </cell>
          <cell r="AG68">
            <v>81673.676000000007</v>
          </cell>
          <cell r="AH68">
            <v>81681.573000000004</v>
          </cell>
          <cell r="AI68">
            <v>81792.913</v>
          </cell>
          <cell r="AJ68">
            <v>81792.913</v>
          </cell>
          <cell r="AL68">
            <v>82595.709000000003</v>
          </cell>
          <cell r="AM68">
            <v>82645.786999999997</v>
          </cell>
          <cell r="AN68">
            <v>82919.046000000002</v>
          </cell>
          <cell r="AO68">
            <v>83248.639999999999</v>
          </cell>
          <cell r="AP68">
            <v>83248.639999999999</v>
          </cell>
          <cell r="AR68">
            <v>83963.307000000001</v>
          </cell>
          <cell r="AS68">
            <v>84215.036999999997</v>
          </cell>
          <cell r="AT68">
            <v>85307.743000000002</v>
          </cell>
          <cell r="AU68">
            <v>85814.904999999999</v>
          </cell>
          <cell r="AV68">
            <v>85814.904999999999</v>
          </cell>
          <cell r="AX68">
            <v>87947.345000000001</v>
          </cell>
          <cell r="AY68">
            <v>88099.463000000003</v>
          </cell>
          <cell r="AZ68">
            <v>89230.096999999994</v>
          </cell>
          <cell r="BA68">
            <v>89662.434999999998</v>
          </cell>
          <cell r="BB68">
            <v>89662.434999999998</v>
          </cell>
          <cell r="BD68">
            <v>99319.252999999997</v>
          </cell>
          <cell r="BE68">
            <v>99660.284</v>
          </cell>
          <cell r="BF68">
            <v>98910.418999999994</v>
          </cell>
          <cell r="BG68">
            <v>99210.508000000002</v>
          </cell>
          <cell r="BH68">
            <v>99210.508000000002</v>
          </cell>
          <cell r="BJ68">
            <v>99460.508000000002</v>
          </cell>
          <cell r="BK68">
            <v>99710.508000000002</v>
          </cell>
          <cell r="BL68">
            <v>99960.508000000002</v>
          </cell>
          <cell r="BM68">
            <v>100210.508</v>
          </cell>
          <cell r="BN68">
            <v>100210.508</v>
          </cell>
          <cell r="BP68">
            <v>100460.508</v>
          </cell>
          <cell r="BQ68">
            <v>100710.508</v>
          </cell>
          <cell r="BR68">
            <v>100960.508</v>
          </cell>
          <cell r="BS68">
            <v>101210.508</v>
          </cell>
          <cell r="BT68">
            <v>101210.508</v>
          </cell>
          <cell r="BV68">
            <v>101460.508</v>
          </cell>
          <cell r="BW68">
            <v>101710.508</v>
          </cell>
          <cell r="BX68">
            <v>101960.508</v>
          </cell>
          <cell r="BY68">
            <v>102210.508</v>
          </cell>
          <cell r="BZ68">
            <v>102210.508</v>
          </cell>
          <cell r="CB68">
            <v>102460.508</v>
          </cell>
          <cell r="CC68">
            <v>102710.508</v>
          </cell>
          <cell r="CD68">
            <v>102960.508</v>
          </cell>
          <cell r="CE68">
            <v>103210.508</v>
          </cell>
          <cell r="CF68">
            <v>103210.508</v>
          </cell>
          <cell r="CH68">
            <v>103460.508</v>
          </cell>
          <cell r="CI68">
            <v>103710.508</v>
          </cell>
          <cell r="CJ68">
            <v>103960.508</v>
          </cell>
          <cell r="CK68">
            <v>104210.508</v>
          </cell>
          <cell r="CL68">
            <v>104210.508</v>
          </cell>
          <cell r="CT68" t="str">
            <v>mstag:periodEndBasicSharesOutstanding</v>
          </cell>
          <cell r="CU68">
            <v>3</v>
          </cell>
          <cell r="CV68" t="str">
            <v>ms_eqr_gcim_Decimal:ms_eqr_gcim_decimal</v>
          </cell>
          <cell r="CW68" t="b">
            <v>0</v>
          </cell>
          <cell r="CX68" t="b">
            <v>0</v>
          </cell>
        </row>
        <row r="69">
          <cell r="A69" t="str">
            <v>Units (End)</v>
          </cell>
          <cell r="Z69">
            <v>4932.9160000000002</v>
          </cell>
          <cell r="AA69">
            <v>4932.9160000000002</v>
          </cell>
          <cell r="AB69">
            <v>4846.3869999999997</v>
          </cell>
          <cell r="AC69">
            <v>4846.3869999999997</v>
          </cell>
          <cell r="AD69">
            <v>4846.3869999999997</v>
          </cell>
          <cell r="AF69">
            <v>4846.3869999999997</v>
          </cell>
          <cell r="AG69">
            <v>4834.8630000000003</v>
          </cell>
          <cell r="AH69">
            <v>4618.2420000000002</v>
          </cell>
          <cell r="AI69">
            <v>4763.79</v>
          </cell>
          <cell r="AJ69">
            <v>4763.79</v>
          </cell>
          <cell r="AL69">
            <v>4753.4579999999996</v>
          </cell>
          <cell r="AM69">
            <v>4753.4579999999996</v>
          </cell>
          <cell r="AN69">
            <v>4750.4579999999996</v>
          </cell>
          <cell r="AO69">
            <v>4746.1040000000003</v>
          </cell>
          <cell r="AP69">
            <v>4746.1040000000003</v>
          </cell>
          <cell r="AR69">
            <v>4719.8230000000003</v>
          </cell>
          <cell r="AS69">
            <v>4719.8</v>
          </cell>
          <cell r="AT69">
            <v>4562.5519999999997</v>
          </cell>
          <cell r="AU69">
            <v>4396.5249999999996</v>
          </cell>
          <cell r="AV69">
            <v>4396.5249999999996</v>
          </cell>
          <cell r="AX69">
            <v>4385.2070000000003</v>
          </cell>
          <cell r="AY69">
            <v>4385.2070000000003</v>
          </cell>
          <cell r="AZ69">
            <v>3872.95</v>
          </cell>
          <cell r="BA69">
            <v>4809.0559999999996</v>
          </cell>
          <cell r="BB69">
            <v>4809.0559999999996</v>
          </cell>
          <cell r="BD69">
            <v>4666.0730000000003</v>
          </cell>
          <cell r="BE69">
            <v>4402.174</v>
          </cell>
          <cell r="BF69">
            <v>4144.7830000000004</v>
          </cell>
          <cell r="BG69">
            <v>3992.5070000000001</v>
          </cell>
          <cell r="BH69">
            <v>3992.5070000000001</v>
          </cell>
          <cell r="BJ69">
            <v>3992.5070000000001</v>
          </cell>
          <cell r="BK69">
            <v>3992.5070000000001</v>
          </cell>
          <cell r="BL69">
            <v>3992.5070000000001</v>
          </cell>
          <cell r="BM69">
            <v>3992.5070000000001</v>
          </cell>
          <cell r="BN69">
            <v>3992.5070000000001</v>
          </cell>
          <cell r="BP69">
            <v>3992.5070000000001</v>
          </cell>
          <cell r="BQ69">
            <v>3992.5070000000001</v>
          </cell>
          <cell r="BR69">
            <v>3992.5070000000001</v>
          </cell>
          <cell r="BS69">
            <v>3992.5070000000001</v>
          </cell>
          <cell r="BT69">
            <v>3992.5070000000001</v>
          </cell>
          <cell r="BV69">
            <v>3992.5070000000001</v>
          </cell>
          <cell r="BW69">
            <v>3992.5070000000001</v>
          </cell>
          <cell r="BX69">
            <v>3992.5070000000001</v>
          </cell>
          <cell r="BY69">
            <v>3992.5070000000001</v>
          </cell>
          <cell r="BZ69">
            <v>3992.5070000000001</v>
          </cell>
          <cell r="CB69">
            <v>3992.5070000000001</v>
          </cell>
          <cell r="CC69">
            <v>3992.5070000000001</v>
          </cell>
          <cell r="CD69">
            <v>3992.5070000000001</v>
          </cell>
          <cell r="CE69">
            <v>3992.5070000000001</v>
          </cell>
          <cell r="CF69">
            <v>3992.5070000000001</v>
          </cell>
          <cell r="CH69">
            <v>3992.5070000000001</v>
          </cell>
          <cell r="CI69">
            <v>3992.5070000000001</v>
          </cell>
          <cell r="CJ69">
            <v>3992.5070000000001</v>
          </cell>
          <cell r="CK69">
            <v>3992.5070000000001</v>
          </cell>
          <cell r="CL69">
            <v>3992.5070000000001</v>
          </cell>
          <cell r="CT69" t="str">
            <v>mstag:opUnitsOutstanding</v>
          </cell>
          <cell r="CU69">
            <v>3</v>
          </cell>
          <cell r="CV69" t="str">
            <v>ms_eqr_gcim_Decimal:ms_eqr_gcim_decimal</v>
          </cell>
          <cell r="CW69" t="b">
            <v>0</v>
          </cell>
          <cell r="CX69" t="b">
            <v>0</v>
          </cell>
        </row>
        <row r="70">
          <cell r="A70" t="str">
            <v>Common and Units (Ending)</v>
          </cell>
          <cell r="Z70">
            <v>88997.286999999997</v>
          </cell>
          <cell r="AA70">
            <v>89187.281000000003</v>
          </cell>
          <cell r="AB70">
            <v>89088.08</v>
          </cell>
          <cell r="AC70">
            <v>86875.835999999996</v>
          </cell>
          <cell r="AD70">
            <v>86875.835999999996</v>
          </cell>
          <cell r="AF70">
            <v>86380.713000000003</v>
          </cell>
          <cell r="AG70">
            <v>86508.539000000004</v>
          </cell>
          <cell r="AH70">
            <v>86299.815000000002</v>
          </cell>
          <cell r="AI70">
            <v>86556.702999999994</v>
          </cell>
          <cell r="AJ70">
            <v>86556.702999999994</v>
          </cell>
          <cell r="AL70">
            <v>87349.167000000001</v>
          </cell>
          <cell r="AM70">
            <v>87399.244999999995</v>
          </cell>
          <cell r="AN70">
            <v>87669.504000000001</v>
          </cell>
          <cell r="AO70">
            <v>87994.744000000006</v>
          </cell>
          <cell r="AP70">
            <v>87994.744000000006</v>
          </cell>
          <cell r="AR70">
            <v>88683.13</v>
          </cell>
          <cell r="AS70">
            <v>88934.837</v>
          </cell>
          <cell r="AT70">
            <v>89870.294999999998</v>
          </cell>
          <cell r="AU70">
            <v>90211.43</v>
          </cell>
          <cell r="AV70">
            <v>90211.43</v>
          </cell>
          <cell r="AX70">
            <v>92332.551999999996</v>
          </cell>
          <cell r="AY70">
            <v>92484.67</v>
          </cell>
          <cell r="AZ70">
            <v>93103.046999999991</v>
          </cell>
          <cell r="BA70">
            <v>94471.490999999995</v>
          </cell>
          <cell r="BB70">
            <v>94471.490999999995</v>
          </cell>
          <cell r="BD70">
            <v>103985.326</v>
          </cell>
          <cell r="BE70">
            <v>104062.458</v>
          </cell>
          <cell r="BF70">
            <v>103055.20199999999</v>
          </cell>
          <cell r="BG70">
            <v>103203.015</v>
          </cell>
          <cell r="BH70">
            <v>103203.015</v>
          </cell>
          <cell r="BJ70">
            <v>103453.015</v>
          </cell>
          <cell r="BK70">
            <v>103703.015</v>
          </cell>
          <cell r="BL70">
            <v>103953.015</v>
          </cell>
          <cell r="BM70">
            <v>104203.015</v>
          </cell>
          <cell r="BN70">
            <v>104203.015</v>
          </cell>
          <cell r="BP70">
            <v>104453.015</v>
          </cell>
          <cell r="BQ70">
            <v>104703.015</v>
          </cell>
          <cell r="BR70">
            <v>104953.015</v>
          </cell>
          <cell r="BS70">
            <v>105203.015</v>
          </cell>
          <cell r="BT70">
            <v>105203.015</v>
          </cell>
          <cell r="BV70">
            <v>105453.015</v>
          </cell>
          <cell r="BW70">
            <v>105703.015</v>
          </cell>
          <cell r="BX70">
            <v>105953.015</v>
          </cell>
          <cell r="BY70">
            <v>106203.015</v>
          </cell>
          <cell r="BZ70">
            <v>106203.015</v>
          </cell>
          <cell r="CB70">
            <v>106453.015</v>
          </cell>
          <cell r="CC70">
            <v>106703.015</v>
          </cell>
          <cell r="CD70">
            <v>106953.015</v>
          </cell>
          <cell r="CE70">
            <v>107203.015</v>
          </cell>
          <cell r="CF70">
            <v>107203.015</v>
          </cell>
          <cell r="CH70">
            <v>107453.015</v>
          </cell>
          <cell r="CI70">
            <v>107703.015</v>
          </cell>
          <cell r="CJ70">
            <v>107953.015</v>
          </cell>
          <cell r="CK70">
            <v>108203.015</v>
          </cell>
          <cell r="CL70">
            <v>108203.015</v>
          </cell>
        </row>
        <row r="71">
          <cell r="A71" t="str">
            <v>E = Morgan Stanley Research Estimates</v>
          </cell>
        </row>
        <row r="73">
          <cell r="A73" t="str">
            <v>Equity in Earnings of Unconsolidated Joint Ventures</v>
          </cell>
          <cell r="B73">
            <v>0</v>
          </cell>
          <cell r="C73">
            <v>0</v>
          </cell>
          <cell r="D73">
            <v>0</v>
          </cell>
          <cell r="E73">
            <v>0</v>
          </cell>
          <cell r="F73">
            <v>0</v>
          </cell>
          <cell r="H73">
            <v>0</v>
          </cell>
          <cell r="I73">
            <v>0</v>
          </cell>
          <cell r="J73">
            <v>0</v>
          </cell>
          <cell r="K73">
            <v>0</v>
          </cell>
          <cell r="L73">
            <v>0</v>
          </cell>
          <cell r="N73">
            <v>1242</v>
          </cell>
          <cell r="O73">
            <v>1317</v>
          </cell>
          <cell r="P73">
            <v>1447</v>
          </cell>
          <cell r="Q73">
            <v>1206</v>
          </cell>
          <cell r="R73">
            <v>5212</v>
          </cell>
          <cell r="T73">
            <v>1474</v>
          </cell>
          <cell r="U73">
            <v>1255</v>
          </cell>
          <cell r="AP73">
            <v>0</v>
          </cell>
          <cell r="AV73">
            <v>0</v>
          </cell>
          <cell r="BB73">
            <v>0</v>
          </cell>
        </row>
        <row r="75">
          <cell r="A75" t="str">
            <v>Reconciliation to Net Income:</v>
          </cell>
        </row>
        <row r="76">
          <cell r="A76" t="str">
            <v>Funds from Operations:</v>
          </cell>
        </row>
        <row r="77">
          <cell r="A77" t="str">
            <v>Less:  Real Estate Depreciation</v>
          </cell>
        </row>
        <row r="78">
          <cell r="A78" t="str">
            <v>Consolidated</v>
          </cell>
          <cell r="B78">
            <v>11786</v>
          </cell>
          <cell r="C78">
            <v>13516</v>
          </cell>
          <cell r="D78">
            <v>14750</v>
          </cell>
          <cell r="E78">
            <v>17412</v>
          </cell>
          <cell r="F78">
            <v>57464</v>
          </cell>
          <cell r="H78">
            <v>18424</v>
          </cell>
          <cell r="I78">
            <v>15178</v>
          </cell>
          <cell r="J78">
            <v>15693</v>
          </cell>
          <cell r="K78">
            <v>18210</v>
          </cell>
          <cell r="L78">
            <v>67505</v>
          </cell>
          <cell r="N78">
            <v>19192</v>
          </cell>
          <cell r="O78">
            <v>22631</v>
          </cell>
          <cell r="P78">
            <v>23312</v>
          </cell>
          <cell r="Q78">
            <v>31123</v>
          </cell>
          <cell r="R78">
            <v>96258</v>
          </cell>
          <cell r="T78">
            <v>26854</v>
          </cell>
          <cell r="U78">
            <v>27323</v>
          </cell>
          <cell r="V78">
            <v>38961</v>
          </cell>
          <cell r="W78">
            <v>28276</v>
          </cell>
          <cell r="X78">
            <v>121414</v>
          </cell>
          <cell r="Z78">
            <v>29675</v>
          </cell>
          <cell r="AA78">
            <v>31972</v>
          </cell>
          <cell r="AB78">
            <v>33749</v>
          </cell>
          <cell r="AC78">
            <v>37286</v>
          </cell>
          <cell r="AD78">
            <v>132682</v>
          </cell>
          <cell r="AF78">
            <v>33989</v>
          </cell>
          <cell r="AG78">
            <v>37905</v>
          </cell>
          <cell r="AH78">
            <v>32414</v>
          </cell>
          <cell r="AI78">
            <v>35516</v>
          </cell>
          <cell r="AJ78">
            <v>139824</v>
          </cell>
          <cell r="AL78">
            <v>38059</v>
          </cell>
          <cell r="AM78">
            <v>38719</v>
          </cell>
          <cell r="AN78">
            <v>41927</v>
          </cell>
          <cell r="AO78">
            <v>42805</v>
          </cell>
          <cell r="AP78">
            <v>161510</v>
          </cell>
          <cell r="AR78">
            <v>42740</v>
          </cell>
          <cell r="AS78">
            <v>43701</v>
          </cell>
          <cell r="AT78">
            <v>43579</v>
          </cell>
          <cell r="AU78">
            <v>42608</v>
          </cell>
          <cell r="AV78">
            <v>172628</v>
          </cell>
          <cell r="AX78">
            <v>42360</v>
          </cell>
          <cell r="AY78">
            <v>43020</v>
          </cell>
          <cell r="AZ78">
            <v>47760</v>
          </cell>
          <cell r="BA78">
            <v>41180</v>
          </cell>
          <cell r="BB78">
            <v>174320</v>
          </cell>
          <cell r="BD78">
            <v>39852</v>
          </cell>
          <cell r="BE78">
            <v>40082</v>
          </cell>
          <cell r="BF78">
            <v>39478</v>
          </cell>
          <cell r="BG78">
            <v>38435</v>
          </cell>
          <cell r="BH78">
            <v>157847</v>
          </cell>
          <cell r="BJ78">
            <v>41342.307112771661</v>
          </cell>
          <cell r="BK78">
            <v>43516.929839241056</v>
          </cell>
          <cell r="BL78">
            <v>45759.025983761545</v>
          </cell>
          <cell r="BM78">
            <v>48072.837198666646</v>
          </cell>
          <cell r="BN78">
            <v>178691.10013444093</v>
          </cell>
          <cell r="BP78">
            <v>50452.181206501678</v>
          </cell>
          <cell r="BQ78">
            <v>52343.418985901859</v>
          </cell>
          <cell r="BR78">
            <v>54296.047830118332</v>
          </cell>
          <cell r="BS78">
            <v>56313.715307917562</v>
          </cell>
          <cell r="BT78">
            <v>213405.36333043943</v>
          </cell>
          <cell r="BV78">
            <v>58390.964197375317</v>
          </cell>
          <cell r="BW78">
            <v>60309.894515604617</v>
          </cell>
          <cell r="BX78">
            <v>62287.657641644146</v>
          </cell>
          <cell r="BY78">
            <v>64329.396862022288</v>
          </cell>
          <cell r="BZ78">
            <v>245317.91321664638</v>
          </cell>
          <cell r="CB78">
            <v>66429.585635982206</v>
          </cell>
          <cell r="CC78">
            <v>68377.028480004825</v>
          </cell>
          <cell r="CD78">
            <v>70383.695425170969</v>
          </cell>
          <cell r="CE78">
            <v>72454.730838701798</v>
          </cell>
          <cell r="CF78">
            <v>277645.0403798598</v>
          </cell>
          <cell r="CH78">
            <v>74584.609263322796</v>
          </cell>
          <cell r="CI78">
            <v>76561.240048997977</v>
          </cell>
          <cell r="CJ78">
            <v>78597.177408723059</v>
          </cell>
          <cell r="CK78">
            <v>80697.566218403532</v>
          </cell>
          <cell r="CL78">
            <v>310440.59293944732</v>
          </cell>
          <cell r="CT78" t="str">
            <v>mstag:depreciationRealEstate</v>
          </cell>
          <cell r="CU78">
            <v>3</v>
          </cell>
          <cell r="CV78" t="str">
            <v>ISO4217:USD</v>
          </cell>
          <cell r="CW78" t="b">
            <v>0</v>
          </cell>
          <cell r="CX78" t="b">
            <v>0</v>
          </cell>
        </row>
        <row r="79">
          <cell r="A79" t="str">
            <v xml:space="preserve">   +Discontinued Operations</v>
          </cell>
          <cell r="AB79">
            <v>405</v>
          </cell>
          <cell r="AC79">
            <v>6613</v>
          </cell>
          <cell r="AF79">
            <v>151</v>
          </cell>
          <cell r="AG79">
            <v>240</v>
          </cell>
          <cell r="AH79">
            <v>339</v>
          </cell>
          <cell r="AI79">
            <v>28</v>
          </cell>
          <cell r="AJ79">
            <v>758</v>
          </cell>
          <cell r="AL79">
            <v>17</v>
          </cell>
          <cell r="AM79">
            <v>87</v>
          </cell>
          <cell r="AN79">
            <v>525</v>
          </cell>
          <cell r="AO79">
            <v>1451</v>
          </cell>
          <cell r="AP79">
            <v>2080</v>
          </cell>
          <cell r="AR79">
            <v>638</v>
          </cell>
          <cell r="AS79">
            <v>427</v>
          </cell>
          <cell r="AT79">
            <v>239</v>
          </cell>
          <cell r="AU79">
            <v>2985</v>
          </cell>
          <cell r="AV79">
            <v>4289</v>
          </cell>
          <cell r="AX79">
            <v>-92</v>
          </cell>
          <cell r="AY79">
            <v>350</v>
          </cell>
          <cell r="AZ79">
            <v>-37</v>
          </cell>
          <cell r="BA79">
            <v>890</v>
          </cell>
          <cell r="BB79">
            <v>1111</v>
          </cell>
          <cell r="BD79">
            <v>-4</v>
          </cell>
          <cell r="BE79">
            <v>4</v>
          </cell>
          <cell r="BF79">
            <v>117</v>
          </cell>
          <cell r="BG79">
            <v>139</v>
          </cell>
          <cell r="BH79">
            <v>256</v>
          </cell>
          <cell r="BJ79">
            <v>139</v>
          </cell>
          <cell r="BK79">
            <v>139</v>
          </cell>
          <cell r="BL79">
            <v>139</v>
          </cell>
          <cell r="BM79">
            <v>139</v>
          </cell>
          <cell r="BN79">
            <v>556</v>
          </cell>
          <cell r="BP79">
            <v>139</v>
          </cell>
          <cell r="BQ79">
            <v>139</v>
          </cell>
          <cell r="BR79">
            <v>139</v>
          </cell>
          <cell r="BS79">
            <v>139</v>
          </cell>
          <cell r="BT79">
            <v>556</v>
          </cell>
          <cell r="BV79">
            <v>139</v>
          </cell>
          <cell r="BW79">
            <v>139</v>
          </cell>
          <cell r="BX79">
            <v>139</v>
          </cell>
          <cell r="BY79">
            <v>139</v>
          </cell>
          <cell r="BZ79">
            <v>556</v>
          </cell>
          <cell r="CB79">
            <v>139</v>
          </cell>
          <cell r="CC79">
            <v>139</v>
          </cell>
          <cell r="CD79">
            <v>139</v>
          </cell>
          <cell r="CE79">
            <v>139</v>
          </cell>
          <cell r="CF79">
            <v>556</v>
          </cell>
          <cell r="CH79">
            <v>139</v>
          </cell>
          <cell r="CI79">
            <v>139</v>
          </cell>
          <cell r="CJ79">
            <v>139</v>
          </cell>
          <cell r="CK79">
            <v>139</v>
          </cell>
          <cell r="CL79">
            <v>556</v>
          </cell>
          <cell r="CT79" t="str">
            <v>mstag:depreciationRealEstate</v>
          </cell>
          <cell r="CU79">
            <v>3</v>
          </cell>
          <cell r="CV79" t="str">
            <v>ISO4217:USD</v>
          </cell>
          <cell r="CW79" t="b">
            <v>0</v>
          </cell>
          <cell r="CX79" t="b">
            <v>0</v>
          </cell>
        </row>
        <row r="80">
          <cell r="A80" t="str">
            <v>+Share of unconsolidated JV</v>
          </cell>
          <cell r="AF80">
            <v>1256</v>
          </cell>
          <cell r="AG80">
            <v>1023</v>
          </cell>
          <cell r="AH80">
            <v>980</v>
          </cell>
          <cell r="AI80">
            <v>912</v>
          </cell>
          <cell r="AJ80">
            <v>4171</v>
          </cell>
          <cell r="AL80">
            <v>784</v>
          </cell>
          <cell r="AM80">
            <v>991</v>
          </cell>
          <cell r="AN80">
            <v>1058</v>
          </cell>
          <cell r="AO80">
            <v>935</v>
          </cell>
          <cell r="AP80">
            <v>3768</v>
          </cell>
          <cell r="AR80">
            <v>1505</v>
          </cell>
          <cell r="AS80">
            <v>2722</v>
          </cell>
          <cell r="AT80">
            <v>3063</v>
          </cell>
          <cell r="AU80">
            <v>1822</v>
          </cell>
          <cell r="AV80">
            <v>9112</v>
          </cell>
          <cell r="AX80">
            <v>1121</v>
          </cell>
          <cell r="AY80">
            <v>1518</v>
          </cell>
          <cell r="AZ80">
            <v>1791</v>
          </cell>
          <cell r="BA80">
            <v>3568</v>
          </cell>
          <cell r="BB80">
            <v>7998</v>
          </cell>
          <cell r="BD80">
            <v>3562</v>
          </cell>
          <cell r="BE80">
            <v>4057</v>
          </cell>
          <cell r="BF80">
            <v>6403</v>
          </cell>
          <cell r="BG80">
            <v>5902</v>
          </cell>
          <cell r="BH80">
            <v>19924</v>
          </cell>
          <cell r="BI80">
            <v>0</v>
          </cell>
          <cell r="BJ80">
            <v>6903.5296013744664</v>
          </cell>
          <cell r="BK80">
            <v>7248.7060814431907</v>
          </cell>
          <cell r="BL80">
            <v>7611.1413855153505</v>
          </cell>
          <cell r="BM80">
            <v>7991.6984547911188</v>
          </cell>
          <cell r="BN80">
            <v>29755.075523124127</v>
          </cell>
          <cell r="BP80">
            <v>8391.2833775306754</v>
          </cell>
          <cell r="BQ80">
            <v>8810.8475464072089</v>
          </cell>
          <cell r="BR80">
            <v>9251.3899237275691</v>
          </cell>
          <cell r="BS80">
            <v>9713.9594199139501</v>
          </cell>
          <cell r="BT80">
            <v>36167.480267579405</v>
          </cell>
          <cell r="BU80">
            <v>0</v>
          </cell>
          <cell r="BV80">
            <v>9762.5292170135181</v>
          </cell>
          <cell r="BW80">
            <v>9811.3418630985834</v>
          </cell>
          <cell r="BX80">
            <v>9860.3985724140766</v>
          </cell>
          <cell r="BY80">
            <v>9909.7005652761454</v>
          </cell>
          <cell r="BZ80">
            <v>39343.970217802322</v>
          </cell>
          <cell r="CA80">
            <v>0</v>
          </cell>
          <cell r="CB80">
            <v>9959.2490681025265</v>
          </cell>
          <cell r="CC80">
            <v>10009.045313443037</v>
          </cell>
          <cell r="CD80">
            <v>10059.090540010251</v>
          </cell>
          <cell r="CE80">
            <v>10109.385992710302</v>
          </cell>
          <cell r="CF80">
            <v>40136.770914266119</v>
          </cell>
          <cell r="CG80">
            <v>0</v>
          </cell>
          <cell r="CH80">
            <v>7120.9654792654692</v>
          </cell>
          <cell r="CI80">
            <v>7120.9654792654692</v>
          </cell>
          <cell r="CJ80">
            <v>7120.9654792654692</v>
          </cell>
          <cell r="CK80">
            <v>7120.9654792654692</v>
          </cell>
          <cell r="CL80">
            <v>28483.861917061877</v>
          </cell>
          <cell r="CT80" t="str">
            <v>mstag:depreciationRealEstate</v>
          </cell>
          <cell r="CU80">
            <v>3</v>
          </cell>
          <cell r="CV80" t="str">
            <v>ISO4217:USD</v>
          </cell>
          <cell r="CW80" t="b">
            <v>0</v>
          </cell>
          <cell r="CX80" t="b">
            <v>0</v>
          </cell>
        </row>
        <row r="81">
          <cell r="A81" t="str">
            <v xml:space="preserve">   -JV Partner Share of Depreciation</v>
          </cell>
          <cell r="AF81">
            <v>-3281</v>
          </cell>
          <cell r="AG81">
            <v>-5211</v>
          </cell>
          <cell r="AH81">
            <v>-6874</v>
          </cell>
          <cell r="AI81">
            <v>-8466</v>
          </cell>
          <cell r="AJ81">
            <v>-23832</v>
          </cell>
          <cell r="AL81">
            <v>-8405</v>
          </cell>
          <cell r="AM81">
            <v>-8374</v>
          </cell>
          <cell r="AN81">
            <v>-11230</v>
          </cell>
          <cell r="AO81">
            <v>-11672</v>
          </cell>
          <cell r="AP81">
            <v>-39681</v>
          </cell>
          <cell r="AR81">
            <v>-11850</v>
          </cell>
          <cell r="AS81">
            <v>-14871</v>
          </cell>
          <cell r="AT81">
            <v>-15740</v>
          </cell>
          <cell r="AU81">
            <v>-18000</v>
          </cell>
          <cell r="AV81">
            <v>-60461</v>
          </cell>
          <cell r="AX81">
            <v>-14299</v>
          </cell>
          <cell r="AY81">
            <v>-15259</v>
          </cell>
          <cell r="AZ81">
            <v>-17147</v>
          </cell>
          <cell r="BA81">
            <v>-7453</v>
          </cell>
          <cell r="BB81">
            <v>-54158</v>
          </cell>
          <cell r="BD81">
            <v>-11804</v>
          </cell>
          <cell r="BE81">
            <v>-10611</v>
          </cell>
          <cell r="BF81">
            <v>-11924</v>
          </cell>
          <cell r="BG81">
            <v>-11956</v>
          </cell>
          <cell r="BH81">
            <v>-46295</v>
          </cell>
          <cell r="BI81">
            <v>0</v>
          </cell>
          <cell r="BJ81">
            <v>-12134.385789411155</v>
          </cell>
          <cell r="BK81">
            <v>-12772.65958089119</v>
          </cell>
          <cell r="BL81">
            <v>-13430.737503837057</v>
          </cell>
          <cell r="BM81">
            <v>-14109.864526161631</v>
          </cell>
          <cell r="BN81">
            <v>-52447.647400301037</v>
          </cell>
          <cell r="BP81">
            <v>-14808.226086827284</v>
          </cell>
          <cell r="BQ81">
            <v>-15363.323526652106</v>
          </cell>
          <cell r="BR81">
            <v>-15936.439865675553</v>
          </cell>
          <cell r="BS81">
            <v>-16528.645702267593</v>
          </cell>
          <cell r="BT81">
            <v>-62636.635181422535</v>
          </cell>
          <cell r="BU81">
            <v>0</v>
          </cell>
          <cell r="BV81">
            <v>-17138.339286531049</v>
          </cell>
          <cell r="BW81">
            <v>-17701.564766930001</v>
          </cell>
          <cell r="BX81">
            <v>-18282.058272190177</v>
          </cell>
          <cell r="BY81">
            <v>-18881.329408991012</v>
          </cell>
          <cell r="BZ81">
            <v>-72003.291734642233</v>
          </cell>
          <cell r="CA81">
            <v>0</v>
          </cell>
          <cell r="CB81">
            <v>-19497.756081656004</v>
          </cell>
          <cell r="CC81">
            <v>-20069.350277106656</v>
          </cell>
          <cell r="CD81">
            <v>-20658.327345974274</v>
          </cell>
          <cell r="CE81">
            <v>-21266.197212132571</v>
          </cell>
          <cell r="CF81">
            <v>-81491.630916869501</v>
          </cell>
          <cell r="CG81">
            <v>0</v>
          </cell>
          <cell r="CH81">
            <v>-21891.338097918077</v>
          </cell>
          <cell r="CI81">
            <v>-22471.4992498147</v>
          </cell>
          <cell r="CJ81">
            <v>-23069.067481761467</v>
          </cell>
          <cell r="CK81">
            <v>-23685.552866936101</v>
          </cell>
          <cell r="CL81">
            <v>-91117.457696430356</v>
          </cell>
          <cell r="CT81" t="str">
            <v>mstag:depreciationRealEstate</v>
          </cell>
          <cell r="CU81">
            <v>3</v>
          </cell>
          <cell r="CW81" t="b">
            <v>0</v>
          </cell>
        </row>
        <row r="83">
          <cell r="A83" t="str">
            <v>Add: Gains from Sale of Assets</v>
          </cell>
        </row>
        <row r="84">
          <cell r="A84" t="str">
            <v>Consolidated</v>
          </cell>
          <cell r="B84">
            <v>0</v>
          </cell>
          <cell r="C84">
            <v>0</v>
          </cell>
          <cell r="D84">
            <v>0</v>
          </cell>
          <cell r="E84">
            <v>0</v>
          </cell>
          <cell r="F84">
            <v>0</v>
          </cell>
          <cell r="H84">
            <v>0</v>
          </cell>
          <cell r="I84">
            <v>0</v>
          </cell>
          <cell r="J84">
            <v>0</v>
          </cell>
          <cell r="K84">
            <v>0</v>
          </cell>
          <cell r="L84">
            <v>0</v>
          </cell>
          <cell r="N84">
            <v>-11</v>
          </cell>
          <cell r="O84">
            <v>416</v>
          </cell>
          <cell r="P84">
            <v>5815</v>
          </cell>
          <cell r="Q84">
            <v>824</v>
          </cell>
          <cell r="R84">
            <v>7044</v>
          </cell>
          <cell r="T84">
            <v>16767</v>
          </cell>
          <cell r="U84">
            <v>17792</v>
          </cell>
          <cell r="V84">
            <v>8773</v>
          </cell>
          <cell r="W84">
            <v>-10073</v>
          </cell>
          <cell r="X84">
            <v>33259</v>
          </cell>
          <cell r="Z84">
            <v>-288</v>
          </cell>
          <cell r="AA84">
            <v>2768</v>
          </cell>
          <cell r="AB84">
            <v>3944</v>
          </cell>
          <cell r="AC84">
            <v>5309</v>
          </cell>
          <cell r="AD84">
            <v>11733</v>
          </cell>
          <cell r="AF84">
            <v>37073</v>
          </cell>
          <cell r="AG84">
            <v>3867</v>
          </cell>
          <cell r="AH84">
            <v>7888</v>
          </cell>
          <cell r="AI84">
            <v>3317</v>
          </cell>
          <cell r="AJ84">
            <v>52145</v>
          </cell>
          <cell r="AL84">
            <v>-286</v>
          </cell>
          <cell r="AM84">
            <v>2161</v>
          </cell>
          <cell r="AN84">
            <v>10450</v>
          </cell>
          <cell r="AO84">
            <v>34899</v>
          </cell>
          <cell r="AP84">
            <v>47224</v>
          </cell>
          <cell r="AR84">
            <v>29243</v>
          </cell>
          <cell r="AS84">
            <v>22992</v>
          </cell>
          <cell r="AT84">
            <v>14330</v>
          </cell>
          <cell r="AU84">
            <v>65993</v>
          </cell>
          <cell r="AV84">
            <v>132558</v>
          </cell>
          <cell r="AX84">
            <v>7013</v>
          </cell>
          <cell r="AY84">
            <v>17073</v>
          </cell>
          <cell r="AZ84">
            <v>213</v>
          </cell>
          <cell r="BA84">
            <v>18312</v>
          </cell>
          <cell r="BB84">
            <v>42611</v>
          </cell>
          <cell r="BD84">
            <v>172</v>
          </cell>
          <cell r="BE84">
            <v>75091</v>
          </cell>
          <cell r="BF84">
            <v>3912</v>
          </cell>
          <cell r="BG84">
            <v>6370</v>
          </cell>
          <cell r="BH84">
            <v>85545</v>
          </cell>
          <cell r="BJ84">
            <v>2500</v>
          </cell>
          <cell r="BK84">
            <v>2500</v>
          </cell>
          <cell r="BL84">
            <v>2500</v>
          </cell>
          <cell r="BM84">
            <v>2500</v>
          </cell>
          <cell r="BN84">
            <v>10000</v>
          </cell>
          <cell r="BP84">
            <v>2500</v>
          </cell>
          <cell r="BQ84">
            <v>2500</v>
          </cell>
          <cell r="BR84">
            <v>2500</v>
          </cell>
          <cell r="BS84">
            <v>2500</v>
          </cell>
          <cell r="BT84">
            <v>10000</v>
          </cell>
          <cell r="BV84">
            <v>2500</v>
          </cell>
          <cell r="BW84">
            <v>2500</v>
          </cell>
          <cell r="BX84">
            <v>2500</v>
          </cell>
          <cell r="BY84">
            <v>2500</v>
          </cell>
          <cell r="BZ84">
            <v>10000</v>
          </cell>
          <cell r="CB84">
            <v>2500</v>
          </cell>
          <cell r="CC84">
            <v>2500</v>
          </cell>
          <cell r="CD84">
            <v>2500</v>
          </cell>
          <cell r="CE84">
            <v>2500</v>
          </cell>
          <cell r="CF84">
            <v>10000</v>
          </cell>
          <cell r="CH84">
            <v>2500</v>
          </cell>
          <cell r="CI84">
            <v>2500</v>
          </cell>
          <cell r="CJ84">
            <v>2500</v>
          </cell>
          <cell r="CK84">
            <v>2500</v>
          </cell>
          <cell r="CL84">
            <v>10000</v>
          </cell>
          <cell r="CT84" t="str">
            <v>mstag:gainsLossesFromSaleOfOperatingAssetsOneTimeIncomeStatement</v>
          </cell>
          <cell r="CU84">
            <v>3</v>
          </cell>
          <cell r="CV84" t="str">
            <v>ISO4217:USD</v>
          </cell>
          <cell r="CW84" t="b">
            <v>0</v>
          </cell>
          <cell r="CX84" t="b">
            <v>0</v>
          </cell>
        </row>
        <row r="85">
          <cell r="A85" t="str">
            <v>Unconsolidated</v>
          </cell>
          <cell r="AF85">
            <v>0</v>
          </cell>
          <cell r="AG85">
            <v>0</v>
          </cell>
          <cell r="AH85">
            <v>0</v>
          </cell>
          <cell r="AI85">
            <v>0</v>
          </cell>
          <cell r="AJ85">
            <v>0</v>
          </cell>
          <cell r="AL85">
            <v>0</v>
          </cell>
          <cell r="AM85">
            <v>0</v>
          </cell>
          <cell r="AN85">
            <v>0</v>
          </cell>
          <cell r="AO85">
            <v>0</v>
          </cell>
          <cell r="AP85">
            <v>0</v>
          </cell>
          <cell r="AR85">
            <v>0</v>
          </cell>
          <cell r="AS85">
            <v>0</v>
          </cell>
          <cell r="AT85">
            <v>0</v>
          </cell>
          <cell r="AU85">
            <v>0</v>
          </cell>
          <cell r="AV85">
            <v>0</v>
          </cell>
          <cell r="AX85">
            <v>0</v>
          </cell>
          <cell r="AY85">
            <v>7700</v>
          </cell>
          <cell r="AZ85">
            <v>0</v>
          </cell>
          <cell r="BA85">
            <v>7500</v>
          </cell>
          <cell r="BB85">
            <v>15200</v>
          </cell>
          <cell r="BD85">
            <v>0</v>
          </cell>
          <cell r="BE85">
            <v>0</v>
          </cell>
          <cell r="BF85">
            <v>0</v>
          </cell>
          <cell r="BG85">
            <v>0</v>
          </cell>
          <cell r="BH85">
            <v>0</v>
          </cell>
          <cell r="CT85" t="str">
            <v>mstag:gainsLossesFromSaleOfOperatingAssetsOneTimeIncomeStatement</v>
          </cell>
          <cell r="CU85">
            <v>3</v>
          </cell>
          <cell r="CV85" t="str">
            <v>ISO4217:USD</v>
          </cell>
          <cell r="CW85" t="b">
            <v>0</v>
          </cell>
          <cell r="CX85" t="b">
            <v>0</v>
          </cell>
        </row>
        <row r="87">
          <cell r="A87" t="str">
            <v>Add: Other Adjustments to Reconcile Net Income</v>
          </cell>
          <cell r="AF87">
            <v>11702</v>
          </cell>
          <cell r="AG87">
            <v>10308</v>
          </cell>
          <cell r="AH87">
            <v>10471</v>
          </cell>
          <cell r="AI87">
            <v>9290</v>
          </cell>
          <cell r="AJ87">
            <v>41771</v>
          </cell>
          <cell r="AL87">
            <v>9456</v>
          </cell>
          <cell r="AM87">
            <v>9744</v>
          </cell>
          <cell r="AN87">
            <v>10963</v>
          </cell>
          <cell r="AO87">
            <v>10348</v>
          </cell>
          <cell r="AP87">
            <v>40511</v>
          </cell>
          <cell r="AR87">
            <v>11737</v>
          </cell>
          <cell r="AS87">
            <v>9232</v>
          </cell>
          <cell r="AT87">
            <v>9204</v>
          </cell>
          <cell r="AU87">
            <v>9641</v>
          </cell>
          <cell r="AV87">
            <v>39814</v>
          </cell>
          <cell r="AX87">
            <v>6136</v>
          </cell>
          <cell r="AY87">
            <v>6489</v>
          </cell>
          <cell r="AZ87">
            <v>7324</v>
          </cell>
          <cell r="BA87">
            <v>8754</v>
          </cell>
          <cell r="BB87">
            <v>28703</v>
          </cell>
          <cell r="BD87">
            <v>4500</v>
          </cell>
          <cell r="BE87">
            <v>4701</v>
          </cell>
          <cell r="BF87">
            <v>3807</v>
          </cell>
          <cell r="BG87">
            <v>3599</v>
          </cell>
          <cell r="BH87">
            <v>16607</v>
          </cell>
          <cell r="BJ87">
            <v>3599</v>
          </cell>
          <cell r="BK87">
            <v>3599</v>
          </cell>
          <cell r="BL87">
            <v>3599</v>
          </cell>
          <cell r="BM87">
            <v>3599</v>
          </cell>
          <cell r="BN87">
            <v>14396</v>
          </cell>
          <cell r="BP87">
            <v>3599</v>
          </cell>
          <cell r="BQ87">
            <v>3599</v>
          </cell>
          <cell r="BR87">
            <v>3599</v>
          </cell>
          <cell r="BS87">
            <v>3599</v>
          </cell>
          <cell r="BT87">
            <v>14396</v>
          </cell>
          <cell r="BV87">
            <v>3599</v>
          </cell>
          <cell r="BW87">
            <v>3599</v>
          </cell>
          <cell r="BX87">
            <v>3599</v>
          </cell>
          <cell r="BY87">
            <v>3599</v>
          </cell>
          <cell r="BZ87">
            <v>14396</v>
          </cell>
          <cell r="CB87">
            <v>3599</v>
          </cell>
          <cell r="CC87">
            <v>3599</v>
          </cell>
          <cell r="CD87">
            <v>3599</v>
          </cell>
          <cell r="CE87">
            <v>3599</v>
          </cell>
          <cell r="CF87">
            <v>14396</v>
          </cell>
          <cell r="CH87">
            <v>3599</v>
          </cell>
          <cell r="CI87">
            <v>3599</v>
          </cell>
          <cell r="CJ87">
            <v>3599</v>
          </cell>
          <cell r="CK87">
            <v>3599</v>
          </cell>
          <cell r="CL87">
            <v>14396</v>
          </cell>
          <cell r="CT87" t="str">
            <v>mstag:incomeLossFromExtraordinaryItemsPretax</v>
          </cell>
          <cell r="CU87">
            <v>3</v>
          </cell>
          <cell r="CW87" t="b">
            <v>0</v>
          </cell>
        </row>
        <row r="89">
          <cell r="A89" t="str">
            <v>Less: Minority Interests</v>
          </cell>
        </row>
        <row r="90">
          <cell r="A90" t="str">
            <v xml:space="preserve">   Minority Interest - Consolidated JV's</v>
          </cell>
          <cell r="AF90">
            <v>11183</v>
          </cell>
          <cell r="AG90">
            <v>9834</v>
          </cell>
          <cell r="AH90">
            <v>9809</v>
          </cell>
          <cell r="AI90">
            <v>8525</v>
          </cell>
          <cell r="AJ90">
            <v>39351</v>
          </cell>
          <cell r="AL90">
            <v>9229</v>
          </cell>
          <cell r="AM90">
            <v>9379</v>
          </cell>
          <cell r="AN90">
            <v>10302</v>
          </cell>
          <cell r="AO90">
            <v>10000</v>
          </cell>
          <cell r="AP90">
            <v>38910</v>
          </cell>
          <cell r="AR90">
            <v>11284</v>
          </cell>
          <cell r="AS90">
            <v>10860</v>
          </cell>
          <cell r="AT90">
            <v>10902</v>
          </cell>
          <cell r="AU90">
            <v>9349</v>
          </cell>
          <cell r="AV90">
            <v>42395</v>
          </cell>
          <cell r="AX90">
            <v>8825</v>
          </cell>
          <cell r="AY90">
            <v>9060</v>
          </cell>
          <cell r="AZ90">
            <v>12317</v>
          </cell>
          <cell r="BA90">
            <v>7696</v>
          </cell>
          <cell r="BB90">
            <v>37898</v>
          </cell>
          <cell r="BD90">
            <v>7193</v>
          </cell>
          <cell r="BE90">
            <v>8067</v>
          </cell>
          <cell r="BF90">
            <v>5889</v>
          </cell>
          <cell r="BG90">
            <v>6599</v>
          </cell>
          <cell r="BH90">
            <v>27748</v>
          </cell>
          <cell r="BJ90">
            <v>6982.4640599800623</v>
          </cell>
          <cell r="BK90">
            <v>7336.6455714479089</v>
          </cell>
          <cell r="BL90">
            <v>7576.826986952954</v>
          </cell>
          <cell r="BM90">
            <v>7819.3581305774151</v>
          </cell>
          <cell r="BN90">
            <v>29715.294748958338</v>
          </cell>
          <cell r="BP90">
            <v>8203.7932318233179</v>
          </cell>
          <cell r="BQ90">
            <v>8572.5281773332663</v>
          </cell>
          <cell r="BR90">
            <v>8827.5303944835396</v>
          </cell>
          <cell r="BS90">
            <v>9083.8409063553063</v>
          </cell>
          <cell r="BT90">
            <v>34687.692709995426</v>
          </cell>
          <cell r="BV90">
            <v>9348.5267773322157</v>
          </cell>
          <cell r="BW90">
            <v>9605.1228137017479</v>
          </cell>
          <cell r="BX90">
            <v>9862.4008786825598</v>
          </cell>
          <cell r="BY90">
            <v>10120.362677346175</v>
          </cell>
          <cell r="BZ90">
            <v>38936.413147062696</v>
          </cell>
          <cell r="CB90">
            <v>10411.948387268092</v>
          </cell>
          <cell r="CC90">
            <v>10688.341334300379</v>
          </cell>
          <cell r="CD90">
            <v>10965.470657897486</v>
          </cell>
          <cell r="CE90">
            <v>11243.338199000824</v>
          </cell>
          <cell r="CF90">
            <v>43309.098578466786</v>
          </cell>
          <cell r="CH90">
            <v>11457.436131656124</v>
          </cell>
          <cell r="CI90">
            <v>11731.038280471696</v>
          </cell>
          <cell r="CJ90">
            <v>12005.388241677245</v>
          </cell>
          <cell r="CK90">
            <v>12280.487884803741</v>
          </cell>
          <cell r="CL90">
            <v>47474.350538608807</v>
          </cell>
          <cell r="CT90" t="str">
            <v>mstag:incomeLossFromExtraordinaryItemsPretax</v>
          </cell>
          <cell r="CU90">
            <v>3</v>
          </cell>
          <cell r="CW90" t="b">
            <v>1</v>
          </cell>
        </row>
        <row r="91">
          <cell r="A91" t="str">
            <v xml:space="preserve">   Limited Partnership unitholders' min. int in income</v>
          </cell>
          <cell r="AF91">
            <v>0</v>
          </cell>
          <cell r="AG91">
            <v>0</v>
          </cell>
          <cell r="AH91">
            <v>740</v>
          </cell>
          <cell r="AI91">
            <v>1076</v>
          </cell>
          <cell r="AJ91">
            <v>1816</v>
          </cell>
          <cell r="AL91">
            <v>955</v>
          </cell>
          <cell r="AM91">
            <v>777</v>
          </cell>
          <cell r="AN91">
            <v>1012</v>
          </cell>
          <cell r="AO91">
            <v>970</v>
          </cell>
          <cell r="AP91">
            <v>3714</v>
          </cell>
          <cell r="AR91">
            <v>352</v>
          </cell>
          <cell r="AS91">
            <v>739</v>
          </cell>
          <cell r="AT91">
            <v>636</v>
          </cell>
          <cell r="AU91">
            <v>2054</v>
          </cell>
          <cell r="AV91">
            <v>3781</v>
          </cell>
          <cell r="AX91">
            <v>805</v>
          </cell>
          <cell r="AY91">
            <v>495</v>
          </cell>
          <cell r="AZ91">
            <v>108</v>
          </cell>
          <cell r="BA91">
            <v>1587</v>
          </cell>
          <cell r="BB91">
            <v>2995</v>
          </cell>
          <cell r="BD91">
            <v>494</v>
          </cell>
          <cell r="BE91">
            <v>4001</v>
          </cell>
          <cell r="BF91">
            <v>614</v>
          </cell>
          <cell r="BG91">
            <v>33</v>
          </cell>
          <cell r="BH91">
            <v>5142</v>
          </cell>
          <cell r="BJ91">
            <v>544.75808163484953</v>
          </cell>
          <cell r="BK91">
            <v>5253.9109207033562</v>
          </cell>
          <cell r="BL91">
            <v>680.06701317356533</v>
          </cell>
          <cell r="BM91">
            <v>793.95812946312412</v>
          </cell>
          <cell r="BN91">
            <v>7272.6941449748947</v>
          </cell>
          <cell r="BP91">
            <v>629.33213109398184</v>
          </cell>
          <cell r="BQ91">
            <v>5010.8812012457538</v>
          </cell>
          <cell r="BR91">
            <v>724.64693736015477</v>
          </cell>
          <cell r="BS91">
            <v>952.88351175956484</v>
          </cell>
          <cell r="BT91">
            <v>7317.743781459455</v>
          </cell>
          <cell r="BV91">
            <v>713.11607461006156</v>
          </cell>
          <cell r="BW91">
            <v>5506.1928867056422</v>
          </cell>
          <cell r="BX91">
            <v>783.17542316200991</v>
          </cell>
          <cell r="BY91">
            <v>895.54096359708922</v>
          </cell>
          <cell r="BZ91">
            <v>7898.0253480748024</v>
          </cell>
          <cell r="CB91">
            <v>781.86681758156578</v>
          </cell>
          <cell r="CC91">
            <v>5967.9680714172237</v>
          </cell>
          <cell r="CD91">
            <v>841.36674811652517</v>
          </cell>
          <cell r="CE91">
            <v>955.87081967052518</v>
          </cell>
          <cell r="CF91">
            <v>8547.0724567858397</v>
          </cell>
          <cell r="CH91">
            <v>853.42533883274928</v>
          </cell>
          <cell r="CI91">
            <v>6440.030478490783</v>
          </cell>
          <cell r="CJ91">
            <v>900.01853494441923</v>
          </cell>
          <cell r="CK91">
            <v>1015.5179057205082</v>
          </cell>
          <cell r="CL91">
            <v>9208.9922579884606</v>
          </cell>
          <cell r="CT91" t="str">
            <v>mstag:shareOfNetIncomeToCommonUnitholdersOfOperatingPartnership</v>
          </cell>
          <cell r="CU91">
            <v>3</v>
          </cell>
          <cell r="CW91" t="b">
            <v>0</v>
          </cell>
        </row>
        <row r="92">
          <cell r="A92" t="str">
            <v xml:space="preserve">   Limited Partnership unitholders' min. int (Dev Profits)</v>
          </cell>
          <cell r="AF92">
            <v>0</v>
          </cell>
          <cell r="AG92">
            <v>0</v>
          </cell>
          <cell r="AH92">
            <v>0</v>
          </cell>
          <cell r="AI92">
            <v>229</v>
          </cell>
          <cell r="AJ92">
            <v>229</v>
          </cell>
          <cell r="AL92">
            <v>0</v>
          </cell>
          <cell r="AM92">
            <v>143</v>
          </cell>
          <cell r="AN92">
            <v>79</v>
          </cell>
          <cell r="AO92">
            <v>213</v>
          </cell>
          <cell r="AP92">
            <v>435</v>
          </cell>
          <cell r="AR92">
            <v>458</v>
          </cell>
          <cell r="AS92">
            <v>94</v>
          </cell>
          <cell r="AT92">
            <v>16</v>
          </cell>
          <cell r="AU92">
            <v>1704</v>
          </cell>
          <cell r="AV92">
            <v>2272</v>
          </cell>
          <cell r="AX92">
            <v>32</v>
          </cell>
          <cell r="AY92">
            <v>2208</v>
          </cell>
          <cell r="AZ92">
            <v>1086</v>
          </cell>
          <cell r="BA92">
            <v>1653</v>
          </cell>
          <cell r="BB92">
            <v>4979</v>
          </cell>
          <cell r="BD92">
            <v>583</v>
          </cell>
          <cell r="BE92">
            <v>1251</v>
          </cell>
          <cell r="BF92">
            <v>2115</v>
          </cell>
          <cell r="BG92">
            <v>3384</v>
          </cell>
          <cell r="BH92">
            <v>7333</v>
          </cell>
          <cell r="BJ92">
            <v>661.45396928234948</v>
          </cell>
          <cell r="BK92">
            <v>1456.9385000059026</v>
          </cell>
          <cell r="BL92">
            <v>2326.3830878675903</v>
          </cell>
          <cell r="BM92">
            <v>3162.3551731099219</v>
          </cell>
          <cell r="BN92">
            <v>7607.1307302657642</v>
          </cell>
          <cell r="BP92">
            <v>713.61940364165105</v>
          </cell>
          <cell r="BQ92">
            <v>1440.192373565968</v>
          </cell>
          <cell r="BR92">
            <v>2234.3183584078088</v>
          </cell>
          <cell r="BS92">
            <v>2955.5857964065813</v>
          </cell>
          <cell r="BT92">
            <v>7343.7159320220089</v>
          </cell>
          <cell r="BV92">
            <v>823.08554424930219</v>
          </cell>
          <cell r="BW92">
            <v>1549.6585141736191</v>
          </cell>
          <cell r="BX92">
            <v>2343.7844990154599</v>
          </cell>
          <cell r="BY92">
            <v>3065.051937014232</v>
          </cell>
          <cell r="BZ92">
            <v>7781.5804944526135</v>
          </cell>
          <cell r="CB92">
            <v>932.55168485695333</v>
          </cell>
          <cell r="CC92">
            <v>1659.1246547812702</v>
          </cell>
          <cell r="CD92">
            <v>2453.2506396231111</v>
          </cell>
          <cell r="CE92">
            <v>3174.5180776218831</v>
          </cell>
          <cell r="CF92">
            <v>8219.4450568832181</v>
          </cell>
          <cell r="CH92">
            <v>1042.0178254646046</v>
          </cell>
          <cell r="CI92">
            <v>1768.5907953889214</v>
          </cell>
          <cell r="CJ92">
            <v>2562.7167802307622</v>
          </cell>
          <cell r="CK92">
            <v>3283.9842182295347</v>
          </cell>
          <cell r="CL92">
            <v>8657.3096193138226</v>
          </cell>
          <cell r="CT92" t="str">
            <v>mstag:shareOfNetIncomeToCommonUnitholdersOfOperatingPartnership</v>
          </cell>
          <cell r="CU92">
            <v>3</v>
          </cell>
          <cell r="CW92" t="b">
            <v>0</v>
          </cell>
        </row>
        <row r="93">
          <cell r="A93" t="str">
            <v xml:space="preserve">   Minority Interest in Disc. Ops</v>
          </cell>
          <cell r="AF93">
            <v>0</v>
          </cell>
          <cell r="AG93">
            <v>0</v>
          </cell>
          <cell r="AH93">
            <v>883</v>
          </cell>
          <cell r="AI93">
            <v>43</v>
          </cell>
          <cell r="AJ93">
            <v>926</v>
          </cell>
          <cell r="AL93">
            <v>-16</v>
          </cell>
          <cell r="AM93">
            <v>558</v>
          </cell>
          <cell r="AN93">
            <v>2218</v>
          </cell>
          <cell r="AO93">
            <v>678</v>
          </cell>
          <cell r="AP93">
            <v>3438</v>
          </cell>
          <cell r="AR93">
            <v>394</v>
          </cell>
          <cell r="AS93">
            <v>168</v>
          </cell>
          <cell r="AT93">
            <v>22</v>
          </cell>
          <cell r="AU93">
            <v>1711</v>
          </cell>
          <cell r="AV93">
            <v>2295</v>
          </cell>
          <cell r="AX93">
            <v>-248</v>
          </cell>
          <cell r="AY93">
            <v>-110</v>
          </cell>
          <cell r="AZ93">
            <v>-18</v>
          </cell>
          <cell r="BA93">
            <v>239</v>
          </cell>
          <cell r="BB93">
            <v>-137</v>
          </cell>
          <cell r="BD93">
            <v>-61</v>
          </cell>
          <cell r="BE93">
            <v>25</v>
          </cell>
          <cell r="BF93">
            <v>107</v>
          </cell>
          <cell r="BG93">
            <v>94</v>
          </cell>
          <cell r="BH93">
            <v>165</v>
          </cell>
          <cell r="BJ93">
            <v>0</v>
          </cell>
          <cell r="BK93">
            <v>0</v>
          </cell>
          <cell r="BL93">
            <v>0</v>
          </cell>
          <cell r="BM93">
            <v>0</v>
          </cell>
          <cell r="BN93">
            <v>0</v>
          </cell>
          <cell r="BP93">
            <v>0</v>
          </cell>
          <cell r="BQ93">
            <v>0</v>
          </cell>
          <cell r="BR93">
            <v>0</v>
          </cell>
          <cell r="BS93">
            <v>0</v>
          </cell>
          <cell r="BT93">
            <v>0</v>
          </cell>
          <cell r="BV93">
            <v>0</v>
          </cell>
          <cell r="BW93">
            <v>0</v>
          </cell>
          <cell r="BX93">
            <v>0</v>
          </cell>
          <cell r="BY93">
            <v>0</v>
          </cell>
          <cell r="BZ93">
            <v>0</v>
          </cell>
          <cell r="CB93">
            <v>0</v>
          </cell>
          <cell r="CC93">
            <v>0</v>
          </cell>
          <cell r="CD93">
            <v>0</v>
          </cell>
          <cell r="CE93">
            <v>0</v>
          </cell>
          <cell r="CF93">
            <v>0</v>
          </cell>
          <cell r="CH93">
            <v>0</v>
          </cell>
          <cell r="CI93">
            <v>0</v>
          </cell>
          <cell r="CJ93">
            <v>0</v>
          </cell>
          <cell r="CK93">
            <v>0</v>
          </cell>
          <cell r="CL93">
            <v>0</v>
          </cell>
          <cell r="CT93" t="str">
            <v>mstag:shareOfNetIncomeToCommonUnitholdersOfOperatingPartnership</v>
          </cell>
          <cell r="CU93">
            <v>3</v>
          </cell>
          <cell r="CW93" t="b">
            <v>0</v>
          </cell>
        </row>
        <row r="94">
          <cell r="A94" t="str">
            <v>Net Income</v>
          </cell>
          <cell r="B94">
            <v>-11786</v>
          </cell>
          <cell r="C94">
            <v>-13516</v>
          </cell>
          <cell r="D94">
            <v>-14750</v>
          </cell>
          <cell r="E94">
            <v>-17412</v>
          </cell>
          <cell r="F94">
            <v>-57464</v>
          </cell>
          <cell r="H94">
            <v>-18424</v>
          </cell>
          <cell r="I94">
            <v>-15178</v>
          </cell>
          <cell r="J94">
            <v>-15693</v>
          </cell>
          <cell r="K94">
            <v>-18210</v>
          </cell>
          <cell r="L94">
            <v>-67505</v>
          </cell>
          <cell r="N94">
            <v>-19203</v>
          </cell>
          <cell r="O94">
            <v>-22215</v>
          </cell>
          <cell r="P94">
            <v>-17497</v>
          </cell>
          <cell r="Q94">
            <v>-30299</v>
          </cell>
          <cell r="R94">
            <v>-89214</v>
          </cell>
          <cell r="T94">
            <v>-10087</v>
          </cell>
          <cell r="U94">
            <v>-9531</v>
          </cell>
          <cell r="V94">
            <v>-30188</v>
          </cell>
          <cell r="W94">
            <v>-38349</v>
          </cell>
          <cell r="X94">
            <v>-88155</v>
          </cell>
          <cell r="Z94">
            <v>-29963</v>
          </cell>
          <cell r="AA94">
            <v>-29204</v>
          </cell>
          <cell r="AB94">
            <v>-30210</v>
          </cell>
          <cell r="AC94">
            <v>-38590</v>
          </cell>
          <cell r="AD94">
            <v>-120949</v>
          </cell>
          <cell r="AF94">
            <v>57255</v>
          </cell>
          <cell r="AG94">
            <v>10740</v>
          </cell>
          <cell r="AH94">
            <v>21812</v>
          </cell>
          <cell r="AI94">
            <v>26609</v>
          </cell>
          <cell r="AJ94">
            <v>116416</v>
          </cell>
          <cell r="AL94">
            <v>16037</v>
          </cell>
          <cell r="AM94">
            <v>18420</v>
          </cell>
          <cell r="AN94">
            <v>30266.1875</v>
          </cell>
          <cell r="AO94">
            <v>56152</v>
          </cell>
          <cell r="AP94">
            <v>120875.1875</v>
          </cell>
          <cell r="AR94">
            <v>44984.1875</v>
          </cell>
          <cell r="AS94">
            <v>39006.1875</v>
          </cell>
          <cell r="AT94">
            <v>27285</v>
          </cell>
          <cell r="AU94">
            <v>139144</v>
          </cell>
          <cell r="AV94">
            <v>244978.375</v>
          </cell>
          <cell r="AX94">
            <v>23384</v>
          </cell>
          <cell r="AY94">
            <v>72335</v>
          </cell>
          <cell r="AZ94">
            <v>29963</v>
          </cell>
          <cell r="BA94">
            <v>83738</v>
          </cell>
          <cell r="BB94">
            <v>209420</v>
          </cell>
          <cell r="BD94">
            <v>21730</v>
          </cell>
          <cell r="BE94">
            <v>111390</v>
          </cell>
          <cell r="BF94">
            <v>69155</v>
          </cell>
          <cell r="BG94">
            <v>93249</v>
          </cell>
          <cell r="BH94">
            <v>295524</v>
          </cell>
          <cell r="BJ94">
            <v>29059.151414624954</v>
          </cell>
          <cell r="BK94">
            <v>66907.238781463646</v>
          </cell>
          <cell r="BL94">
            <v>65214.274244314576</v>
          </cell>
          <cell r="BM94">
            <v>85123.316673656227</v>
          </cell>
          <cell r="BN94">
            <v>246303.98111405948</v>
          </cell>
          <cell r="BP94">
            <v>29291.40212980879</v>
          </cell>
          <cell r="BQ94">
            <v>44666.209134247809</v>
          </cell>
          <cell r="BR94">
            <v>59559.316063212085</v>
          </cell>
          <cell r="BS94">
            <v>104684.52371102349</v>
          </cell>
          <cell r="BT94">
            <v>238201.45103829203</v>
          </cell>
          <cell r="BV94">
            <v>31036.53490437839</v>
          </cell>
          <cell r="BW94">
            <v>45200.260121716645</v>
          </cell>
          <cell r="BX94">
            <v>59913.664445204282</v>
          </cell>
          <cell r="BY94">
            <v>80588.540458804724</v>
          </cell>
          <cell r="BZ94">
            <v>216738.99993010398</v>
          </cell>
          <cell r="CB94">
            <v>31994.969065725469</v>
          </cell>
          <cell r="CC94">
            <v>45840.04084644933</v>
          </cell>
          <cell r="CD94">
            <v>60424.015266090442</v>
          </cell>
          <cell r="CE94">
            <v>81511.044471008921</v>
          </cell>
          <cell r="CF94">
            <v>219770.06964927405</v>
          </cell>
          <cell r="CH94">
            <v>36438.347021019857</v>
          </cell>
          <cell r="CI94">
            <v>50003.828823825053</v>
          </cell>
          <cell r="CJ94">
            <v>64392.895074459171</v>
          </cell>
          <cell r="CK94">
            <v>85761.464841354507</v>
          </cell>
          <cell r="CL94">
            <v>236596.53576065888</v>
          </cell>
        </row>
        <row r="103">
          <cell r="A103" t="str">
            <v>Other Data</v>
          </cell>
        </row>
        <row r="105">
          <cell r="A105" t="str">
            <v>Diluted GAAP EPS before gains</v>
          </cell>
          <cell r="B105" t="e">
            <v>#REF!</v>
          </cell>
          <cell r="C105" t="e">
            <v>#REF!</v>
          </cell>
          <cell r="D105" t="e">
            <v>#REF!</v>
          </cell>
          <cell r="E105" t="e">
            <v>#REF!</v>
          </cell>
          <cell r="F105" t="e">
            <v>#REF!</v>
          </cell>
          <cell r="H105" t="e">
            <v>#REF!</v>
          </cell>
          <cell r="I105" t="e">
            <v>#REF!</v>
          </cell>
          <cell r="J105" t="e">
            <v>#REF!</v>
          </cell>
          <cell r="K105" t="e">
            <v>#REF!</v>
          </cell>
          <cell r="L105" t="e">
            <v>#REF!</v>
          </cell>
          <cell r="N105" t="e">
            <v>#REF!</v>
          </cell>
          <cell r="O105" t="e">
            <v>#REF!</v>
          </cell>
          <cell r="P105" t="e">
            <v>#REF!</v>
          </cell>
          <cell r="Q105" t="e">
            <v>#REF!</v>
          </cell>
          <cell r="R105" t="e">
            <v>#REF!</v>
          </cell>
          <cell r="T105" t="e">
            <v>#REF!</v>
          </cell>
          <cell r="U105" t="e">
            <v>#REF!</v>
          </cell>
          <cell r="V105" t="e">
            <v>#REF!</v>
          </cell>
          <cell r="W105" t="e">
            <v>#REF!</v>
          </cell>
          <cell r="X105" t="e">
            <v>#REF!</v>
          </cell>
          <cell r="Z105" t="e">
            <v>#REF!</v>
          </cell>
          <cell r="AA105" t="e">
            <v>#REF!</v>
          </cell>
          <cell r="AB105" t="e">
            <v>#REF!</v>
          </cell>
          <cell r="AC105" t="e">
            <v>#REF!</v>
          </cell>
          <cell r="AD105" t="e">
            <v>#REF!</v>
          </cell>
          <cell r="AF105" t="e">
            <v>#REF!</v>
          </cell>
          <cell r="AG105" t="e">
            <v>#REF!</v>
          </cell>
          <cell r="AH105" t="e">
            <v>#REF!</v>
          </cell>
          <cell r="AI105" t="e">
            <v>#REF!</v>
          </cell>
          <cell r="AJ105" t="e">
            <v>#REF!</v>
          </cell>
          <cell r="AL105" t="e">
            <v>#REF!</v>
          </cell>
          <cell r="AM105" t="e">
            <v>#REF!</v>
          </cell>
          <cell r="AN105" t="e">
            <v>#REF!</v>
          </cell>
          <cell r="AO105" t="e">
            <v>#REF!</v>
          </cell>
          <cell r="AP105" t="e">
            <v>#REF!</v>
          </cell>
          <cell r="AR105" t="e">
            <v>#REF!</v>
          </cell>
          <cell r="AS105" t="e">
            <v>#REF!</v>
          </cell>
          <cell r="AT105" t="e">
            <v>#REF!</v>
          </cell>
          <cell r="AU105" t="e">
            <v>#REF!</v>
          </cell>
          <cell r="AV105" t="e">
            <v>#REF!</v>
          </cell>
          <cell r="AX105" t="e">
            <v>#REF!</v>
          </cell>
          <cell r="AY105" t="e">
            <v>#REF!</v>
          </cell>
          <cell r="AZ105" t="e">
            <v>#REF!</v>
          </cell>
          <cell r="BA105" t="e">
            <v>#REF!</v>
          </cell>
          <cell r="BB105" t="e">
            <v>#REF!</v>
          </cell>
          <cell r="BD105" t="e">
            <v>#REF!</v>
          </cell>
          <cell r="BE105" t="e">
            <v>#REF!</v>
          </cell>
          <cell r="BF105" t="e">
            <v>#REF!</v>
          </cell>
          <cell r="BG105" t="e">
            <v>#REF!</v>
          </cell>
          <cell r="BH105" t="e">
            <v>#REF!</v>
          </cell>
          <cell r="BJ105" t="e">
            <v>#REF!</v>
          </cell>
          <cell r="BK105" t="e">
            <v>#REF!</v>
          </cell>
          <cell r="BL105" t="e">
            <v>#REF!</v>
          </cell>
          <cell r="BM105" t="e">
            <v>#REF!</v>
          </cell>
          <cell r="BN105" t="e">
            <v>#REF!</v>
          </cell>
          <cell r="BP105" t="e">
            <v>#REF!</v>
          </cell>
          <cell r="BQ105" t="e">
            <v>#REF!</v>
          </cell>
          <cell r="BR105" t="e">
            <v>#REF!</v>
          </cell>
          <cell r="BS105" t="e">
            <v>#REF!</v>
          </cell>
          <cell r="BT105" t="e">
            <v>#REF!</v>
          </cell>
          <cell r="BV105" t="e">
            <v>#REF!</v>
          </cell>
          <cell r="BW105" t="e">
            <v>#REF!</v>
          </cell>
          <cell r="BX105" t="e">
            <v>#REF!</v>
          </cell>
          <cell r="BY105" t="e">
            <v>#REF!</v>
          </cell>
          <cell r="BZ105" t="e">
            <v>#REF!</v>
          </cell>
          <cell r="CB105" t="e">
            <v>#REF!</v>
          </cell>
          <cell r="CC105" t="e">
            <v>#REF!</v>
          </cell>
          <cell r="CD105" t="e">
            <v>#REF!</v>
          </cell>
          <cell r="CE105" t="e">
            <v>#REF!</v>
          </cell>
          <cell r="CF105" t="e">
            <v>#REF!</v>
          </cell>
          <cell r="CH105" t="e">
            <v>#REF!</v>
          </cell>
          <cell r="CI105" t="e">
            <v>#REF!</v>
          </cell>
          <cell r="CJ105" t="e">
            <v>#REF!</v>
          </cell>
          <cell r="CK105" t="e">
            <v>#REF!</v>
          </cell>
          <cell r="CL105" t="e">
            <v>#REF!</v>
          </cell>
        </row>
        <row r="106">
          <cell r="A106" t="str">
            <v>Diluted EPS before extraordinary</v>
          </cell>
          <cell r="B106" t="e">
            <v>#REF!</v>
          </cell>
          <cell r="C106" t="e">
            <v>#REF!</v>
          </cell>
          <cell r="D106" t="e">
            <v>#REF!</v>
          </cell>
          <cell r="E106" t="e">
            <v>#REF!</v>
          </cell>
          <cell r="F106" t="e">
            <v>#REF!</v>
          </cell>
          <cell r="H106" t="e">
            <v>#REF!</v>
          </cell>
          <cell r="I106" t="e">
            <v>#REF!</v>
          </cell>
          <cell r="J106" t="e">
            <v>#REF!</v>
          </cell>
          <cell r="K106" t="e">
            <v>#REF!</v>
          </cell>
          <cell r="L106" t="e">
            <v>#REF!</v>
          </cell>
          <cell r="N106" t="e">
            <v>#REF!</v>
          </cell>
          <cell r="O106" t="e">
            <v>#REF!</v>
          </cell>
          <cell r="P106" t="e">
            <v>#REF!</v>
          </cell>
          <cell r="Q106" t="e">
            <v>#REF!</v>
          </cell>
          <cell r="R106" t="e">
            <v>#REF!</v>
          </cell>
          <cell r="T106" t="e">
            <v>#REF!</v>
          </cell>
          <cell r="U106" t="e">
            <v>#REF!</v>
          </cell>
          <cell r="V106" t="e">
            <v>#REF!</v>
          </cell>
          <cell r="W106" t="e">
            <v>#REF!</v>
          </cell>
          <cell r="X106" t="e">
            <v>#REF!</v>
          </cell>
          <cell r="Z106" t="e">
            <v>#REF!</v>
          </cell>
          <cell r="AA106" t="e">
            <v>#REF!</v>
          </cell>
          <cell r="AB106" t="e">
            <v>#REF!</v>
          </cell>
          <cell r="AC106" t="e">
            <v>#REF!</v>
          </cell>
          <cell r="AD106" t="e">
            <v>#REF!</v>
          </cell>
          <cell r="AF106" t="e">
            <v>#REF!</v>
          </cell>
          <cell r="AG106" t="e">
            <v>#REF!</v>
          </cell>
          <cell r="AH106" t="e">
            <v>#REF!</v>
          </cell>
          <cell r="AI106" t="e">
            <v>#REF!</v>
          </cell>
          <cell r="AJ106" t="e">
            <v>#REF!</v>
          </cell>
          <cell r="AL106" t="e">
            <v>#REF!</v>
          </cell>
          <cell r="AM106" t="e">
            <v>#REF!</v>
          </cell>
          <cell r="AN106" t="e">
            <v>#REF!</v>
          </cell>
          <cell r="AO106" t="e">
            <v>#REF!</v>
          </cell>
          <cell r="AP106" t="e">
            <v>#REF!</v>
          </cell>
          <cell r="AR106" t="e">
            <v>#REF!</v>
          </cell>
          <cell r="AS106" t="e">
            <v>#REF!</v>
          </cell>
          <cell r="AT106" t="e">
            <v>#REF!</v>
          </cell>
          <cell r="AU106" t="e">
            <v>#REF!</v>
          </cell>
          <cell r="AV106" t="e">
            <v>#REF!</v>
          </cell>
          <cell r="AX106" t="e">
            <v>#REF!</v>
          </cell>
          <cell r="AY106" t="e">
            <v>#REF!</v>
          </cell>
          <cell r="AZ106" t="e">
            <v>#REF!</v>
          </cell>
          <cell r="BA106" t="e">
            <v>#REF!</v>
          </cell>
          <cell r="BB106" t="e">
            <v>#REF!</v>
          </cell>
          <cell r="BD106" t="e">
            <v>#REF!</v>
          </cell>
          <cell r="BE106" t="e">
            <v>#REF!</v>
          </cell>
          <cell r="BF106" t="e">
            <v>#REF!</v>
          </cell>
          <cell r="BG106" t="e">
            <v>#REF!</v>
          </cell>
          <cell r="BH106" t="e">
            <v>#REF!</v>
          </cell>
          <cell r="BJ106" t="e">
            <v>#REF!</v>
          </cell>
          <cell r="BK106" t="e">
            <v>#REF!</v>
          </cell>
          <cell r="BL106" t="e">
            <v>#REF!</v>
          </cell>
          <cell r="BM106" t="e">
            <v>#REF!</v>
          </cell>
          <cell r="BN106" t="e">
            <v>#REF!</v>
          </cell>
          <cell r="BP106" t="e">
            <v>#REF!</v>
          </cell>
          <cell r="BQ106" t="e">
            <v>#REF!</v>
          </cell>
          <cell r="BR106" t="e">
            <v>#REF!</v>
          </cell>
          <cell r="BS106" t="e">
            <v>#REF!</v>
          </cell>
          <cell r="BT106" t="e">
            <v>#REF!</v>
          </cell>
          <cell r="BV106" t="e">
            <v>#REF!</v>
          </cell>
          <cell r="BW106" t="e">
            <v>#REF!</v>
          </cell>
          <cell r="BX106" t="e">
            <v>#REF!</v>
          </cell>
          <cell r="BY106" t="e">
            <v>#REF!</v>
          </cell>
          <cell r="BZ106" t="e">
            <v>#REF!</v>
          </cell>
          <cell r="CB106" t="e">
            <v>#REF!</v>
          </cell>
          <cell r="CC106" t="e">
            <v>#REF!</v>
          </cell>
          <cell r="CD106" t="e">
            <v>#REF!</v>
          </cell>
          <cell r="CE106" t="e">
            <v>#REF!</v>
          </cell>
          <cell r="CF106" t="e">
            <v>#REF!</v>
          </cell>
          <cell r="CH106" t="e">
            <v>#REF!</v>
          </cell>
          <cell r="CI106" t="e">
            <v>#REF!</v>
          </cell>
          <cell r="CJ106" t="e">
            <v>#REF!</v>
          </cell>
          <cell r="CK106" t="e">
            <v>#REF!</v>
          </cell>
          <cell r="CL106" t="e">
            <v>#REF!</v>
          </cell>
        </row>
        <row r="107">
          <cell r="A107" t="str">
            <v>Diluted EPS after extraordinary (GAAP EPS)</v>
          </cell>
          <cell r="B107">
            <v>-0.1365942639031775</v>
          </cell>
          <cell r="C107">
            <v>-0.1567578178119492</v>
          </cell>
          <cell r="D107">
            <v>-0.17101081081651379</v>
          </cell>
          <cell r="E107">
            <v>-0.20203769613579234</v>
          </cell>
          <cell r="AF107">
            <v>0.69388093844164145</v>
          </cell>
          <cell r="AG107">
            <v>0.13023551625843693</v>
          </cell>
          <cell r="AH107">
            <v>0.26368430513830188</v>
          </cell>
          <cell r="AI107">
            <v>0.31803155617887785</v>
          </cell>
          <cell r="AJ107">
            <v>1.4050989488214529</v>
          </cell>
          <cell r="AL107">
            <v>0.18897747654087435</v>
          </cell>
          <cell r="AM107">
            <v>0.21789594798944381</v>
          </cell>
          <cell r="AN107">
            <v>0.35442415056916365</v>
          </cell>
          <cell r="AO107">
            <v>0.65093726701057886</v>
          </cell>
          <cell r="AP107">
            <v>1.415920498708741</v>
          </cell>
          <cell r="AR107">
            <v>0.51994805742406125</v>
          </cell>
          <cell r="AS107">
            <v>0.44795566516606183</v>
          </cell>
          <cell r="AT107">
            <v>0.30874648406949617</v>
          </cell>
          <cell r="AU107">
            <v>1.5637380184997003</v>
          </cell>
          <cell r="AV107">
            <v>2.7921913795118289</v>
          </cell>
          <cell r="AX107">
            <v>0.25930554440031373</v>
          </cell>
          <cell r="AY107">
            <v>0.80251257718102442</v>
          </cell>
          <cell r="AZ107">
            <v>0.32905390473584711</v>
          </cell>
          <cell r="BA107">
            <v>0.90771259450520281</v>
          </cell>
          <cell r="BB107">
            <v>2.3036939923473403</v>
          </cell>
          <cell r="BD107">
            <v>0.22849941677968696</v>
          </cell>
          <cell r="BE107">
            <v>1.0989432396457994</v>
          </cell>
          <cell r="BF107">
            <v>0.68528417269537711</v>
          </cell>
          <cell r="BG107">
            <v>0.92215266858516032</v>
          </cell>
          <cell r="BH107">
            <v>2.9664006076622318</v>
          </cell>
          <cell r="BJ107">
            <v>0.28312272400314842</v>
          </cell>
          <cell r="BK107">
            <v>0.65024136864778337</v>
          </cell>
          <cell r="BL107">
            <v>0.63220303053730342</v>
          </cell>
          <cell r="BM107">
            <v>0.82327472035074356</v>
          </cell>
          <cell r="BN107">
            <v>2.3908132361675403</v>
          </cell>
          <cell r="BP107">
            <v>0.28254462104764044</v>
          </cell>
          <cell r="BQ107">
            <v>0.429780301832346</v>
          </cell>
          <cell r="BR107">
            <v>0.57166330891060657</v>
          </cell>
          <cell r="BS107">
            <v>1.0024564218410648</v>
          </cell>
          <cell r="BT107">
            <v>2.2892318412975441</v>
          </cell>
          <cell r="BV107">
            <v>0.29642732303474606</v>
          </cell>
          <cell r="BW107">
            <v>0.43064270381514225</v>
          </cell>
          <cell r="BX107">
            <v>0.56942407092117742</v>
          </cell>
          <cell r="BY107">
            <v>0.76416211867398476</v>
          </cell>
          <cell r="BZ107">
            <v>2.0625112117814508</v>
          </cell>
          <cell r="CB107">
            <v>0.30259866939757724</v>
          </cell>
          <cell r="CC107">
            <v>0.43248583769447485</v>
          </cell>
          <cell r="CD107">
            <v>0.56869659029016206</v>
          </cell>
          <cell r="CE107">
            <v>0.7654193840094099</v>
          </cell>
          <cell r="CF107">
            <v>2.0710165229993311</v>
          </cell>
          <cell r="CH107">
            <v>0.3412916611283856</v>
          </cell>
          <cell r="CI107">
            <v>0.46722068630098273</v>
          </cell>
          <cell r="CJ107">
            <v>0.60022084213073768</v>
          </cell>
          <cell r="CK107">
            <v>0.79760296555274379</v>
          </cell>
          <cell r="CL107">
            <v>2.2081076432662612</v>
          </cell>
        </row>
        <row r="113">
          <cell r="A113" t="str">
            <v xml:space="preserve">Payout Ratio (Net Income) </v>
          </cell>
          <cell r="AF113">
            <v>0.59808531551829536</v>
          </cell>
          <cell r="AG113">
            <v>3.1865347635009309</v>
          </cell>
          <cell r="AH113">
            <v>1.5738517306986979</v>
          </cell>
          <cell r="AI113">
            <v>1.3049019568567024</v>
          </cell>
          <cell r="AJ113">
            <v>1.1814114595931831</v>
          </cell>
          <cell r="AL113">
            <v>2.2489452594001369</v>
          </cell>
          <cell r="AM113">
            <v>1.950472250271444</v>
          </cell>
          <cell r="AN113">
            <v>1.1991282177512446</v>
          </cell>
          <cell r="AO113">
            <v>0.65290469840789278</v>
          </cell>
          <cell r="AP113">
            <v>1.2006323812320869</v>
          </cell>
          <cell r="AR113">
            <v>0.84623837654064571</v>
          </cell>
          <cell r="AS113">
            <v>0.98224006127233021</v>
          </cell>
          <cell r="AT113">
            <v>1.4251174432838554</v>
          </cell>
          <cell r="AU113">
            <v>0.28137705599954005</v>
          </cell>
          <cell r="AV113">
            <v>0.63032928649314446</v>
          </cell>
          <cell r="AX113">
            <v>1.7739690104344852</v>
          </cell>
          <cell r="AY113">
            <v>0.57319973926868051</v>
          </cell>
          <cell r="AZ113">
            <v>1.3979472462704001</v>
          </cell>
          <cell r="BA113">
            <v>0.50676833480618122</v>
          </cell>
          <cell r="BB113">
            <v>0.79871719339127112</v>
          </cell>
          <cell r="BD113">
            <v>2.1881893925448686</v>
          </cell>
          <cell r="BE113">
            <v>0.45498255229374274</v>
          </cell>
          <cell r="BF113">
            <v>0.72962432217482465</v>
          </cell>
          <cell r="BG113">
            <v>0.54220956793102337</v>
          </cell>
          <cell r="BH113">
            <v>0.67421776911519882</v>
          </cell>
          <cell r="BJ113">
            <v>1.7660186117538197</v>
          </cell>
          <cell r="BK113">
            <v>0.76894523189101383</v>
          </cell>
          <cell r="BL113">
            <v>0.79088516797373576</v>
          </cell>
          <cell r="BM113">
            <v>0.60733068517758282</v>
          </cell>
          <cell r="BN113">
            <v>0.83653543896468818</v>
          </cell>
          <cell r="BP113">
            <v>1.7696319899705115</v>
          </cell>
          <cell r="BQ113">
            <v>1.1633851013373018</v>
          </cell>
          <cell r="BR113">
            <v>0.87464070582530096</v>
          </cell>
          <cell r="BS113">
            <v>0.49877479869072344</v>
          </cell>
          <cell r="BT113">
            <v>0.87365550483798682</v>
          </cell>
          <cell r="BV113">
            <v>1.6867540916307231</v>
          </cell>
          <cell r="BW113">
            <v>1.1610553146968678</v>
          </cell>
          <cell r="BX113">
            <v>0.87808019634844792</v>
          </cell>
          <cell r="BY113">
            <v>0.65431141871783294</v>
          </cell>
          <cell r="BZ113">
            <v>0.96969169843811032</v>
          </cell>
          <cell r="CB113">
            <v>1.6523535975733648</v>
          </cell>
          <cell r="CC113">
            <v>1.1561072211414696</v>
          </cell>
          <cell r="CD113">
            <v>0.87920344263869865</v>
          </cell>
          <cell r="CE113">
            <v>0.65323665750520521</v>
          </cell>
          <cell r="CF113">
            <v>0.96570934021497712</v>
          </cell>
          <cell r="CH113">
            <v>1.4650226095383918</v>
          </cell>
          <cell r="CI113">
            <v>1.0701580958637198</v>
          </cell>
          <cell r="CJ113">
            <v>0.83302672100661912</v>
          </cell>
          <cell r="CK113">
            <v>0.62687831113252812</v>
          </cell>
          <cell r="CL113">
            <v>0.90575294465335676</v>
          </cell>
        </row>
        <row r="114">
          <cell r="A114" t="str">
            <v xml:space="preserve">Payout Ratio (FFO) </v>
          </cell>
          <cell r="AF114">
            <v>0.7001936217119239</v>
          </cell>
          <cell r="AG114">
            <v>0.89777732778273356</v>
          </cell>
          <cell r="AH114">
            <v>0.86888680433116128</v>
          </cell>
          <cell r="AI114">
            <v>0.70701974896365571</v>
          </cell>
          <cell r="AJ114">
            <v>0.78318902213913832</v>
          </cell>
          <cell r="AL114">
            <v>0.80201262265740159</v>
          </cell>
          <cell r="AM114">
            <v>0.77769864637770258</v>
          </cell>
          <cell r="AN114">
            <v>0.69983967019329663</v>
          </cell>
          <cell r="AO114">
            <v>0.68715302522874644</v>
          </cell>
          <cell r="AP114">
            <v>0.73843151434919607</v>
          </cell>
          <cell r="AR114">
            <v>0.81061773102827739</v>
          </cell>
          <cell r="AS114">
            <v>0.79787448932348093</v>
          </cell>
          <cell r="AT114">
            <v>0.88092810191960058</v>
          </cell>
          <cell r="AU114">
            <v>0.38151995173700382</v>
          </cell>
          <cell r="AV114">
            <v>0.64069519243674355</v>
          </cell>
          <cell r="AX114">
            <v>0.89253232113912884</v>
          </cell>
          <cell r="AY114">
            <v>0.52795335268046872</v>
          </cell>
          <cell r="AZ114">
            <v>0.64074765867088423</v>
          </cell>
          <cell r="BA114">
            <v>0.4532581185807657</v>
          </cell>
          <cell r="BB114">
            <v>0.58984526537394233</v>
          </cell>
          <cell r="BD114">
            <v>0.87718908796792849</v>
          </cell>
          <cell r="BE114">
            <v>0.67415018987180475</v>
          </cell>
          <cell r="BF114">
            <v>0.50419661342159539</v>
          </cell>
          <cell r="BG114">
            <v>0.41748074021126197</v>
          </cell>
          <cell r="BH114">
            <v>0.57126311791989781</v>
          </cell>
          <cell r="BJ114">
            <v>0.79103600165910304</v>
          </cell>
          <cell r="BK114">
            <v>0.47300945993466165</v>
          </cell>
          <cell r="BL114">
            <v>0.4880190287205563</v>
          </cell>
          <cell r="BM114">
            <v>0.40215805665982651</v>
          </cell>
          <cell r="BN114">
            <v>0.50543516293855939</v>
          </cell>
          <cell r="BP114">
            <v>0.69989450424708977</v>
          </cell>
          <cell r="BQ114">
            <v>0.54220103475633563</v>
          </cell>
          <cell r="BR114">
            <v>0.47867949468257098</v>
          </cell>
          <cell r="BS114">
            <v>0.33470810348460722</v>
          </cell>
          <cell r="BT114">
            <v>0.47895828234164445</v>
          </cell>
          <cell r="BV114">
            <v>0.6248504749545698</v>
          </cell>
          <cell r="BW114">
            <v>0.5029154368974349</v>
          </cell>
          <cell r="BX114">
            <v>0.45199650075023978</v>
          </cell>
          <cell r="BY114">
            <v>0.37813070233065915</v>
          </cell>
          <cell r="BZ114">
            <v>0.47352785542536702</v>
          </cell>
          <cell r="CB114">
            <v>0.57718950101009336</v>
          </cell>
          <cell r="CC114">
            <v>0.47198710936869337</v>
          </cell>
          <cell r="CD114">
            <v>0.42893060907198</v>
          </cell>
          <cell r="CE114">
            <v>0.36126188094122674</v>
          </cell>
          <cell r="CF114">
            <v>0.4468228114411531</v>
          </cell>
          <cell r="CH114">
            <v>0.53431432652767841</v>
          </cell>
          <cell r="CI114">
            <v>0.44337723400229995</v>
          </cell>
          <cell r="CJ114">
            <v>0.40744941358081305</v>
          </cell>
          <cell r="CK114">
            <v>0.34581473121831408</v>
          </cell>
          <cell r="CL114">
            <v>0.42219291869272585</v>
          </cell>
        </row>
        <row r="115">
          <cell r="A115" t="str">
            <v xml:space="preserve">Payout Ratio (AFFO) </v>
          </cell>
          <cell r="AF115">
            <v>0.85536452388816797</v>
          </cell>
          <cell r="AG115">
            <v>1.3425242464890501</v>
          </cell>
          <cell r="AH115">
            <v>1.2012191011756912</v>
          </cell>
          <cell r="AI115">
            <v>1.0211807424322594</v>
          </cell>
          <cell r="AJ115">
            <v>1.0736226295089732</v>
          </cell>
          <cell r="AL115">
            <v>1.1302958557141587</v>
          </cell>
          <cell r="AM115">
            <v>1.1760562013822171</v>
          </cell>
          <cell r="AN115">
            <v>0.96203228565554533</v>
          </cell>
          <cell r="AO115">
            <v>1.1568679117312752</v>
          </cell>
          <cell r="AP115">
            <v>1.0992354937028979</v>
          </cell>
          <cell r="AR115">
            <v>1.2144039996143166</v>
          </cell>
          <cell r="AS115">
            <v>1.2071468262640868</v>
          </cell>
          <cell r="AT115">
            <v>1.5090675750202758</v>
          </cell>
          <cell r="AU115">
            <v>0.47197942613068788</v>
          </cell>
          <cell r="AV115">
            <v>0.90227339063098844</v>
          </cell>
          <cell r="AX115">
            <v>1.290873106026885</v>
          </cell>
          <cell r="AY115">
            <v>0.74184607336631969</v>
          </cell>
          <cell r="AZ115">
            <v>0.95928821161561906</v>
          </cell>
          <cell r="BA115">
            <v>0.57540235183467325</v>
          </cell>
          <cell r="BB115">
            <v>0.81582505849220666</v>
          </cell>
          <cell r="BD115">
            <v>1.1440451074368794</v>
          </cell>
          <cell r="BE115">
            <v>0.9118893734379041</v>
          </cell>
          <cell r="BF115">
            <v>0.65374151335348485</v>
          </cell>
          <cell r="BG115">
            <v>0.50624560592489865</v>
          </cell>
          <cell r="BH115">
            <v>0.73050047490824699</v>
          </cell>
          <cell r="BJ115">
            <v>1.0819908749206475</v>
          </cell>
          <cell r="BK115">
            <v>0.5692584707304722</v>
          </cell>
          <cell r="BL115">
            <v>0.59573866329351555</v>
          </cell>
          <cell r="BM115">
            <v>0.47589254337110765</v>
          </cell>
          <cell r="BN115">
            <v>0.61911870402173297</v>
          </cell>
          <cell r="BP115">
            <v>0.97248721704237739</v>
          </cell>
          <cell r="BQ115">
            <v>0.70102272750539807</v>
          </cell>
          <cell r="BR115">
            <v>0.60300655725002883</v>
          </cell>
          <cell r="BS115">
            <v>0.39342459606405172</v>
          </cell>
          <cell r="BT115">
            <v>0.60105921853835742</v>
          </cell>
          <cell r="BV115">
            <v>0.87207525561513755</v>
          </cell>
          <cell r="BW115">
            <v>0.6556686874172396</v>
          </cell>
          <cell r="BX115">
            <v>0.57483662555553694</v>
          </cell>
          <cell r="BY115">
            <v>0.4629626203238118</v>
          </cell>
          <cell r="BZ115">
            <v>0.60869117874159628</v>
          </cell>
          <cell r="CB115">
            <v>0.81697588498672602</v>
          </cell>
          <cell r="CC115">
            <v>0.62511024321126962</v>
          </cell>
          <cell r="CD115">
            <v>0.55495891828885768</v>
          </cell>
          <cell r="CE115">
            <v>0.44930601919761926</v>
          </cell>
          <cell r="CF115">
            <v>0.58382791464252148</v>
          </cell>
          <cell r="CH115">
            <v>0.76495373790894283</v>
          </cell>
          <cell r="CI115">
            <v>0.5950135429385951</v>
          </cell>
          <cell r="CJ115">
            <v>0.53503593594644283</v>
          </cell>
          <cell r="CK115">
            <v>0.43606581353325857</v>
          </cell>
          <cell r="CL115">
            <v>0.55942743282309637</v>
          </cell>
        </row>
        <row r="118">
          <cell r="A118" t="str">
            <v>Market Valuation Calculation</v>
          </cell>
        </row>
        <row r="119">
          <cell r="A119" t="str">
            <v>Share Price at Period Close</v>
          </cell>
          <cell r="Z119">
            <v>27.5</v>
          </cell>
          <cell r="AA119">
            <v>31</v>
          </cell>
          <cell r="AB119">
            <v>28.900000000000002</v>
          </cell>
          <cell r="AC119">
            <v>27.36</v>
          </cell>
          <cell r="AF119">
            <v>26.1</v>
          </cell>
          <cell r="AG119">
            <v>28.17</v>
          </cell>
          <cell r="AH119">
            <v>30.81</v>
          </cell>
          <cell r="AI119">
            <v>32.880000000000003</v>
          </cell>
          <cell r="AL119">
            <v>32.08</v>
          </cell>
          <cell r="AM119">
            <v>34.630000000000003</v>
          </cell>
          <cell r="AN119">
            <v>37.020000000000003</v>
          </cell>
          <cell r="AO119">
            <v>40.39</v>
          </cell>
          <cell r="AR119">
            <v>37.799999999999997</v>
          </cell>
          <cell r="AS119">
            <v>43.43</v>
          </cell>
          <cell r="AT119">
            <v>44.900000000000006</v>
          </cell>
          <cell r="AU119">
            <v>49.17</v>
          </cell>
          <cell r="AX119">
            <v>54.27</v>
          </cell>
          <cell r="AY119">
            <v>54.27</v>
          </cell>
          <cell r="AZ119">
            <v>54.27</v>
          </cell>
          <cell r="BA119">
            <v>54.27</v>
          </cell>
          <cell r="BD119">
            <v>54.27</v>
          </cell>
          <cell r="BE119">
            <v>54.27</v>
          </cell>
          <cell r="BF119">
            <v>54.27</v>
          </cell>
          <cell r="BG119">
            <v>54.27</v>
          </cell>
          <cell r="BJ119">
            <v>54.27</v>
          </cell>
          <cell r="BK119">
            <v>54.27</v>
          </cell>
          <cell r="BL119">
            <v>54.27</v>
          </cell>
          <cell r="BM119">
            <v>54.27</v>
          </cell>
          <cell r="BP119">
            <v>54.27</v>
          </cell>
          <cell r="BQ119">
            <v>54.27</v>
          </cell>
          <cell r="BR119">
            <v>54.27</v>
          </cell>
          <cell r="BS119">
            <v>54.27</v>
          </cell>
          <cell r="BV119">
            <v>54.27</v>
          </cell>
          <cell r="BW119">
            <v>54.27</v>
          </cell>
          <cell r="BX119">
            <v>54.27</v>
          </cell>
          <cell r="BY119">
            <v>54.27</v>
          </cell>
          <cell r="CB119">
            <v>54.27</v>
          </cell>
          <cell r="CC119">
            <v>54.27</v>
          </cell>
          <cell r="CD119">
            <v>54.27</v>
          </cell>
          <cell r="CE119">
            <v>54.27</v>
          </cell>
          <cell r="CH119">
            <v>54.27</v>
          </cell>
          <cell r="CI119">
            <v>54.27</v>
          </cell>
          <cell r="CJ119">
            <v>54.27</v>
          </cell>
          <cell r="CK119">
            <v>54.27</v>
          </cell>
        </row>
        <row r="120">
          <cell r="A120" t="str">
            <v>Market Value of Common Units</v>
          </cell>
          <cell r="Z120">
            <v>135655.19</v>
          </cell>
          <cell r="AA120">
            <v>152920.39600000001</v>
          </cell>
          <cell r="AB120">
            <v>140060.58429999999</v>
          </cell>
          <cell r="AC120">
            <v>132597.14831999998</v>
          </cell>
          <cell r="AF120">
            <v>126490.7007</v>
          </cell>
          <cell r="AG120">
            <v>136198.09071000002</v>
          </cell>
          <cell r="AH120">
            <v>142288.03602</v>
          </cell>
          <cell r="AI120">
            <v>156633.41520000002</v>
          </cell>
          <cell r="AL120">
            <v>152490.93263999998</v>
          </cell>
          <cell r="AM120">
            <v>164612.25054000001</v>
          </cell>
          <cell r="AN120">
            <v>175861.95516000001</v>
          </cell>
          <cell r="AO120">
            <v>191695.14056</v>
          </cell>
          <cell r="AR120">
            <v>178409.3094</v>
          </cell>
          <cell r="AS120">
            <v>204980.91400000002</v>
          </cell>
          <cell r="AT120">
            <v>204858.58480000001</v>
          </cell>
          <cell r="AU120">
            <v>216177.13425</v>
          </cell>
          <cell r="AX120">
            <v>237985.18389000004</v>
          </cell>
          <cell r="AY120">
            <v>237985.18389000004</v>
          </cell>
          <cell r="AZ120">
            <v>210184.99650000001</v>
          </cell>
          <cell r="BA120">
            <v>260987.46911999999</v>
          </cell>
          <cell r="BD120">
            <v>253227.78171000004</v>
          </cell>
          <cell r="BE120">
            <v>238905.98298</v>
          </cell>
          <cell r="BF120">
            <v>224937.37341000003</v>
          </cell>
          <cell r="BG120">
            <v>216673.35489000002</v>
          </cell>
          <cell r="BJ120">
            <v>216673.35489000002</v>
          </cell>
          <cell r="BK120">
            <v>216673.35489000002</v>
          </cell>
          <cell r="BL120">
            <v>216673.35489000002</v>
          </cell>
          <cell r="BM120">
            <v>216673.35489000002</v>
          </cell>
          <cell r="BP120">
            <v>216673.35489000002</v>
          </cell>
          <cell r="BQ120">
            <v>216673.35489000002</v>
          </cell>
          <cell r="BR120">
            <v>216673.35489000002</v>
          </cell>
          <cell r="BS120">
            <v>216673.35489000002</v>
          </cell>
          <cell r="BV120">
            <v>216673.35489000002</v>
          </cell>
          <cell r="BW120">
            <v>216673.35489000002</v>
          </cell>
          <cell r="BX120">
            <v>216673.35489000002</v>
          </cell>
          <cell r="BY120">
            <v>216673.35489000002</v>
          </cell>
          <cell r="CB120">
            <v>216673.35489000002</v>
          </cell>
          <cell r="CC120">
            <v>216673.35489000002</v>
          </cell>
          <cell r="CD120">
            <v>216673.35489000002</v>
          </cell>
          <cell r="CE120">
            <v>216673.35489000002</v>
          </cell>
          <cell r="CH120">
            <v>216673.35489000002</v>
          </cell>
          <cell r="CI120">
            <v>216673.35489000002</v>
          </cell>
          <cell r="CJ120">
            <v>216673.35489000002</v>
          </cell>
          <cell r="CK120">
            <v>216673.35489000002</v>
          </cell>
          <cell r="CT120" t="str">
            <v>mstag:marketValueOfMinorityInterestsInShareholdersEquity</v>
          </cell>
          <cell r="CU120">
            <v>3</v>
          </cell>
          <cell r="CV120" t="str">
            <v>ISO4217:USD</v>
          </cell>
          <cell r="CW120" t="b">
            <v>0</v>
          </cell>
          <cell r="CX120" t="b">
            <v>0</v>
          </cell>
        </row>
        <row r="121">
          <cell r="A121" t="str">
            <v>Market Value of Preferred Units</v>
          </cell>
          <cell r="Z121">
            <v>284161</v>
          </cell>
          <cell r="AA121">
            <v>324161</v>
          </cell>
          <cell r="AB121">
            <v>316661</v>
          </cell>
          <cell r="AC121">
            <v>316661</v>
          </cell>
          <cell r="AF121">
            <v>316661</v>
          </cell>
          <cell r="AG121">
            <v>316661</v>
          </cell>
          <cell r="AH121">
            <v>363346</v>
          </cell>
          <cell r="AI121">
            <v>248346</v>
          </cell>
          <cell r="AL121">
            <v>248346</v>
          </cell>
          <cell r="AM121">
            <v>248346</v>
          </cell>
          <cell r="AN121">
            <v>284825</v>
          </cell>
          <cell r="AO121">
            <v>284825</v>
          </cell>
          <cell r="AR121">
            <v>284825</v>
          </cell>
          <cell r="AS121">
            <v>284825</v>
          </cell>
          <cell r="AT121">
            <v>284825</v>
          </cell>
          <cell r="AU121">
            <v>284825</v>
          </cell>
          <cell r="AX121">
            <v>206346</v>
          </cell>
          <cell r="AY121">
            <v>195324</v>
          </cell>
          <cell r="AZ121">
            <v>185267</v>
          </cell>
          <cell r="BA121">
            <v>185267</v>
          </cell>
          <cell r="BD121">
            <v>185267</v>
          </cell>
          <cell r="BE121">
            <v>79767</v>
          </cell>
          <cell r="BF121">
            <v>79767</v>
          </cell>
          <cell r="BG121">
            <v>79767</v>
          </cell>
          <cell r="BJ121">
            <v>79767</v>
          </cell>
          <cell r="BK121">
            <v>79767</v>
          </cell>
          <cell r="BL121">
            <v>79767</v>
          </cell>
          <cell r="BM121">
            <v>79767</v>
          </cell>
          <cell r="BP121">
            <v>79767</v>
          </cell>
          <cell r="BQ121">
            <v>79767</v>
          </cell>
          <cell r="BR121">
            <v>79767</v>
          </cell>
          <cell r="BS121">
            <v>79767</v>
          </cell>
          <cell r="BV121">
            <v>79767</v>
          </cell>
          <cell r="BW121">
            <v>79767</v>
          </cell>
          <cell r="BX121">
            <v>79767</v>
          </cell>
          <cell r="BY121">
            <v>79767</v>
          </cell>
          <cell r="CB121">
            <v>79767</v>
          </cell>
          <cell r="CC121">
            <v>79767</v>
          </cell>
          <cell r="CD121">
            <v>79767</v>
          </cell>
          <cell r="CE121">
            <v>79767</v>
          </cell>
          <cell r="CH121">
            <v>79767</v>
          </cell>
          <cell r="CI121">
            <v>79767</v>
          </cell>
          <cell r="CJ121">
            <v>79767</v>
          </cell>
          <cell r="CK121">
            <v>79767</v>
          </cell>
        </row>
        <row r="122">
          <cell r="A122" t="str">
            <v>Total Market Value of Units</v>
          </cell>
          <cell r="Z122">
            <v>419816.19</v>
          </cell>
          <cell r="AA122">
            <v>477081.39600000001</v>
          </cell>
          <cell r="AB122">
            <v>456721.58429999999</v>
          </cell>
          <cell r="AC122">
            <v>449258.14831999998</v>
          </cell>
          <cell r="AF122">
            <v>443151.70069999999</v>
          </cell>
          <cell r="AG122">
            <v>452859.09071000002</v>
          </cell>
          <cell r="AH122">
            <v>505634.03602</v>
          </cell>
          <cell r="AI122">
            <v>404979.41520000005</v>
          </cell>
          <cell r="AL122">
            <v>400836.93264000001</v>
          </cell>
          <cell r="AM122">
            <v>412958.25054000004</v>
          </cell>
          <cell r="AN122">
            <v>460686.95516000001</v>
          </cell>
          <cell r="AO122">
            <v>476520.14055999997</v>
          </cell>
          <cell r="AR122">
            <v>463234.30940000003</v>
          </cell>
          <cell r="AS122">
            <v>489805.91399999999</v>
          </cell>
          <cell r="AT122">
            <v>489683.58480000001</v>
          </cell>
          <cell r="AU122">
            <v>501002.13425</v>
          </cell>
          <cell r="AX122">
            <v>444331.18389000004</v>
          </cell>
          <cell r="AY122">
            <v>433309.18389000004</v>
          </cell>
          <cell r="AZ122">
            <v>395451.99650000001</v>
          </cell>
          <cell r="BA122">
            <v>446254.46912000002</v>
          </cell>
          <cell r="BD122">
            <v>438494.78171000001</v>
          </cell>
          <cell r="BE122">
            <v>318672.98297999997</v>
          </cell>
          <cell r="BF122">
            <v>304704.37341</v>
          </cell>
          <cell r="BG122">
            <v>296440.35489000002</v>
          </cell>
          <cell r="BJ122">
            <v>296440.35489000002</v>
          </cell>
          <cell r="BK122">
            <v>296440.35489000002</v>
          </cell>
          <cell r="BL122">
            <v>296440.35489000002</v>
          </cell>
          <cell r="BM122">
            <v>296440.35489000002</v>
          </cell>
          <cell r="BP122">
            <v>296440.35489000002</v>
          </cell>
          <cell r="BQ122">
            <v>296440.35489000002</v>
          </cell>
          <cell r="BR122">
            <v>296440.35489000002</v>
          </cell>
          <cell r="BS122">
            <v>296440.35489000002</v>
          </cell>
          <cell r="BV122">
            <v>296440.35489000002</v>
          </cell>
          <cell r="BW122">
            <v>296440.35489000002</v>
          </cell>
          <cell r="BX122">
            <v>296440.35489000002</v>
          </cell>
          <cell r="BY122">
            <v>296440.35489000002</v>
          </cell>
          <cell r="CB122">
            <v>296440.35489000002</v>
          </cell>
          <cell r="CC122">
            <v>296440.35489000002</v>
          </cell>
          <cell r="CD122">
            <v>296440.35489000002</v>
          </cell>
          <cell r="CE122">
            <v>296440.35489000002</v>
          </cell>
          <cell r="CH122">
            <v>296440.35489000002</v>
          </cell>
          <cell r="CI122">
            <v>296440.35489000002</v>
          </cell>
          <cell r="CJ122">
            <v>296440.35489000002</v>
          </cell>
          <cell r="CK122">
            <v>296440.35489000002</v>
          </cell>
        </row>
        <row r="124">
          <cell r="A124" t="str">
            <v>Other Data</v>
          </cell>
        </row>
        <row r="125">
          <cell r="A125" t="str">
            <v>Dividends (Common and Preferred)</v>
          </cell>
          <cell r="AJ125">
            <v>137254</v>
          </cell>
          <cell r="AL125">
            <v>35103</v>
          </cell>
          <cell r="AM125">
            <v>35123</v>
          </cell>
          <cell r="AN125">
            <v>35240</v>
          </cell>
          <cell r="AO125">
            <v>31755</v>
          </cell>
          <cell r="AP125">
            <v>137221</v>
          </cell>
          <cell r="AR125">
            <v>36944</v>
          </cell>
          <cell r="AS125">
            <v>38313.440000000002</v>
          </cell>
          <cell r="AT125">
            <v>38884.329440000001</v>
          </cell>
          <cell r="AU125">
            <v>39151.929080000002</v>
          </cell>
          <cell r="AV125">
            <v>153293.69852000001</v>
          </cell>
          <cell r="AX125">
            <v>41482.49134</v>
          </cell>
          <cell r="AY125">
            <v>41462.403140000002</v>
          </cell>
          <cell r="AZ125">
            <v>41886.693339999998</v>
          </cell>
          <cell r="BA125">
            <v>42435.766820000004</v>
          </cell>
          <cell r="BB125">
            <v>167267.35464000001</v>
          </cell>
          <cell r="BD125">
            <v>47549.355499999998</v>
          </cell>
          <cell r="BE125">
            <v>50680.506500000003</v>
          </cell>
          <cell r="BF125">
            <v>50457.17</v>
          </cell>
          <cell r="BG125">
            <v>50560.5</v>
          </cell>
          <cell r="BH125">
            <v>199247.53200000001</v>
          </cell>
          <cell r="BJ125">
            <v>51319.002240000002</v>
          </cell>
          <cell r="BK125">
            <v>51448.002240000002</v>
          </cell>
          <cell r="BL125">
            <v>51577.002240000002</v>
          </cell>
          <cell r="BM125">
            <v>51698.002240000002</v>
          </cell>
          <cell r="BN125">
            <v>206042.00896000001</v>
          </cell>
          <cell r="BP125">
            <v>51835.002240000002</v>
          </cell>
          <cell r="BQ125">
            <v>51964.002240000002</v>
          </cell>
          <cell r="BR125">
            <v>52093.002240000002</v>
          </cell>
          <cell r="BS125">
            <v>52214.002240000002</v>
          </cell>
          <cell r="BT125">
            <v>208106.00896000001</v>
          </cell>
          <cell r="BV125">
            <v>52351.002240000002</v>
          </cell>
          <cell r="BW125">
            <v>52480.002240000002</v>
          </cell>
          <cell r="BX125">
            <v>52609.002240000002</v>
          </cell>
          <cell r="BY125">
            <v>52730.002240000002</v>
          </cell>
          <cell r="BZ125">
            <v>210170.00896000001</v>
          </cell>
          <cell r="CB125">
            <v>52867.002240000002</v>
          </cell>
          <cell r="CC125">
            <v>52996.002240000002</v>
          </cell>
          <cell r="CD125">
            <v>53125.002240000002</v>
          </cell>
          <cell r="CE125">
            <v>53246.002240000002</v>
          </cell>
          <cell r="CF125">
            <v>212234.00896000001</v>
          </cell>
          <cell r="CH125">
            <v>53383.002240000002</v>
          </cell>
          <cell r="CI125">
            <v>53512.002240000002</v>
          </cell>
          <cell r="CJ125">
            <v>53641.002240000002</v>
          </cell>
          <cell r="CK125">
            <v>53762.002240000002</v>
          </cell>
          <cell r="CL125">
            <v>214298.00896000001</v>
          </cell>
          <cell r="CT125" t="str">
            <v>mstag:commonDividends</v>
          </cell>
          <cell r="CU125">
            <v>3</v>
          </cell>
          <cell r="CV125" t="str">
            <v>ISO4217:USD</v>
          </cell>
          <cell r="CW125" t="b">
            <v>0</v>
          </cell>
          <cell r="CX125" t="b">
            <v>0</v>
          </cell>
        </row>
        <row r="126">
          <cell r="A126" t="str">
            <v>Tax Rate</v>
          </cell>
          <cell r="Z126">
            <v>0</v>
          </cell>
          <cell r="AA126">
            <v>0</v>
          </cell>
          <cell r="AB126">
            <v>0</v>
          </cell>
          <cell r="AC126">
            <v>0</v>
          </cell>
          <cell r="AD126">
            <v>0</v>
          </cell>
          <cell r="AF126">
            <v>0</v>
          </cell>
          <cell r="AG126">
            <v>0</v>
          </cell>
          <cell r="AH126">
            <v>0</v>
          </cell>
          <cell r="AI126">
            <v>0</v>
          </cell>
          <cell r="AJ126">
            <v>0</v>
          </cell>
          <cell r="AL126">
            <v>0</v>
          </cell>
          <cell r="AM126">
            <v>0</v>
          </cell>
          <cell r="AN126">
            <v>0</v>
          </cell>
          <cell r="AO126">
            <v>0</v>
          </cell>
          <cell r="AP126">
            <v>0</v>
          </cell>
          <cell r="AR126">
            <v>0</v>
          </cell>
          <cell r="AS126">
            <v>0</v>
          </cell>
          <cell r="AT126">
            <v>0</v>
          </cell>
          <cell r="AU126">
            <v>0</v>
          </cell>
          <cell r="AV126">
            <v>0</v>
          </cell>
          <cell r="AX126">
            <v>0</v>
          </cell>
          <cell r="AY126">
            <v>0</v>
          </cell>
          <cell r="AZ126">
            <v>0</v>
          </cell>
          <cell r="BA126">
            <v>0</v>
          </cell>
          <cell r="BB126">
            <v>0</v>
          </cell>
          <cell r="BD126">
            <v>0</v>
          </cell>
          <cell r="BE126">
            <v>0</v>
          </cell>
          <cell r="BF126">
            <v>0</v>
          </cell>
          <cell r="BG126">
            <v>0</v>
          </cell>
          <cell r="BH126">
            <v>0</v>
          </cell>
          <cell r="BJ126">
            <v>0</v>
          </cell>
          <cell r="BK126">
            <v>0</v>
          </cell>
          <cell r="BL126">
            <v>0</v>
          </cell>
          <cell r="BM126">
            <v>0</v>
          </cell>
          <cell r="BN126">
            <v>0</v>
          </cell>
          <cell r="BP126">
            <v>0</v>
          </cell>
          <cell r="BQ126">
            <v>0</v>
          </cell>
          <cell r="BR126">
            <v>0</v>
          </cell>
          <cell r="BS126">
            <v>0</v>
          </cell>
          <cell r="BT126">
            <v>0</v>
          </cell>
          <cell r="BV126">
            <v>0</v>
          </cell>
          <cell r="BW126">
            <v>0</v>
          </cell>
          <cell r="BX126">
            <v>0</v>
          </cell>
          <cell r="BY126">
            <v>0</v>
          </cell>
          <cell r="BZ126">
            <v>0</v>
          </cell>
          <cell r="CB126">
            <v>0</v>
          </cell>
          <cell r="CC126">
            <v>0</v>
          </cell>
          <cell r="CD126">
            <v>0</v>
          </cell>
          <cell r="CE126">
            <v>0</v>
          </cell>
          <cell r="CF126">
            <v>0</v>
          </cell>
          <cell r="CH126">
            <v>0</v>
          </cell>
          <cell r="CI126">
            <v>0</v>
          </cell>
          <cell r="CJ126">
            <v>0</v>
          </cell>
          <cell r="CK126">
            <v>0</v>
          </cell>
          <cell r="CL126">
            <v>0</v>
          </cell>
          <cell r="CT126" t="str">
            <v>mstag:statutoryTaxRate</v>
          </cell>
          <cell r="CU126">
            <v>0</v>
          </cell>
          <cell r="CV126" t="str">
            <v>ms_eqr_gcim_Decimal:ms_eqr_gcim_decimal</v>
          </cell>
          <cell r="CW126" t="b">
            <v>0</v>
          </cell>
          <cell r="CX126" t="b">
            <v>0</v>
          </cell>
        </row>
        <row r="127">
          <cell r="A127" t="str">
            <v>Tax Expense</v>
          </cell>
          <cell r="Z127">
            <v>0</v>
          </cell>
          <cell r="AA127">
            <v>0</v>
          </cell>
          <cell r="AB127">
            <v>0</v>
          </cell>
          <cell r="AC127">
            <v>0</v>
          </cell>
          <cell r="AD127">
            <v>0</v>
          </cell>
          <cell r="AF127">
            <v>0</v>
          </cell>
          <cell r="AG127">
            <v>0</v>
          </cell>
          <cell r="AH127">
            <v>0</v>
          </cell>
          <cell r="AI127">
            <v>0</v>
          </cell>
          <cell r="AJ127">
            <v>0</v>
          </cell>
          <cell r="AL127">
            <v>0</v>
          </cell>
          <cell r="AM127">
            <v>0</v>
          </cell>
          <cell r="AN127">
            <v>0</v>
          </cell>
          <cell r="AO127">
            <v>0</v>
          </cell>
          <cell r="AP127">
            <v>0</v>
          </cell>
          <cell r="AR127">
            <v>0</v>
          </cell>
          <cell r="AS127">
            <v>0</v>
          </cell>
          <cell r="AT127">
            <v>0</v>
          </cell>
          <cell r="AU127">
            <v>0</v>
          </cell>
          <cell r="AV127">
            <v>0</v>
          </cell>
          <cell r="AX127">
            <v>0</v>
          </cell>
          <cell r="AY127">
            <v>0</v>
          </cell>
          <cell r="AZ127">
            <v>0</v>
          </cell>
          <cell r="BA127">
            <v>0</v>
          </cell>
          <cell r="BB127">
            <v>0</v>
          </cell>
          <cell r="BD127">
            <v>0</v>
          </cell>
          <cell r="BE127">
            <v>0</v>
          </cell>
          <cell r="BF127">
            <v>0</v>
          </cell>
          <cell r="BG127">
            <v>0</v>
          </cell>
          <cell r="BH127">
            <v>0</v>
          </cell>
          <cell r="BJ127">
            <v>0</v>
          </cell>
          <cell r="BK127">
            <v>0</v>
          </cell>
          <cell r="BL127">
            <v>0</v>
          </cell>
          <cell r="BM127">
            <v>0</v>
          </cell>
          <cell r="BN127">
            <v>0</v>
          </cell>
          <cell r="BP127">
            <v>0</v>
          </cell>
          <cell r="BQ127">
            <v>0</v>
          </cell>
          <cell r="BR127">
            <v>0</v>
          </cell>
          <cell r="BS127">
            <v>0</v>
          </cell>
          <cell r="BT127">
            <v>0</v>
          </cell>
          <cell r="BV127">
            <v>0</v>
          </cell>
          <cell r="BW127">
            <v>0</v>
          </cell>
          <cell r="BX127">
            <v>0</v>
          </cell>
          <cell r="BY127">
            <v>0</v>
          </cell>
          <cell r="BZ127">
            <v>0</v>
          </cell>
          <cell r="CB127">
            <v>0</v>
          </cell>
          <cell r="CC127">
            <v>0</v>
          </cell>
          <cell r="CD127">
            <v>0</v>
          </cell>
          <cell r="CE127">
            <v>0</v>
          </cell>
          <cell r="CF127">
            <v>0</v>
          </cell>
          <cell r="CH127">
            <v>0</v>
          </cell>
          <cell r="CI127">
            <v>0</v>
          </cell>
          <cell r="CJ127">
            <v>0</v>
          </cell>
          <cell r="CK127">
            <v>0</v>
          </cell>
          <cell r="CL127">
            <v>0</v>
          </cell>
          <cell r="CT127" t="str">
            <v>mstag:taxExpenseIncome</v>
          </cell>
          <cell r="CU127">
            <v>3</v>
          </cell>
          <cell r="CV127" t="str">
            <v>ISO4217:USD</v>
          </cell>
          <cell r="CW127" t="b">
            <v>0</v>
          </cell>
          <cell r="CX127" t="b">
            <v>0</v>
          </cell>
        </row>
        <row r="130">
          <cell r="A130" t="str">
            <v>Weighted Average Shares and Units Outstanding (diluted) - FFO</v>
          </cell>
          <cell r="Z130">
            <v>89724.952999999994</v>
          </cell>
          <cell r="AA130">
            <v>90462.331999999995</v>
          </cell>
          <cell r="AB130">
            <v>90379.023000000001</v>
          </cell>
          <cell r="AC130">
            <v>88495.159</v>
          </cell>
          <cell r="AD130">
            <v>89689.31</v>
          </cell>
          <cell r="AF130">
            <v>87360.543000000005</v>
          </cell>
          <cell r="AG130">
            <v>87302.895999999993</v>
          </cell>
          <cell r="AH130">
            <v>87399.543999999994</v>
          </cell>
          <cell r="AI130">
            <v>88360.432000000001</v>
          </cell>
          <cell r="AJ130">
            <v>87616</v>
          </cell>
          <cell r="AL130">
            <v>89617.834000000003</v>
          </cell>
          <cell r="AM130">
            <v>89288.953999999998</v>
          </cell>
          <cell r="AN130">
            <v>90146.244999999995</v>
          </cell>
          <cell r="AO130">
            <v>91003.312999999995</v>
          </cell>
          <cell r="AP130">
            <v>90014.086500000005</v>
          </cell>
          <cell r="AR130">
            <v>91240.898000000001</v>
          </cell>
          <cell r="AS130">
            <v>91795.8</v>
          </cell>
          <cell r="AT130">
            <v>93034.016000000003</v>
          </cell>
          <cell r="AU130">
            <v>93422.964000000007</v>
          </cell>
          <cell r="AV130">
            <v>92373.419500000018</v>
          </cell>
          <cell r="AX130">
            <v>94567.679999999993</v>
          </cell>
          <cell r="AY130">
            <v>94520.865999999995</v>
          </cell>
          <cell r="AZ130">
            <v>95117.596999999994</v>
          </cell>
          <cell r="BA130">
            <v>97087.888999999996</v>
          </cell>
          <cell r="BB130">
            <v>95323.508000000002</v>
          </cell>
          <cell r="BD130">
            <v>99776.75</v>
          </cell>
          <cell r="BE130">
            <v>105806.524</v>
          </cell>
          <cell r="BF130">
            <v>105109.868</v>
          </cell>
          <cell r="BG130">
            <v>105130</v>
          </cell>
          <cell r="BH130">
            <v>104169</v>
          </cell>
          <cell r="BJ130">
            <v>106630.51148</v>
          </cell>
          <cell r="BK130">
            <v>106888.51148</v>
          </cell>
          <cell r="BL130">
            <v>107146.51148</v>
          </cell>
          <cell r="BM130">
            <v>106888.51148</v>
          </cell>
          <cell r="BN130">
            <v>106888.51148</v>
          </cell>
          <cell r="BP130">
            <v>107662.51148</v>
          </cell>
          <cell r="BQ130">
            <v>107920.51148</v>
          </cell>
          <cell r="BR130">
            <v>108178.51148</v>
          </cell>
          <cell r="BS130">
            <v>107920.51148</v>
          </cell>
          <cell r="BT130">
            <v>107920.51148</v>
          </cell>
          <cell r="BV130">
            <v>108694.51148</v>
          </cell>
          <cell r="BW130">
            <v>108952.51148</v>
          </cell>
          <cell r="BX130">
            <v>109210.51148</v>
          </cell>
          <cell r="BY130">
            <v>108952.51148</v>
          </cell>
          <cell r="BZ130">
            <v>108952.51148</v>
          </cell>
          <cell r="CB130">
            <v>109726.51148</v>
          </cell>
          <cell r="CC130">
            <v>109984.51148</v>
          </cell>
          <cell r="CD130">
            <v>110242.51148</v>
          </cell>
          <cell r="CE130">
            <v>109984.51148</v>
          </cell>
          <cell r="CF130">
            <v>109984.51148</v>
          </cell>
          <cell r="CH130">
            <v>110758.51148</v>
          </cell>
          <cell r="CI130">
            <v>111016.51148</v>
          </cell>
          <cell r="CJ130">
            <v>111274.51148</v>
          </cell>
          <cell r="CK130">
            <v>111016.51148</v>
          </cell>
          <cell r="CL130">
            <v>111016.51148</v>
          </cell>
        </row>
        <row r="134">
          <cell r="A134" t="str">
            <v>One-Time Items</v>
          </cell>
        </row>
        <row r="135">
          <cell r="A135" t="str">
            <v>Development Profits</v>
          </cell>
          <cell r="AP135">
            <v>-8528</v>
          </cell>
          <cell r="AV135">
            <v>-54811</v>
          </cell>
          <cell r="BB135">
            <v>-106389</v>
          </cell>
          <cell r="BH135">
            <v>-174193</v>
          </cell>
        </row>
        <row r="136">
          <cell r="A136" t="str">
            <v>Minority Interest in Development Profits</v>
          </cell>
          <cell r="AP136">
            <v>523</v>
          </cell>
          <cell r="AV136">
            <v>11236</v>
          </cell>
          <cell r="BB136">
            <v>665</v>
          </cell>
          <cell r="BH136">
            <v>6786</v>
          </cell>
        </row>
        <row r="137">
          <cell r="A137" t="str">
            <v>Promoted Interests</v>
          </cell>
          <cell r="BB137">
            <v>-14267.639549999998</v>
          </cell>
          <cell r="BH137">
            <v>-15625.349999999999</v>
          </cell>
        </row>
        <row r="138">
          <cell r="A138" t="str">
            <v>Preferred Redemption Charges</v>
          </cell>
          <cell r="AP138">
            <v>0</v>
          </cell>
          <cell r="AV138">
            <v>0</v>
          </cell>
          <cell r="BB138">
            <v>1070</v>
          </cell>
          <cell r="BH138">
            <v>2930</v>
          </cell>
        </row>
        <row r="139">
          <cell r="A139" t="str">
            <v>FFO - Adjusted</v>
          </cell>
          <cell r="AP139">
            <v>2.2141999685793623</v>
          </cell>
          <cell r="AV139">
            <v>2.2229595495271228</v>
          </cell>
          <cell r="BB139">
            <v>1.8777147862623773</v>
          </cell>
          <cell r="BH139">
            <v>1.7797007747026465</v>
          </cell>
        </row>
        <row r="141">
          <cell r="A141" t="str">
            <v>Development Profits</v>
          </cell>
          <cell r="AP141">
            <v>-9.4740727052759682E-2</v>
          </cell>
          <cell r="AV141">
            <v>-0.59336333218670101</v>
          </cell>
          <cell r="BB141">
            <v>-1.1160835583180593</v>
          </cell>
          <cell r="BH141">
            <v>-1.6722153423763308</v>
          </cell>
        </row>
        <row r="142">
          <cell r="A142" t="str">
            <v>Minority Interest in Development Profits</v>
          </cell>
          <cell r="AP142">
            <v>5.8102017177055947E-3</v>
          </cell>
          <cell r="AV142">
            <v>0.12163672256389726</v>
          </cell>
          <cell r="BB142">
            <v>6.976243467665919E-3</v>
          </cell>
          <cell r="BH142">
            <v>6.5144140771246722E-2</v>
          </cell>
        </row>
        <row r="143">
          <cell r="A143" t="str">
            <v>Promoted Interests</v>
          </cell>
          <cell r="AP143">
            <v>0</v>
          </cell>
          <cell r="AV143">
            <v>0</v>
          </cell>
          <cell r="BB143">
            <v>-0.14967598076646527</v>
          </cell>
          <cell r="BH143">
            <v>-0.15</v>
          </cell>
        </row>
        <row r="144">
          <cell r="A144" t="str">
            <v>Preferred Redemption Charges</v>
          </cell>
          <cell r="AP144">
            <v>0</v>
          </cell>
          <cell r="AV144">
            <v>0</v>
          </cell>
          <cell r="BB144">
            <v>1.1224933098349675E-2</v>
          </cell>
          <cell r="BH144">
            <v>2.812736994691319E-2</v>
          </cell>
        </row>
        <row r="145">
          <cell r="AP145">
            <v>-8.8930525335054092E-2</v>
          </cell>
          <cell r="AV145">
            <v>-0.47172660962280377</v>
          </cell>
          <cell r="BB145">
            <v>-1.2475583625185092</v>
          </cell>
          <cell r="BH145">
            <v>-1.7289438316581709</v>
          </cell>
        </row>
        <row r="159">
          <cell r="Z159" t="str">
            <v>2002-Q1</v>
          </cell>
          <cell r="AA159" t="str">
            <v>2002-Q2</v>
          </cell>
          <cell r="AB159" t="str">
            <v>2002-Q3</v>
          </cell>
          <cell r="AC159" t="str">
            <v>2002-Q4</v>
          </cell>
          <cell r="AD159" t="str">
            <v>2002-FY</v>
          </cell>
          <cell r="AF159" t="str">
            <v>2003-Q1</v>
          </cell>
          <cell r="AG159" t="str">
            <v>2003-Q2</v>
          </cell>
          <cell r="AH159" t="str">
            <v>2003-Q3</v>
          </cell>
          <cell r="AI159" t="str">
            <v>2003-Q4</v>
          </cell>
          <cell r="AJ159" t="str">
            <v>2003-FY</v>
          </cell>
          <cell r="AL159" t="str">
            <v>2004-Q1</v>
          </cell>
          <cell r="AM159" t="str">
            <v>2004-Q2</v>
          </cell>
          <cell r="AN159" t="str">
            <v>2004-Q3</v>
          </cell>
          <cell r="AO159" t="str">
            <v>2004-Q4</v>
          </cell>
          <cell r="AP159" t="str">
            <v>2004-FY</v>
          </cell>
          <cell r="AR159" t="str">
            <v>2005-Q1</v>
          </cell>
          <cell r="AS159" t="str">
            <v>2005-Q2</v>
          </cell>
          <cell r="AT159" t="str">
            <v>2005-Q3</v>
          </cell>
          <cell r="AU159" t="str">
            <v>2005-Q4</v>
          </cell>
          <cell r="AV159" t="str">
            <v>2005-FY</v>
          </cell>
          <cell r="AX159" t="str">
            <v>2006-Q1</v>
          </cell>
          <cell r="AY159" t="str">
            <v>2006-Q2</v>
          </cell>
          <cell r="AZ159" t="str">
            <v>2006-Q3</v>
          </cell>
          <cell r="BA159" t="str">
            <v>2006-Q4</v>
          </cell>
          <cell r="BB159" t="str">
            <v>2006-FY</v>
          </cell>
          <cell r="BD159" t="str">
            <v>2007-Q1</v>
          </cell>
          <cell r="BE159" t="str">
            <v>2007-Q2</v>
          </cell>
          <cell r="BF159" t="str">
            <v>2007-Q3</v>
          </cell>
          <cell r="BG159" t="str">
            <v>2007-Q4</v>
          </cell>
          <cell r="BH159" t="str">
            <v>2007-FY</v>
          </cell>
          <cell r="BJ159" t="str">
            <v>2008-Q1</v>
          </cell>
          <cell r="BK159" t="str">
            <v>2008-Q2</v>
          </cell>
          <cell r="BL159" t="str">
            <v>2008-Q3</v>
          </cell>
          <cell r="BM159" t="str">
            <v>2008-Q4</v>
          </cell>
          <cell r="BN159" t="str">
            <v>2008-FY</v>
          </cell>
          <cell r="BP159" t="str">
            <v>2009-Q1</v>
          </cell>
          <cell r="BQ159" t="str">
            <v>2009-Q2</v>
          </cell>
          <cell r="BR159" t="str">
            <v>2009-Q3</v>
          </cell>
          <cell r="BS159" t="str">
            <v>2009-Q4</v>
          </cell>
          <cell r="BT159" t="str">
            <v>2009-FY</v>
          </cell>
          <cell r="BV159" t="str">
            <v>2010-Q1</v>
          </cell>
          <cell r="BW159" t="str">
            <v>2010-Q2</v>
          </cell>
          <cell r="BX159" t="str">
            <v>2010-Q3</v>
          </cell>
          <cell r="BY159" t="str">
            <v>2010-Q4</v>
          </cell>
          <cell r="BZ159" t="str">
            <v>2010-FY</v>
          </cell>
          <cell r="CB159" t="str">
            <v>2011-Q1</v>
          </cell>
          <cell r="CC159" t="str">
            <v>2011-Q2</v>
          </cell>
          <cell r="CD159" t="str">
            <v>2011-Q3</v>
          </cell>
          <cell r="CE159" t="str">
            <v>2011-Q4</v>
          </cell>
          <cell r="CF159" t="str">
            <v>2011-FY</v>
          </cell>
          <cell r="CH159" t="str">
            <v>2012-Q1</v>
          </cell>
          <cell r="CI159" t="str">
            <v>2012-Q2</v>
          </cell>
          <cell r="CJ159" t="str">
            <v>2012-Q3</v>
          </cell>
          <cell r="CK159" t="str">
            <v>2012-Q4</v>
          </cell>
          <cell r="CL159" t="str">
            <v>2012-FY</v>
          </cell>
        </row>
        <row r="161">
          <cell r="A161" t="str">
            <v xml:space="preserve">For Calculation </v>
          </cell>
        </row>
        <row r="163">
          <cell r="A163" t="str">
            <v xml:space="preserve">Net Operating Income </v>
          </cell>
          <cell r="B163" t="e">
            <v>#REF!</v>
          </cell>
          <cell r="C163" t="e">
            <v>#REF!</v>
          </cell>
          <cell r="D163" t="e">
            <v>#REF!</v>
          </cell>
          <cell r="E163" t="e">
            <v>#REF!</v>
          </cell>
          <cell r="F163" t="e">
            <v>#REF!</v>
          </cell>
          <cell r="H163" t="e">
            <v>#REF!</v>
          </cell>
          <cell r="I163" t="e">
            <v>#REF!</v>
          </cell>
          <cell r="J163" t="e">
            <v>#REF!</v>
          </cell>
          <cell r="K163" t="e">
            <v>#REF!</v>
          </cell>
          <cell r="L163" t="e">
            <v>#REF!</v>
          </cell>
          <cell r="N163" t="e">
            <v>#REF!</v>
          </cell>
          <cell r="O163" t="e">
            <v>#REF!</v>
          </cell>
          <cell r="P163" t="e">
            <v>#REF!</v>
          </cell>
          <cell r="Q163" t="e">
            <v>#REF!</v>
          </cell>
          <cell r="R163" t="e">
            <v>#REF!</v>
          </cell>
          <cell r="T163" t="e">
            <v>#REF!</v>
          </cell>
          <cell r="U163" t="e">
            <v>#REF!</v>
          </cell>
          <cell r="V163" t="e">
            <v>#REF!</v>
          </cell>
          <cell r="W163" t="e">
            <v>#REF!</v>
          </cell>
          <cell r="X163" t="e">
            <v>#REF!</v>
          </cell>
          <cell r="Z163" t="e">
            <v>#REF!</v>
          </cell>
          <cell r="AA163" t="e">
            <v>#REF!</v>
          </cell>
          <cell r="AB163" t="e">
            <v>#REF!</v>
          </cell>
          <cell r="AC163" t="e">
            <v>#REF!</v>
          </cell>
          <cell r="AD163" t="e">
            <v>#REF!</v>
          </cell>
          <cell r="AF163" t="e">
            <v>#REF!</v>
          </cell>
          <cell r="AG163" t="e">
            <v>#REF!</v>
          </cell>
          <cell r="AH163" t="e">
            <v>#REF!</v>
          </cell>
          <cell r="AI163" t="e">
            <v>#REF!</v>
          </cell>
          <cell r="AJ163" t="e">
            <v>#REF!</v>
          </cell>
          <cell r="AL163" t="e">
            <v>#REF!</v>
          </cell>
          <cell r="AM163" t="e">
            <v>#REF!</v>
          </cell>
          <cell r="AN163" t="e">
            <v>#REF!</v>
          </cell>
          <cell r="AO163" t="e">
            <v>#REF!</v>
          </cell>
          <cell r="AP163" t="e">
            <v>#REF!</v>
          </cell>
          <cell r="AR163" t="e">
            <v>#REF!</v>
          </cell>
          <cell r="AS163" t="e">
            <v>#REF!</v>
          </cell>
          <cell r="AT163" t="e">
            <v>#REF!</v>
          </cell>
          <cell r="AU163" t="e">
            <v>#REF!</v>
          </cell>
          <cell r="AV163" t="e">
            <v>#REF!</v>
          </cell>
          <cell r="AX163" t="e">
            <v>#REF!</v>
          </cell>
          <cell r="AY163" t="e">
            <v>#REF!</v>
          </cell>
          <cell r="AZ163" t="e">
            <v>#REF!</v>
          </cell>
          <cell r="BA163" t="e">
            <v>#REF!</v>
          </cell>
          <cell r="BB163" t="e">
            <v>#REF!</v>
          </cell>
          <cell r="BD163" t="e">
            <v>#REF!</v>
          </cell>
          <cell r="BE163" t="e">
            <v>#REF!</v>
          </cell>
          <cell r="BF163" t="e">
            <v>#REF!</v>
          </cell>
          <cell r="BG163" t="e">
            <v>#REF!</v>
          </cell>
          <cell r="BH163" t="e">
            <v>#REF!</v>
          </cell>
          <cell r="BJ163" t="e">
            <v>#REF!</v>
          </cell>
          <cell r="BK163" t="e">
            <v>#REF!</v>
          </cell>
          <cell r="BL163" t="e">
            <v>#REF!</v>
          </cell>
          <cell r="BM163" t="e">
            <v>#REF!</v>
          </cell>
          <cell r="BN163" t="e">
            <v>#REF!</v>
          </cell>
          <cell r="BP163" t="e">
            <v>#REF!</v>
          </cell>
          <cell r="BQ163" t="e">
            <v>#REF!</v>
          </cell>
          <cell r="BR163" t="e">
            <v>#REF!</v>
          </cell>
          <cell r="BS163" t="e">
            <v>#REF!</v>
          </cell>
          <cell r="BT163" t="e">
            <v>#REF!</v>
          </cell>
          <cell r="BV163" t="e">
            <v>#REF!</v>
          </cell>
          <cell r="BW163" t="e">
            <v>#REF!</v>
          </cell>
          <cell r="BX163" t="e">
            <v>#REF!</v>
          </cell>
          <cell r="BY163" t="e">
            <v>#REF!</v>
          </cell>
          <cell r="BZ163" t="e">
            <v>#REF!</v>
          </cell>
          <cell r="CB163" t="e">
            <v>#REF!</v>
          </cell>
          <cell r="CC163" t="e">
            <v>#REF!</v>
          </cell>
          <cell r="CD163" t="e">
            <v>#REF!</v>
          </cell>
          <cell r="CE163" t="e">
            <v>#REF!</v>
          </cell>
          <cell r="CF163" t="e">
            <v>#REF!</v>
          </cell>
          <cell r="CH163" t="e">
            <v>#REF!</v>
          </cell>
          <cell r="CI163" t="e">
            <v>#REF!</v>
          </cell>
          <cell r="CJ163" t="e">
            <v>#REF!</v>
          </cell>
          <cell r="CK163" t="e">
            <v>#REF!</v>
          </cell>
          <cell r="CL163" t="e">
            <v>#REF!</v>
          </cell>
        </row>
        <row r="164">
          <cell r="B164" t="e">
            <v>#REF!</v>
          </cell>
          <cell r="C164" t="e">
            <v>#REF!</v>
          </cell>
          <cell r="D164" t="e">
            <v>#REF!</v>
          </cell>
          <cell r="E164" t="e">
            <v>#REF!</v>
          </cell>
          <cell r="H164" t="e">
            <v>#REF!</v>
          </cell>
          <cell r="I164" t="e">
            <v>#REF!</v>
          </cell>
          <cell r="J164" t="e">
            <v>#REF!</v>
          </cell>
          <cell r="K164" t="e">
            <v>#REF!</v>
          </cell>
          <cell r="N164" t="e">
            <v>#REF!</v>
          </cell>
          <cell r="O164" t="e">
            <v>#REF!</v>
          </cell>
          <cell r="P164" t="e">
            <v>#REF!</v>
          </cell>
          <cell r="Q164" t="e">
            <v>#REF!</v>
          </cell>
          <cell r="T164" t="e">
            <v>#REF!</v>
          </cell>
          <cell r="U164" t="e">
            <v>#REF!</v>
          </cell>
          <cell r="V164" t="e">
            <v>#REF!</v>
          </cell>
          <cell r="W164" t="e">
            <v>#REF!</v>
          </cell>
          <cell r="Z164" t="e">
            <v>#REF!</v>
          </cell>
          <cell r="AA164" t="e">
            <v>#REF!</v>
          </cell>
          <cell r="AB164" t="e">
            <v>#REF!</v>
          </cell>
          <cell r="AC164" t="e">
            <v>#REF!</v>
          </cell>
          <cell r="AF164" t="e">
            <v>#REF!</v>
          </cell>
          <cell r="AG164" t="e">
            <v>#REF!</v>
          </cell>
          <cell r="AH164" t="e">
            <v>#REF!</v>
          </cell>
          <cell r="AI164" t="e">
            <v>#REF!</v>
          </cell>
          <cell r="AL164" t="e">
            <v>#REF!</v>
          </cell>
          <cell r="AM164" t="e">
            <v>#REF!</v>
          </cell>
          <cell r="AN164" t="e">
            <v>#REF!</v>
          </cell>
          <cell r="AO164" t="e">
            <v>#REF!</v>
          </cell>
          <cell r="AR164" t="e">
            <v>#REF!</v>
          </cell>
          <cell r="AS164" t="e">
            <v>#REF!</v>
          </cell>
          <cell r="AT164" t="e">
            <v>#REF!</v>
          </cell>
          <cell r="AU164" t="e">
            <v>#REF!</v>
          </cell>
        </row>
        <row r="166">
          <cell r="A166" t="str">
            <v>Tenant Improvements &amp; Leasing Commissions</v>
          </cell>
          <cell r="B166">
            <v>3500</v>
          </cell>
          <cell r="C166">
            <v>3500</v>
          </cell>
          <cell r="D166">
            <v>3500</v>
          </cell>
          <cell r="E166">
            <v>3500</v>
          </cell>
          <cell r="F166">
            <v>14000</v>
          </cell>
          <cell r="G166">
            <v>0</v>
          </cell>
          <cell r="H166">
            <v>3600</v>
          </cell>
          <cell r="I166">
            <v>3600</v>
          </cell>
          <cell r="J166">
            <v>3600</v>
          </cell>
          <cell r="K166">
            <v>3600</v>
          </cell>
          <cell r="L166">
            <v>14400</v>
          </cell>
          <cell r="M166">
            <v>0</v>
          </cell>
          <cell r="N166">
            <v>1900.8720000000001</v>
          </cell>
          <cell r="O166">
            <v>6419</v>
          </cell>
          <cell r="P166">
            <v>6692</v>
          </cell>
          <cell r="Q166">
            <v>12037</v>
          </cell>
          <cell r="R166">
            <v>27048.871999999999</v>
          </cell>
          <cell r="S166">
            <v>0</v>
          </cell>
          <cell r="T166">
            <v>5240</v>
          </cell>
          <cell r="U166">
            <v>6082</v>
          </cell>
          <cell r="V166">
            <v>10740</v>
          </cell>
          <cell r="W166">
            <v>5928</v>
          </cell>
          <cell r="X166">
            <v>27990</v>
          </cell>
          <cell r="Y166">
            <v>0</v>
          </cell>
          <cell r="Z166">
            <v>8882</v>
          </cell>
          <cell r="AA166">
            <v>12421</v>
          </cell>
          <cell r="AB166">
            <v>7108</v>
          </cell>
          <cell r="AC166">
            <v>8250</v>
          </cell>
          <cell r="AD166">
            <v>36661</v>
          </cell>
          <cell r="AE166">
            <v>0</v>
          </cell>
          <cell r="AF166">
            <v>8207</v>
          </cell>
          <cell r="AG166">
            <v>11694</v>
          </cell>
          <cell r="AH166">
            <v>8141</v>
          </cell>
          <cell r="AI166">
            <v>12080</v>
          </cell>
          <cell r="AJ166">
            <v>40122</v>
          </cell>
          <cell r="AK166">
            <v>0</v>
          </cell>
          <cell r="AL166">
            <v>12848</v>
          </cell>
          <cell r="AM166">
            <v>12170</v>
          </cell>
          <cell r="AN166">
            <v>11125</v>
          </cell>
          <cell r="AO166">
            <v>16312</v>
          </cell>
          <cell r="AP166">
            <v>52455</v>
          </cell>
          <cell r="AQ166">
            <v>0</v>
          </cell>
          <cell r="AR166">
            <v>10852</v>
          </cell>
          <cell r="AS166">
            <v>9809</v>
          </cell>
          <cell r="AT166">
            <v>11238</v>
          </cell>
          <cell r="AU166">
            <v>11501</v>
          </cell>
          <cell r="AV166">
            <v>43400</v>
          </cell>
          <cell r="AW166">
            <v>0</v>
          </cell>
          <cell r="AX166">
            <v>9919</v>
          </cell>
          <cell r="AY166">
            <v>11153</v>
          </cell>
          <cell r="AZ166">
            <v>10545</v>
          </cell>
          <cell r="BA166">
            <v>11181</v>
          </cell>
          <cell r="BB166">
            <v>42798</v>
          </cell>
          <cell r="BC166">
            <v>0</v>
          </cell>
          <cell r="BD166">
            <v>10695</v>
          </cell>
          <cell r="BE166">
            <v>11960</v>
          </cell>
          <cell r="BF166">
            <v>12217</v>
          </cell>
          <cell r="BG166">
            <v>12217</v>
          </cell>
          <cell r="BH166">
            <v>47089</v>
          </cell>
          <cell r="BJ166">
            <v>7922.2382841929257</v>
          </cell>
          <cell r="BK166">
            <v>8350.4253161108318</v>
          </cell>
          <cell r="BL166">
            <v>8676.4283511974736</v>
          </cell>
          <cell r="BM166">
            <v>9000.292782792958</v>
          </cell>
          <cell r="BN166">
            <v>33949.384734294188</v>
          </cell>
          <cell r="BP166">
            <v>9423.7310716680513</v>
          </cell>
          <cell r="BQ166">
            <v>9855.5756457913812</v>
          </cell>
          <cell r="BR166">
            <v>10183.578980797813</v>
          </cell>
          <cell r="BS166">
            <v>10517.123797754328</v>
          </cell>
          <cell r="BT166">
            <v>39980.009496011575</v>
          </cell>
          <cell r="BV166">
            <v>10777.801173315802</v>
          </cell>
          <cell r="BW166">
            <v>11030.848418113088</v>
          </cell>
          <cell r="BX166">
            <v>11284.590575017328</v>
          </cell>
          <cell r="BY166">
            <v>11539.029500416375</v>
          </cell>
          <cell r="BZ166">
            <v>44632.269666862587</v>
          </cell>
          <cell r="CB166">
            <v>12670.100161620956</v>
          </cell>
          <cell r="CC166">
            <v>12961.557890406781</v>
          </cell>
          <cell r="CD166">
            <v>13253.816458748272</v>
          </cell>
          <cell r="CE166">
            <v>13546.877998931102</v>
          </cell>
          <cell r="CF166">
            <v>52432.352509707111</v>
          </cell>
          <cell r="CH166">
            <v>14693.49302690382</v>
          </cell>
          <cell r="CI166">
            <v>15001.578196467637</v>
          </cell>
          <cell r="CJ166">
            <v>15310.531117605417</v>
          </cell>
          <cell r="CK166">
            <v>15620.354101360206</v>
          </cell>
          <cell r="CL166">
            <v>60625.956442337083</v>
          </cell>
        </row>
        <row r="167">
          <cell r="B167">
            <v>7.1428571428571175E-3</v>
          </cell>
          <cell r="C167">
            <v>1.4285714285714235E-2</v>
          </cell>
          <cell r="D167">
            <v>2.1428571428571352E-2</v>
          </cell>
          <cell r="E167">
            <v>2.857142857142847E-2</v>
          </cell>
          <cell r="H167">
            <v>-0.11799500000000007</v>
          </cell>
          <cell r="I167">
            <v>7.7768888888888776E-2</v>
          </cell>
          <cell r="J167">
            <v>0.29249111111111104</v>
          </cell>
          <cell r="K167">
            <v>0.87839388888888892</v>
          </cell>
          <cell r="N167">
            <v>2.9965868296234568</v>
          </cell>
          <cell r="O167">
            <v>0.17039258451472183</v>
          </cell>
          <cell r="P167">
            <v>0.27387178720860739</v>
          </cell>
          <cell r="Q167">
            <v>-0.4186674420536679</v>
          </cell>
          <cell r="T167">
            <v>0.50916030534351142</v>
          </cell>
          <cell r="U167">
            <v>0.56079414666228211</v>
          </cell>
          <cell r="V167">
            <v>-0.20067504655493484</v>
          </cell>
          <cell r="W167">
            <v>0.54609480431848856</v>
          </cell>
          <cell r="Z167">
            <v>1.2891240711551344E-2</v>
          </cell>
          <cell r="AA167">
            <v>-0.29033491667337574</v>
          </cell>
          <cell r="AB167">
            <v>0.27644907146876752</v>
          </cell>
          <cell r="AC167">
            <v>0.21581818181818191</v>
          </cell>
          <cell r="AF167">
            <v>0.36356159376142316</v>
          </cell>
          <cell r="AG167">
            <v>-3.285873097314862E-2</v>
          </cell>
          <cell r="AH167">
            <v>0.48086844368013759</v>
          </cell>
          <cell r="AI167">
            <v>8.5575331125827825E-2</v>
          </cell>
          <cell r="AL167">
            <v>-1.8154576587795734E-2</v>
          </cell>
          <cell r="AM167">
            <v>-1.195562859490551E-2</v>
          </cell>
          <cell r="AN167">
            <v>8.3393258426966321E-2</v>
          </cell>
          <cell r="AO167">
            <v>-0.33484551250613048</v>
          </cell>
          <cell r="AR167">
            <v>-2.1678031699225997E-2</v>
          </cell>
          <cell r="AS167">
            <v>0.116602100112142</v>
          </cell>
          <cell r="AT167">
            <v>-4.0799074568428573E-2</v>
          </cell>
          <cell r="AU167">
            <v>-6.9689592209373097E-2</v>
          </cell>
        </row>
      </sheetData>
      <sheetData sheetId="8" refreshError="1"/>
      <sheetData sheetId="9" refreshError="1">
        <row r="1">
          <cell r="BU1" t="str">
            <v>SegmentID</v>
          </cell>
        </row>
        <row r="2">
          <cell r="A2" t="str">
            <v>AMB Property Corporation</v>
          </cell>
        </row>
        <row r="3">
          <cell r="A3" t="str">
            <v>Assumptions</v>
          </cell>
        </row>
        <row r="4">
          <cell r="A4" t="str">
            <v>(Dollars In Thousands, Except Per-Share)</v>
          </cell>
        </row>
        <row r="8">
          <cell r="B8" t="str">
            <v>1998A</v>
          </cell>
          <cell r="H8" t="str">
            <v>1999A</v>
          </cell>
          <cell r="N8" t="str">
            <v>2000A</v>
          </cell>
          <cell r="T8" t="str">
            <v>2001A</v>
          </cell>
          <cell r="Z8" t="str">
            <v>2002A</v>
          </cell>
          <cell r="AF8" t="str">
            <v>2003E</v>
          </cell>
          <cell r="AL8" t="str">
            <v>2004A</v>
          </cell>
          <cell r="AR8" t="str">
            <v>2005A</v>
          </cell>
          <cell r="AX8" t="str">
            <v>2006A</v>
          </cell>
          <cell r="BD8" t="str">
            <v>2007A</v>
          </cell>
          <cell r="BJ8" t="str">
            <v>2008E</v>
          </cell>
          <cell r="BP8" t="str">
            <v>2009E</v>
          </cell>
          <cell r="BV8" t="str">
            <v>2010E</v>
          </cell>
          <cell r="CB8" t="str">
            <v>2011E</v>
          </cell>
          <cell r="CH8" t="str">
            <v>2012E</v>
          </cell>
        </row>
        <row r="9">
          <cell r="A9" t="str">
            <v>Year Ended December 31,</v>
          </cell>
          <cell r="B9" t="str">
            <v>1Q98A</v>
          </cell>
          <cell r="C9" t="str">
            <v>2Q98A</v>
          </cell>
          <cell r="D9" t="str">
            <v>3Q98A</v>
          </cell>
          <cell r="E9" t="str">
            <v>4Q98A</v>
          </cell>
          <cell r="F9" t="str">
            <v>1998A</v>
          </cell>
          <cell r="H9" t="str">
            <v>1Q99A</v>
          </cell>
          <cell r="I9" t="str">
            <v>2Q99A</v>
          </cell>
          <cell r="J9" t="str">
            <v>3Q99A</v>
          </cell>
          <cell r="K9" t="str">
            <v>4Q99A</v>
          </cell>
          <cell r="L9" t="str">
            <v>1999A</v>
          </cell>
          <cell r="N9" t="str">
            <v>1Q00A</v>
          </cell>
          <cell r="O9" t="str">
            <v>2Q00A</v>
          </cell>
          <cell r="P9" t="str">
            <v>3Q00A</v>
          </cell>
          <cell r="Q9" t="str">
            <v>4Q00A</v>
          </cell>
          <cell r="R9" t="str">
            <v>2000A</v>
          </cell>
          <cell r="T9" t="str">
            <v>1Q01A</v>
          </cell>
          <cell r="U9" t="str">
            <v>2Q01A</v>
          </cell>
          <cell r="V9" t="str">
            <v>3Q01A</v>
          </cell>
          <cell r="W9" t="str">
            <v>4Q01A</v>
          </cell>
          <cell r="X9" t="str">
            <v>2001A</v>
          </cell>
          <cell r="Z9" t="str">
            <v>1Q02A</v>
          </cell>
          <cell r="AA9" t="str">
            <v>2Q02A</v>
          </cell>
          <cell r="AB9" t="str">
            <v>3Q02A</v>
          </cell>
          <cell r="AC9" t="str">
            <v>4Q02A</v>
          </cell>
          <cell r="AD9" t="str">
            <v>2002A</v>
          </cell>
          <cell r="AF9" t="str">
            <v>1Q03A</v>
          </cell>
          <cell r="AG9" t="str">
            <v>2Q03A</v>
          </cell>
          <cell r="AH9" t="str">
            <v>3Q03A</v>
          </cell>
          <cell r="AI9" t="str">
            <v>4Q03A</v>
          </cell>
          <cell r="AJ9" t="str">
            <v>2003A</v>
          </cell>
          <cell r="AL9" t="str">
            <v>1Q04A</v>
          </cell>
          <cell r="AM9" t="str">
            <v>2Q04A</v>
          </cell>
          <cell r="AN9" t="str">
            <v>3Q04A</v>
          </cell>
          <cell r="AO9" t="str">
            <v>4Q04A</v>
          </cell>
          <cell r="AP9" t="str">
            <v>2004A</v>
          </cell>
          <cell r="AR9" t="str">
            <v>1Q05A</v>
          </cell>
          <cell r="AS9" t="str">
            <v>2Q05A</v>
          </cell>
          <cell r="AT9" t="str">
            <v>3Q05A</v>
          </cell>
          <cell r="AU9" t="str">
            <v>4Q05A</v>
          </cell>
          <cell r="AV9" t="str">
            <v>2005A</v>
          </cell>
          <cell r="AX9" t="str">
            <v>1Q06A</v>
          </cell>
          <cell r="AY9" t="str">
            <v>2Q06A</v>
          </cell>
          <cell r="AZ9" t="str">
            <v>3Q06A</v>
          </cell>
          <cell r="BA9" t="str">
            <v>4Q06A</v>
          </cell>
          <cell r="BB9" t="str">
            <v>2006A</v>
          </cell>
          <cell r="BD9" t="str">
            <v>1Q07A</v>
          </cell>
          <cell r="BE9" t="str">
            <v>2Q07A</v>
          </cell>
          <cell r="BF9" t="str">
            <v>3Q07A</v>
          </cell>
          <cell r="BG9" t="str">
            <v>4Q07A</v>
          </cell>
          <cell r="BH9" t="str">
            <v>2007A</v>
          </cell>
          <cell r="BJ9" t="str">
            <v>1Q08E</v>
          </cell>
          <cell r="BK9" t="str">
            <v>2Q08E</v>
          </cell>
          <cell r="BL9" t="str">
            <v>3Q08E</v>
          </cell>
          <cell r="BM9" t="str">
            <v>4Q08E</v>
          </cell>
          <cell r="BN9" t="str">
            <v>2008E</v>
          </cell>
          <cell r="BP9" t="str">
            <v>1Q09E</v>
          </cell>
          <cell r="BQ9" t="str">
            <v>2Q09E</v>
          </cell>
          <cell r="BR9" t="str">
            <v>3Q09E</v>
          </cell>
          <cell r="BS9" t="str">
            <v>4Q09E</v>
          </cell>
          <cell r="BT9" t="str">
            <v>2009E</v>
          </cell>
          <cell r="BV9" t="str">
            <v>1Q10E</v>
          </cell>
          <cell r="BW9" t="str">
            <v>2Q10E</v>
          </cell>
          <cell r="BX9" t="str">
            <v>3Q10E</v>
          </cell>
          <cell r="BY9" t="str">
            <v>4Q10E</v>
          </cell>
          <cell r="BZ9" t="str">
            <v>2010E</v>
          </cell>
          <cell r="CB9" t="str">
            <v>1Q11E</v>
          </cell>
          <cell r="CC9" t="str">
            <v>2Q11E</v>
          </cell>
          <cell r="CD9" t="str">
            <v>3Q11E</v>
          </cell>
          <cell r="CE9" t="str">
            <v>4Q11E</v>
          </cell>
          <cell r="CF9" t="str">
            <v>2011E</v>
          </cell>
          <cell r="CH9" t="str">
            <v>1Q12E</v>
          </cell>
          <cell r="CI9" t="str">
            <v>2Q12E</v>
          </cell>
          <cell r="CJ9" t="str">
            <v>3Q12E</v>
          </cell>
          <cell r="CK9" t="str">
            <v>4Q12E</v>
          </cell>
          <cell r="CL9" t="str">
            <v>2012E</v>
          </cell>
        </row>
        <row r="10">
          <cell r="AR10">
            <v>0.54279592359996276</v>
          </cell>
          <cell r="AS10">
            <v>0.55146518141352874</v>
          </cell>
          <cell r="AT10">
            <v>0.49947322493312551</v>
          </cell>
          <cell r="AU10">
            <v>1.1532817562928104</v>
          </cell>
          <cell r="AV10">
            <v>2.7470160862394275</v>
          </cell>
          <cell r="AX10">
            <v>0.51538749813889906</v>
          </cell>
          <cell r="AY10">
            <v>0.87128909716083225</v>
          </cell>
          <cell r="AZ10">
            <v>0.7179113240213586</v>
          </cell>
          <cell r="BA10">
            <v>1.0148742651104505</v>
          </cell>
          <cell r="BB10">
            <v>3.1194621844315407</v>
          </cell>
          <cell r="BD10">
            <v>0.57000253064967543</v>
          </cell>
          <cell r="BE10">
            <v>0.74167449258610929</v>
          </cell>
          <cell r="BF10">
            <v>0.99167663306360543</v>
          </cell>
          <cell r="BG10">
            <v>1.1976600399505375</v>
          </cell>
          <cell r="BH10">
            <v>3.5010136962499279</v>
          </cell>
          <cell r="BJ10">
            <v>0.63208248291014568</v>
          </cell>
          <cell r="BK10">
            <v>1.0570613113510809</v>
          </cell>
          <cell r="BL10">
            <v>1.0245502133612583</v>
          </cell>
          <cell r="BM10">
            <v>1.2432922621339775</v>
          </cell>
          <cell r="BN10">
            <v>3.9569862697564626</v>
          </cell>
          <cell r="BP10">
            <v>0.71439337923916701</v>
          </cell>
          <cell r="BQ10">
            <v>0.92216718144903442</v>
          </cell>
          <cell r="BR10">
            <v>1.044540251993805</v>
          </cell>
          <cell r="BS10">
            <v>1.4938389444251812</v>
          </cell>
          <cell r="BT10">
            <v>4.1757290222061245</v>
          </cell>
          <cell r="BV10">
            <v>0.80019143785775759</v>
          </cell>
          <cell r="BW10">
            <v>0.99420292819918055</v>
          </cell>
          <cell r="BX10">
            <v>1.1062032541625484</v>
          </cell>
          <cell r="BY10">
            <v>1.3222941086724329</v>
          </cell>
          <cell r="BZ10">
            <v>4.2236163661447383</v>
          </cell>
          <cell r="CB10">
            <v>0.86626662322337755</v>
          </cell>
          <cell r="CC10">
            <v>1.0593509654718647</v>
          </cell>
          <cell r="CD10">
            <v>1.1656897162964968</v>
          </cell>
          <cell r="CE10">
            <v>1.3840375261771509</v>
          </cell>
          <cell r="CF10">
            <v>4.4760472133222784</v>
          </cell>
          <cell r="CH10">
            <v>0.93577876387729431</v>
          </cell>
          <cell r="CI10">
            <v>1.1277078786535222</v>
          </cell>
          <cell r="CJ10">
            <v>1.2271462010604428</v>
          </cell>
          <cell r="CK10">
            <v>1.4458609043012343</v>
          </cell>
          <cell r="CL10">
            <v>4.7371708795893133</v>
          </cell>
        </row>
        <row r="11">
          <cell r="A11" t="str">
            <v>FORECASTING VARIABLES</v>
          </cell>
        </row>
        <row r="12">
          <cell r="A12" t="str">
            <v>Incremental Core Revenue Growth</v>
          </cell>
          <cell r="H12">
            <v>5.2159890539484E-2</v>
          </cell>
          <cell r="I12">
            <v>5.4552885553192043E-2</v>
          </cell>
          <cell r="J12">
            <v>-3.3665110543468657E-2</v>
          </cell>
          <cell r="K12">
            <v>-8.6137747475115711E-3</v>
          </cell>
          <cell r="L12">
            <v>0.24139664110412129</v>
          </cell>
          <cell r="N12">
            <v>-4.5695686952363923E-3</v>
          </cell>
          <cell r="O12">
            <v>2.1530304989562765E-2</v>
          </cell>
          <cell r="P12">
            <v>7.1394341618669532E-2</v>
          </cell>
          <cell r="Q12">
            <v>7.017292160718358E-2</v>
          </cell>
          <cell r="R12">
            <v>5.5738778778050113E-2</v>
          </cell>
          <cell r="T12">
            <v>7.0918238596934025E-2</v>
          </cell>
          <cell r="U12">
            <v>2.749611563979637E-2</v>
          </cell>
          <cell r="V12">
            <v>4.6970294191421402E-2</v>
          </cell>
          <cell r="W12">
            <v>3.7785185742937877E-3</v>
          </cell>
          <cell r="X12">
            <v>0.22384760558768013</v>
          </cell>
          <cell r="Z12">
            <v>3.8188501169522882E-2</v>
          </cell>
          <cell r="AA12">
            <v>-1.6421331967078512E-2</v>
          </cell>
          <cell r="AB12">
            <v>5.7045164650963986E-2</v>
          </cell>
          <cell r="AC12">
            <v>-6.4504716236108983E-3</v>
          </cell>
          <cell r="AD12">
            <v>8.7069108167008746E-2</v>
          </cell>
          <cell r="AF12">
            <v>4.9217229845734956E-3</v>
          </cell>
          <cell r="AG12">
            <v>-6.375129717279604E-2</v>
          </cell>
          <cell r="AH12">
            <v>1.8788734869323864E-3</v>
          </cell>
          <cell r="AI12">
            <v>6.9158588495604967E-2</v>
          </cell>
          <cell r="AJ12">
            <v>-7.7729394828079945E-3</v>
          </cell>
          <cell r="AL12">
            <v>3.3572884264721603E-2</v>
          </cell>
          <cell r="AM12">
            <v>-6.7638512441090537E-3</v>
          </cell>
          <cell r="AN12">
            <v>2.5192988494443957E-2</v>
          </cell>
          <cell r="AO12">
            <v>0.01</v>
          </cell>
          <cell r="BJ12">
            <v>0</v>
          </cell>
          <cell r="BK12">
            <v>0</v>
          </cell>
          <cell r="BL12">
            <v>0</v>
          </cell>
          <cell r="BM12">
            <v>0</v>
          </cell>
          <cell r="BP12">
            <v>0</v>
          </cell>
          <cell r="BQ12">
            <v>0</v>
          </cell>
          <cell r="BR12">
            <v>0</v>
          </cell>
          <cell r="BS12">
            <v>0</v>
          </cell>
          <cell r="BV12">
            <v>0</v>
          </cell>
          <cell r="BW12">
            <v>0</v>
          </cell>
          <cell r="BX12">
            <v>0</v>
          </cell>
          <cell r="BY12">
            <v>0</v>
          </cell>
          <cell r="CB12">
            <v>0</v>
          </cell>
          <cell r="CC12">
            <v>0</v>
          </cell>
          <cell r="CD12">
            <v>0</v>
          </cell>
          <cell r="CE12">
            <v>0</v>
          </cell>
          <cell r="CH12">
            <v>0</v>
          </cell>
          <cell r="CI12">
            <v>0</v>
          </cell>
          <cell r="CJ12">
            <v>0</v>
          </cell>
          <cell r="CK12">
            <v>0</v>
          </cell>
        </row>
        <row r="14">
          <cell r="A14" t="str">
            <v>Current Occupancy</v>
          </cell>
          <cell r="AR14">
            <v>0.94799999999999995</v>
          </cell>
          <cell r="AS14">
            <v>0.95099999999999996</v>
          </cell>
          <cell r="AT14">
            <v>0.94499999999999995</v>
          </cell>
          <cell r="AU14">
            <v>0.94599999999999995</v>
          </cell>
          <cell r="AX14">
            <v>0.95599999999999996</v>
          </cell>
          <cell r="AY14">
            <v>0.94899999999999995</v>
          </cell>
          <cell r="AZ14">
            <v>0.95599999999999996</v>
          </cell>
          <cell r="BA14">
            <v>0.96099999999999997</v>
          </cell>
          <cell r="BD14">
            <v>0.96099999999999997</v>
          </cell>
          <cell r="BE14">
            <v>0.95199999999999996</v>
          </cell>
          <cell r="BF14">
            <v>0.96099999999999997</v>
          </cell>
          <cell r="BG14">
            <v>0.95499999999999996</v>
          </cell>
          <cell r="BJ14">
            <v>0.96</v>
          </cell>
          <cell r="BK14">
            <v>0.96</v>
          </cell>
          <cell r="BL14">
            <v>0.95499999999999996</v>
          </cell>
          <cell r="BM14">
            <v>0.95</v>
          </cell>
          <cell r="BP14">
            <v>0.94499999999999995</v>
          </cell>
          <cell r="BQ14">
            <v>0.94599999999999995</v>
          </cell>
          <cell r="BR14">
            <v>0.94699999999999995</v>
          </cell>
          <cell r="BS14">
            <v>0.94799999999999995</v>
          </cell>
          <cell r="BV14">
            <v>0.94899999999999995</v>
          </cell>
          <cell r="BW14">
            <v>0.94699999999999995</v>
          </cell>
          <cell r="BX14">
            <v>0.94499999999999995</v>
          </cell>
          <cell r="BY14">
            <v>0.94299999999999995</v>
          </cell>
          <cell r="CB14">
            <v>0.94099999999999995</v>
          </cell>
          <cell r="CC14">
            <v>0.93899999999999995</v>
          </cell>
          <cell r="CD14">
            <v>0.93699999999999994</v>
          </cell>
          <cell r="CE14">
            <v>0.93499999999999994</v>
          </cell>
          <cell r="CH14">
            <v>0.93299999999999994</v>
          </cell>
          <cell r="CI14">
            <v>0.93099999999999994</v>
          </cell>
          <cell r="CJ14">
            <v>0.92899999999999994</v>
          </cell>
          <cell r="CK14">
            <v>0.92699999999999994</v>
          </cell>
        </row>
        <row r="15">
          <cell r="A15" t="str">
            <v>Changes in Occupancy</v>
          </cell>
          <cell r="BJ15">
            <v>0</v>
          </cell>
          <cell r="BK15">
            <v>-5.0000000000000001E-3</v>
          </cell>
          <cell r="BL15">
            <v>-5.0000000000000001E-3</v>
          </cell>
          <cell r="BM15">
            <v>-5.0000000000000001E-3</v>
          </cell>
          <cell r="BP15">
            <v>1E-3</v>
          </cell>
          <cell r="BQ15">
            <v>1E-3</v>
          </cell>
          <cell r="BR15">
            <v>1E-3</v>
          </cell>
          <cell r="BS15">
            <v>1E-3</v>
          </cell>
          <cell r="BV15">
            <v>-2E-3</v>
          </cell>
          <cell r="BW15">
            <v>-2E-3</v>
          </cell>
          <cell r="BX15">
            <v>-2E-3</v>
          </cell>
          <cell r="BY15">
            <v>-2E-3</v>
          </cell>
          <cell r="CB15">
            <v>-2E-3</v>
          </cell>
          <cell r="CC15">
            <v>-2E-3</v>
          </cell>
          <cell r="CD15">
            <v>-2E-3</v>
          </cell>
          <cell r="CE15">
            <v>-2E-3</v>
          </cell>
          <cell r="CH15">
            <v>-2E-3</v>
          </cell>
          <cell r="CI15">
            <v>-2E-3</v>
          </cell>
          <cell r="CJ15">
            <v>-2E-3</v>
          </cell>
          <cell r="CK15">
            <v>-2E-3</v>
          </cell>
        </row>
        <row r="16">
          <cell r="A16" t="str">
            <v>Anticipated Occ</v>
          </cell>
          <cell r="AR16">
            <v>0.95099999999999996</v>
          </cell>
          <cell r="AS16">
            <v>0.94499999999999995</v>
          </cell>
          <cell r="AT16">
            <v>0.94599999999999995</v>
          </cell>
          <cell r="AU16">
            <v>0.95599999999999996</v>
          </cell>
          <cell r="AX16">
            <v>0.94899999999999995</v>
          </cell>
          <cell r="AY16">
            <v>0.95599999999999996</v>
          </cell>
          <cell r="AZ16">
            <v>0.96099999999999997</v>
          </cell>
          <cell r="BA16">
            <v>0.96099999999999997</v>
          </cell>
          <cell r="BD16">
            <v>0.95199999999999996</v>
          </cell>
          <cell r="BE16">
            <v>0.96099999999999997</v>
          </cell>
          <cell r="BF16">
            <v>0.95499999999999996</v>
          </cell>
          <cell r="BG16">
            <v>0.96</v>
          </cell>
          <cell r="BJ16">
            <v>0.96</v>
          </cell>
          <cell r="BK16">
            <v>0.95499999999999996</v>
          </cell>
          <cell r="BL16">
            <v>0.95</v>
          </cell>
          <cell r="BM16">
            <v>0.94499999999999995</v>
          </cell>
          <cell r="BP16">
            <v>0.94599999999999995</v>
          </cell>
          <cell r="BQ16">
            <v>0.94699999999999995</v>
          </cell>
          <cell r="BR16">
            <v>0.94799999999999995</v>
          </cell>
          <cell r="BS16">
            <v>0.94899999999999995</v>
          </cell>
          <cell r="BV16">
            <v>0.94699999999999995</v>
          </cell>
          <cell r="BW16">
            <v>0.94499999999999995</v>
          </cell>
          <cell r="BX16">
            <v>0.94299999999999995</v>
          </cell>
          <cell r="BY16">
            <v>0.94099999999999995</v>
          </cell>
          <cell r="CB16">
            <v>0.93899999999999995</v>
          </cell>
          <cell r="CC16">
            <v>0.93699999999999994</v>
          </cell>
          <cell r="CD16">
            <v>0.93499999999999994</v>
          </cell>
          <cell r="CE16">
            <v>0.93299999999999994</v>
          </cell>
          <cell r="CH16">
            <v>0.93099999999999994</v>
          </cell>
          <cell r="CI16">
            <v>0.92899999999999994</v>
          </cell>
          <cell r="CJ16">
            <v>0.92699999999999994</v>
          </cell>
          <cell r="CK16">
            <v>0.92499999999999993</v>
          </cell>
        </row>
        <row r="17">
          <cell r="A17" t="str">
            <v>Industrial</v>
          </cell>
          <cell r="AR17">
            <v>77941.898000000001</v>
          </cell>
          <cell r="AS17">
            <v>77941.898000000001</v>
          </cell>
          <cell r="AT17">
            <v>77941.898000000001</v>
          </cell>
          <cell r="AU17">
            <v>77941.898000000001</v>
          </cell>
          <cell r="AX17">
            <v>89845.311000000002</v>
          </cell>
          <cell r="AY17">
            <v>92185.403000000006</v>
          </cell>
          <cell r="AZ17">
            <v>93562.702000000005</v>
          </cell>
          <cell r="BA17">
            <v>100702.91499999999</v>
          </cell>
          <cell r="BD17">
            <v>103175.21</v>
          </cell>
          <cell r="BE17">
            <v>111335.628</v>
          </cell>
          <cell r="BF17">
            <v>114030.439</v>
          </cell>
          <cell r="BG17">
            <v>118180.295</v>
          </cell>
          <cell r="BJ17">
            <v>118180.295</v>
          </cell>
          <cell r="BK17">
            <v>118180.295</v>
          </cell>
          <cell r="BL17">
            <v>118180.295</v>
          </cell>
          <cell r="BM17">
            <v>118180.295</v>
          </cell>
          <cell r="BP17">
            <v>118180.295</v>
          </cell>
          <cell r="BQ17">
            <v>118180.295</v>
          </cell>
          <cell r="BR17">
            <v>118180.295</v>
          </cell>
          <cell r="BS17">
            <v>118180.295</v>
          </cell>
          <cell r="BV17">
            <v>118180.295</v>
          </cell>
          <cell r="BW17">
            <v>118180.295</v>
          </cell>
          <cell r="BX17">
            <v>118180.295</v>
          </cell>
          <cell r="BY17">
            <v>118180.295</v>
          </cell>
          <cell r="CB17">
            <v>118180.295</v>
          </cell>
          <cell r="CC17">
            <v>118180.295</v>
          </cell>
          <cell r="CD17">
            <v>118180.295</v>
          </cell>
          <cell r="CE17">
            <v>118180.295</v>
          </cell>
          <cell r="CH17">
            <v>118180.295</v>
          </cell>
          <cell r="CI17">
            <v>118180.295</v>
          </cell>
          <cell r="CJ17">
            <v>118180.295</v>
          </cell>
          <cell r="CK17">
            <v>118180.295</v>
          </cell>
        </row>
        <row r="18">
          <cell r="A18" t="str">
            <v>Estimated Square Feet Expiring</v>
          </cell>
          <cell r="AT18">
            <v>3001.2939999999999</v>
          </cell>
          <cell r="AU18">
            <v>3001.2939999999999</v>
          </cell>
          <cell r="AV18">
            <v>6002.5879999999997</v>
          </cell>
          <cell r="AX18">
            <v>3703.5904999999998</v>
          </cell>
          <cell r="AY18">
            <v>3314.5683333333332</v>
          </cell>
          <cell r="AZ18">
            <v>2712.4814999999999</v>
          </cell>
          <cell r="BA18">
            <v>2843.6390000000001</v>
          </cell>
          <cell r="BB18">
            <v>5424.9629999999997</v>
          </cell>
          <cell r="BD18">
            <v>3986.5837499999998</v>
          </cell>
          <cell r="BE18">
            <v>3794.3040000000001</v>
          </cell>
          <cell r="BF18">
            <v>4249.3805000000002</v>
          </cell>
          <cell r="BG18">
            <v>5036.5519999999997</v>
          </cell>
          <cell r="BH18">
            <v>5036.5519999999997</v>
          </cell>
          <cell r="BJ18">
            <v>3899.9497350000001</v>
          </cell>
          <cell r="BK18">
            <v>3899.9497350000001</v>
          </cell>
          <cell r="BL18">
            <v>3899.9497350000001</v>
          </cell>
          <cell r="BM18">
            <v>3899.9497350000001</v>
          </cell>
          <cell r="BN18">
            <v>15599.798940000001</v>
          </cell>
          <cell r="BP18">
            <v>4845.3920950000002</v>
          </cell>
          <cell r="BQ18">
            <v>4845.3920950000002</v>
          </cell>
          <cell r="BR18">
            <v>4845.3920950000002</v>
          </cell>
          <cell r="BS18">
            <v>4845.3920950000002</v>
          </cell>
          <cell r="BT18">
            <v>19381.568380000001</v>
          </cell>
          <cell r="BV18">
            <v>4372.6709149999997</v>
          </cell>
          <cell r="BW18">
            <v>4372.6709149999997</v>
          </cell>
          <cell r="BX18">
            <v>4372.6709149999997</v>
          </cell>
          <cell r="BY18">
            <v>4372.6709149999997</v>
          </cell>
          <cell r="BZ18">
            <v>17490.683659999999</v>
          </cell>
          <cell r="CB18">
            <v>4021.471</v>
          </cell>
          <cell r="CC18">
            <v>4021.471</v>
          </cell>
          <cell r="CD18">
            <v>4021.471</v>
          </cell>
          <cell r="CE18">
            <v>4021.471</v>
          </cell>
          <cell r="CF18">
            <v>16085.884</v>
          </cell>
          <cell r="CH18">
            <v>3040.2984999999999</v>
          </cell>
          <cell r="CI18">
            <v>3040.2984999999999</v>
          </cell>
          <cell r="CJ18">
            <v>3040.2984999999999</v>
          </cell>
          <cell r="CK18">
            <v>3040.2984999999999</v>
          </cell>
          <cell r="CL18">
            <v>12161.194</v>
          </cell>
        </row>
        <row r="19">
          <cell r="A19" t="str">
            <v>Rent per sq. ft. for Expiring Leases</v>
          </cell>
          <cell r="AT19">
            <v>6.7652485894417547</v>
          </cell>
          <cell r="AU19">
            <v>6.7652485894417547</v>
          </cell>
          <cell r="AX19">
            <v>8.7991347289566608</v>
          </cell>
          <cell r="AY19">
            <v>6.1444904087560923</v>
          </cell>
          <cell r="AZ19">
            <v>9.8267951320589653</v>
          </cell>
          <cell r="BA19">
            <v>9.8267951320589653</v>
          </cell>
          <cell r="BD19">
            <v>6.0805194422417399</v>
          </cell>
          <cell r="BE19">
            <v>6.3033570640803962</v>
          </cell>
          <cell r="BF19">
            <v>6.8889130350569836</v>
          </cell>
          <cell r="BG19">
            <v>10.584622178029733</v>
          </cell>
          <cell r="BJ19">
            <v>7.5757575757575752</v>
          </cell>
          <cell r="BK19">
            <v>7.5757575757575752</v>
          </cell>
          <cell r="BL19">
            <v>7.5757575757575752</v>
          </cell>
          <cell r="BM19">
            <v>7.5757575757575752</v>
          </cell>
          <cell r="BP19">
            <v>6.0975609756097562</v>
          </cell>
          <cell r="BQ19">
            <v>6.0975609756097562</v>
          </cell>
          <cell r="BR19">
            <v>6.0975609756097562</v>
          </cell>
          <cell r="BS19">
            <v>6.0975609756097562</v>
          </cell>
          <cell r="BV19">
            <v>6.756756756756757</v>
          </cell>
          <cell r="BW19">
            <v>6.756756756756757</v>
          </cell>
          <cell r="BX19">
            <v>6.756756756756757</v>
          </cell>
          <cell r="BY19">
            <v>6.756756756756757</v>
          </cell>
          <cell r="CB19">
            <v>7.3612988878945043</v>
          </cell>
          <cell r="CC19">
            <v>7.3612988878945043</v>
          </cell>
          <cell r="CD19">
            <v>7.3612988878945043</v>
          </cell>
          <cell r="CE19">
            <v>7.3612988878945043</v>
          </cell>
          <cell r="CH19">
            <v>8.3629946204295411</v>
          </cell>
          <cell r="CI19">
            <v>8.3629946204295411</v>
          </cell>
          <cell r="CJ19">
            <v>8.3629946204295411</v>
          </cell>
          <cell r="CK19">
            <v>8.3629946204295411</v>
          </cell>
        </row>
        <row r="20">
          <cell r="A20" t="str">
            <v>New rent rate growth</v>
          </cell>
          <cell r="AT20">
            <v>-7.0000000000000007E-2</v>
          </cell>
          <cell r="AU20">
            <v>-0.05</v>
          </cell>
          <cell r="AX20">
            <v>-0.115</v>
          </cell>
          <cell r="AY20">
            <v>-8.9999999999999993E-3</v>
          </cell>
          <cell r="AZ20">
            <v>0.09</v>
          </cell>
          <cell r="BA20">
            <v>0.05</v>
          </cell>
          <cell r="BD20">
            <v>0.06</v>
          </cell>
          <cell r="BE20">
            <v>0.02</v>
          </cell>
          <cell r="BF20">
            <v>8.8999999999999996E-2</v>
          </cell>
          <cell r="BG20">
            <v>5.5E-2</v>
          </cell>
          <cell r="BJ20">
            <v>0.05</v>
          </cell>
          <cell r="BK20">
            <v>0.05</v>
          </cell>
          <cell r="BL20">
            <v>0.05</v>
          </cell>
          <cell r="BM20">
            <v>0.05</v>
          </cell>
          <cell r="BP20">
            <v>0.05</v>
          </cell>
          <cell r="BQ20">
            <v>0.05</v>
          </cell>
          <cell r="BR20">
            <v>0.05</v>
          </cell>
          <cell r="BS20">
            <v>0.05</v>
          </cell>
          <cell r="BV20">
            <v>0</v>
          </cell>
          <cell r="BW20">
            <v>0</v>
          </cell>
          <cell r="BX20">
            <v>0</v>
          </cell>
          <cell r="BY20">
            <v>0</v>
          </cell>
          <cell r="CB20">
            <v>0</v>
          </cell>
          <cell r="CC20">
            <v>0</v>
          </cell>
          <cell r="CD20">
            <v>0</v>
          </cell>
          <cell r="CE20">
            <v>0</v>
          </cell>
          <cell r="CH20">
            <v>-0.02</v>
          </cell>
          <cell r="CI20">
            <v>-0.02</v>
          </cell>
          <cell r="CJ20">
            <v>-0.02</v>
          </cell>
          <cell r="CK20">
            <v>-0.02</v>
          </cell>
        </row>
        <row r="21">
          <cell r="A21" t="str">
            <v xml:space="preserve">New Rent per s. f. </v>
          </cell>
          <cell r="AT21">
            <v>6.2916811881808314</v>
          </cell>
          <cell r="AU21">
            <v>6.4269861599696663</v>
          </cell>
          <cell r="AX21">
            <v>7.787234235126645</v>
          </cell>
          <cell r="AY21">
            <v>6.0891899950772874</v>
          </cell>
          <cell r="AZ21">
            <v>10.711206693944273</v>
          </cell>
          <cell r="BA21">
            <v>10.318134888661914</v>
          </cell>
          <cell r="BD21">
            <v>6.4453506087762449</v>
          </cell>
          <cell r="BE21">
            <v>6.4294242053620039</v>
          </cell>
          <cell r="BF21">
            <v>7.5020262951770551</v>
          </cell>
          <cell r="BG21">
            <v>11.166776397821367</v>
          </cell>
          <cell r="BJ21">
            <v>7.9545454545454541</v>
          </cell>
          <cell r="BK21">
            <v>7.9545454545454541</v>
          </cell>
          <cell r="BL21">
            <v>7.9545454545454541</v>
          </cell>
          <cell r="BM21">
            <v>7.9545454545454541</v>
          </cell>
          <cell r="BP21">
            <v>6.4024390243902447</v>
          </cell>
          <cell r="BQ21">
            <v>6.4024390243902447</v>
          </cell>
          <cell r="BR21">
            <v>6.4024390243902447</v>
          </cell>
          <cell r="BS21">
            <v>6.4024390243902447</v>
          </cell>
          <cell r="BV21">
            <v>6.756756756756757</v>
          </cell>
          <cell r="BW21">
            <v>6.756756756756757</v>
          </cell>
          <cell r="BX21">
            <v>6.756756756756757</v>
          </cell>
          <cell r="BY21">
            <v>6.756756756756757</v>
          </cell>
          <cell r="CB21">
            <v>7.3612988878945043</v>
          </cell>
          <cell r="CC21">
            <v>7.3612988878945043</v>
          </cell>
          <cell r="CD21">
            <v>7.3612988878945043</v>
          </cell>
          <cell r="CE21">
            <v>7.3612988878945043</v>
          </cell>
          <cell r="CH21">
            <v>8.19573472802095</v>
          </cell>
          <cell r="CI21">
            <v>8.19573472802095</v>
          </cell>
          <cell r="CJ21">
            <v>8.19573472802095</v>
          </cell>
          <cell r="CK21">
            <v>8.19573472802095</v>
          </cell>
        </row>
        <row r="22">
          <cell r="A22" t="str">
            <v>Net impact of change in Occupancy</v>
          </cell>
          <cell r="AT22">
            <v>122.59639335442739</v>
          </cell>
          <cell r="AU22">
            <v>1252.3287493194198</v>
          </cell>
          <cell r="AX22">
            <v>-1224.3813429484021</v>
          </cell>
          <cell r="AY22">
            <v>982.33525886959444</v>
          </cell>
          <cell r="AZ22">
            <v>1252.7117999573927</v>
          </cell>
          <cell r="BA22">
            <v>0</v>
          </cell>
          <cell r="BD22">
            <v>-1496.2509058142643</v>
          </cell>
          <cell r="BE22">
            <v>1610.6039585603555</v>
          </cell>
          <cell r="BF22">
            <v>-1283.1890277428759</v>
          </cell>
          <cell r="BG22">
            <v>1649.6161611169596</v>
          </cell>
          <cell r="BJ22">
            <v>0</v>
          </cell>
          <cell r="BK22">
            <v>-1175.0881605113645</v>
          </cell>
          <cell r="BL22">
            <v>-1175.0881605113645</v>
          </cell>
          <cell r="BM22">
            <v>-1175.0881605113645</v>
          </cell>
          <cell r="BP22">
            <v>189.160533155488</v>
          </cell>
          <cell r="BQ22">
            <v>189.160533155488</v>
          </cell>
          <cell r="BR22">
            <v>189.160533155488</v>
          </cell>
          <cell r="BS22">
            <v>189.160533155488</v>
          </cell>
          <cell r="BV22">
            <v>-399.25775337837871</v>
          </cell>
          <cell r="BW22">
            <v>-399.25775337837871</v>
          </cell>
          <cell r="BX22">
            <v>-399.25775337837871</v>
          </cell>
          <cell r="BY22">
            <v>-399.25775337837871</v>
          </cell>
          <cell r="CB22">
            <v>-434.98023707727259</v>
          </cell>
          <cell r="CC22">
            <v>-434.98023707727259</v>
          </cell>
          <cell r="CD22">
            <v>-434.98023707727259</v>
          </cell>
          <cell r="CE22">
            <v>-434.98023707727259</v>
          </cell>
          <cell r="CH22">
            <v>-484.28717394963076</v>
          </cell>
          <cell r="CI22">
            <v>-484.28717394963076</v>
          </cell>
          <cell r="CJ22">
            <v>-484.28717394963076</v>
          </cell>
          <cell r="CK22">
            <v>-484.28717394963076</v>
          </cell>
        </row>
        <row r="23">
          <cell r="A23" t="str">
            <v>Income from Lease Expiration &amp; Re-leasing</v>
          </cell>
          <cell r="AT23">
            <v>-355.3287500000003</v>
          </cell>
          <cell r="AU23">
            <v>-253.80625000000052</v>
          </cell>
          <cell r="AX23">
            <v>-936.91626397353878</v>
          </cell>
          <cell r="AY23">
            <v>-45.824250000000049</v>
          </cell>
          <cell r="AZ23">
            <v>599.73750000000086</v>
          </cell>
          <cell r="BA23">
            <v>349.29822353166344</v>
          </cell>
          <cell r="BD23">
            <v>363.6075000000003</v>
          </cell>
          <cell r="BE23">
            <v>119.58426460834228</v>
          </cell>
          <cell r="BF23">
            <v>651.33788296141495</v>
          </cell>
          <cell r="BG23">
            <v>733.01249999999936</v>
          </cell>
          <cell r="BJ23">
            <v>369.31342187500013</v>
          </cell>
          <cell r="BK23">
            <v>369.31342187500013</v>
          </cell>
          <cell r="BL23">
            <v>369.31342187500013</v>
          </cell>
          <cell r="BM23">
            <v>369.31342187500013</v>
          </cell>
          <cell r="BP23">
            <v>369.31342187500087</v>
          </cell>
          <cell r="BQ23">
            <v>369.31342187500087</v>
          </cell>
          <cell r="BR23">
            <v>369.31342187500087</v>
          </cell>
          <cell r="BS23">
            <v>369.31342187500087</v>
          </cell>
          <cell r="BV23">
            <v>0</v>
          </cell>
          <cell r="BW23">
            <v>0</v>
          </cell>
          <cell r="BX23">
            <v>0</v>
          </cell>
          <cell r="BY23">
            <v>0</v>
          </cell>
          <cell r="CB23">
            <v>0</v>
          </cell>
          <cell r="CC23">
            <v>0</v>
          </cell>
          <cell r="CD23">
            <v>0</v>
          </cell>
          <cell r="CE23">
            <v>0</v>
          </cell>
          <cell r="CH23">
            <v>-127.13000000000019</v>
          </cell>
          <cell r="CI23">
            <v>-127.13000000000019</v>
          </cell>
          <cell r="CJ23">
            <v>-127.13000000000019</v>
          </cell>
          <cell r="CK23">
            <v>-127.13000000000019</v>
          </cell>
        </row>
        <row r="24">
          <cell r="A24" t="str">
            <v>Total Change in Lease Income</v>
          </cell>
          <cell r="AT24">
            <v>-232.73235664557291</v>
          </cell>
          <cell r="AU24">
            <v>998.52249931941924</v>
          </cell>
          <cell r="AX24">
            <v>-2161.2976069219408</v>
          </cell>
          <cell r="AY24">
            <v>936.51100886959443</v>
          </cell>
          <cell r="AZ24">
            <v>1852.4492999573936</v>
          </cell>
          <cell r="BA24">
            <v>349.29822353166344</v>
          </cell>
          <cell r="BD24">
            <v>-1132.643405814264</v>
          </cell>
          <cell r="BE24">
            <v>1730.1882231686977</v>
          </cell>
          <cell r="BF24">
            <v>-631.8511447814609</v>
          </cell>
          <cell r="BG24">
            <v>2382.6286611169589</v>
          </cell>
          <cell r="BJ24">
            <v>369.31342187500013</v>
          </cell>
          <cell r="BK24">
            <v>-805.77473863636442</v>
          </cell>
          <cell r="BL24">
            <v>-805.77473863636442</v>
          </cell>
          <cell r="BM24">
            <v>-805.77473863636442</v>
          </cell>
          <cell r="BP24">
            <v>558.47395503048892</v>
          </cell>
          <cell r="BQ24">
            <v>558.47395503048892</v>
          </cell>
          <cell r="BR24">
            <v>558.47395503048892</v>
          </cell>
          <cell r="BS24">
            <v>558.47395503048892</v>
          </cell>
          <cell r="BV24">
            <v>-399.25775337837871</v>
          </cell>
          <cell r="BW24">
            <v>-399.25775337837871</v>
          </cell>
          <cell r="BX24">
            <v>-399.25775337837871</v>
          </cell>
          <cell r="BY24">
            <v>-399.25775337837871</v>
          </cell>
          <cell r="CB24">
            <v>-434.98023707727259</v>
          </cell>
          <cell r="CC24">
            <v>-434.98023707727259</v>
          </cell>
          <cell r="CD24">
            <v>-434.98023707727259</v>
          </cell>
          <cell r="CE24">
            <v>-434.98023707727259</v>
          </cell>
          <cell r="CH24">
            <v>-611.41717394963098</v>
          </cell>
          <cell r="CI24">
            <v>-611.41717394963098</v>
          </cell>
          <cell r="CJ24">
            <v>-611.41717394963098</v>
          </cell>
          <cell r="CK24">
            <v>-611.41717394963098</v>
          </cell>
        </row>
        <row r="26">
          <cell r="A26" t="str">
            <v>Investment Management  (% of Revs)</v>
          </cell>
          <cell r="B26">
            <v>1.5857483713573362E-2</v>
          </cell>
          <cell r="C26">
            <v>7.2629471214796029E-3</v>
          </cell>
          <cell r="D26">
            <v>1.3140746006613458E-2</v>
          </cell>
          <cell r="E26">
            <v>1.6682955433932761E-2</v>
          </cell>
          <cell r="H26">
            <v>1.7787974771728731E-2</v>
          </cell>
          <cell r="I26">
            <v>1.6268827622654806E-2</v>
          </cell>
          <cell r="J26">
            <v>1.8922959127866699E-2</v>
          </cell>
          <cell r="K26">
            <v>2.4705092724547871E-2</v>
          </cell>
          <cell r="L26">
            <v>1.9390071373658616E-2</v>
          </cell>
          <cell r="N26">
            <v>3.6576579905048677E-3</v>
          </cell>
          <cell r="O26">
            <v>6.3654529508033672E-3</v>
          </cell>
          <cell r="P26">
            <v>1.2076662756449748E-2</v>
          </cell>
          <cell r="Q26">
            <v>3.5644438836666459E-2</v>
          </cell>
          <cell r="R26">
            <v>1.5190751544712645E-2</v>
          </cell>
          <cell r="T26">
            <v>1.7820192782085551E-2</v>
          </cell>
          <cell r="U26">
            <v>1.1065324112229907E-2</v>
          </cell>
          <cell r="V26">
            <v>1.6017633086680038E-2</v>
          </cell>
          <cell r="W26">
            <v>2.0117156866087928E-2</v>
          </cell>
          <cell r="X26">
            <v>1.6290360627110229E-2</v>
          </cell>
          <cell r="Z26">
            <v>1.6999362852319677E-2</v>
          </cell>
          <cell r="AA26">
            <v>2.0795907600456787E-2</v>
          </cell>
          <cell r="AB26">
            <v>1.7475028903925247E-2</v>
          </cell>
          <cell r="AC26">
            <v>1.7327771489616055E-2</v>
          </cell>
          <cell r="AD26">
            <v>1.8125523256472997E-2</v>
          </cell>
          <cell r="AF26">
            <v>1.4939634007441343E-2</v>
          </cell>
          <cell r="AG26">
            <v>2.4026601604476856E-2</v>
          </cell>
          <cell r="AH26">
            <v>1.3006024055747812E-2</v>
          </cell>
          <cell r="AI26">
            <v>3.4658119388482629E-2</v>
          </cell>
          <cell r="AJ26">
            <v>2.1766626899092093E-2</v>
          </cell>
          <cell r="AL26">
            <v>1.4827973530632676E-2</v>
          </cell>
          <cell r="AM26">
            <v>1.7958993017995868E-2</v>
          </cell>
          <cell r="AN26">
            <v>1.5684424319488157E-2</v>
          </cell>
          <cell r="AO26">
            <v>2.8416396343261575E-2</v>
          </cell>
          <cell r="AP26">
            <v>1.9250032469034992E-2</v>
          </cell>
          <cell r="AR26">
            <v>1.9626632595116413E-2</v>
          </cell>
          <cell r="AS26">
            <v>2.0362593950449835E-2</v>
          </cell>
          <cell r="AT26">
            <v>3.3974230510792298E-2</v>
          </cell>
          <cell r="AU26">
            <v>4.2219843955341375E-2</v>
          </cell>
          <cell r="AV26">
            <v>2.9453849905170738E-2</v>
          </cell>
          <cell r="AX26">
            <v>2.9920364716705831E-2</v>
          </cell>
          <cell r="AY26">
            <v>2.8192551189186107E-2</v>
          </cell>
          <cell r="AZ26">
            <v>3.1090273027102485E-2</v>
          </cell>
          <cell r="BA26">
            <v>5.0356871865418901E-2</v>
          </cell>
          <cell r="BD26">
            <v>3.6582203452619103E-2</v>
          </cell>
          <cell r="BE26">
            <v>5.2473679995564564E-2</v>
          </cell>
          <cell r="BF26">
            <v>4.7982745496066986E-2</v>
          </cell>
          <cell r="BG26">
            <v>6.029750915341054E-2</v>
          </cell>
          <cell r="BJ26">
            <v>3.6582203452619103E-2</v>
          </cell>
          <cell r="BK26">
            <v>5.2473679995564564E-2</v>
          </cell>
          <cell r="BL26">
            <v>4.9982745496066988E-2</v>
          </cell>
          <cell r="BM26">
            <v>6.2297509153410542E-2</v>
          </cell>
          <cell r="BP26">
            <v>3.6582203452619103E-2</v>
          </cell>
          <cell r="BQ26">
            <v>5.2473679995564564E-2</v>
          </cell>
          <cell r="BR26">
            <v>4.9982745496066988E-2</v>
          </cell>
          <cell r="BS26">
            <v>6.2297509153410542E-2</v>
          </cell>
          <cell r="BT26">
            <v>8.8857480013051979E-2</v>
          </cell>
          <cell r="BV26">
            <v>3.6582203452619103E-2</v>
          </cell>
          <cell r="BW26">
            <v>5.2473679995564564E-2</v>
          </cell>
          <cell r="BX26">
            <v>4.9982745496066988E-2</v>
          </cell>
          <cell r="BY26">
            <v>6.2297509153410542E-2</v>
          </cell>
          <cell r="BZ26">
            <v>5.031090092215687E-2</v>
          </cell>
          <cell r="CB26">
            <v>3.6582203452619103E-2</v>
          </cell>
          <cell r="CC26">
            <v>5.2473679995564564E-2</v>
          </cell>
          <cell r="CD26">
            <v>4.9982745496066988E-2</v>
          </cell>
          <cell r="CE26">
            <v>6.2297509153410542E-2</v>
          </cell>
          <cell r="CF26">
            <v>5.030856442352552E-2</v>
          </cell>
          <cell r="CH26">
            <v>3.6582203452619103E-2</v>
          </cell>
          <cell r="CI26">
            <v>5.2473679995564564E-2</v>
          </cell>
          <cell r="CJ26">
            <v>4.9982745496066988E-2</v>
          </cell>
          <cell r="CK26">
            <v>6.2297509153410542E-2</v>
          </cell>
          <cell r="CL26">
            <v>5.0297736480979661E-2</v>
          </cell>
        </row>
        <row r="27">
          <cell r="A27" t="str">
            <v>Other Income (% of Revs)</v>
          </cell>
          <cell r="B27">
            <v>0</v>
          </cell>
          <cell r="C27">
            <v>0</v>
          </cell>
          <cell r="D27">
            <v>0</v>
          </cell>
          <cell r="E27">
            <v>0</v>
          </cell>
          <cell r="H27">
            <v>0</v>
          </cell>
          <cell r="I27">
            <v>0</v>
          </cell>
          <cell r="J27">
            <v>0</v>
          </cell>
          <cell r="K27">
            <v>0</v>
          </cell>
          <cell r="L27">
            <v>0</v>
          </cell>
          <cell r="N27">
            <v>3.8700977222766151E-3</v>
          </cell>
          <cell r="O27">
            <v>7.7850212935251404E-3</v>
          </cell>
          <cell r="P27">
            <v>0</v>
          </cell>
          <cell r="Q27">
            <v>0</v>
          </cell>
          <cell r="T27">
            <v>3.7842136655842004E-2</v>
          </cell>
          <cell r="U27">
            <v>2.6459311283907265E-2</v>
          </cell>
          <cell r="V27">
            <v>3.6909007522811434E-2</v>
          </cell>
          <cell r="W27">
            <v>2.6152303925914309E-2</v>
          </cell>
          <cell r="X27">
            <v>3.1788559780025559E-2</v>
          </cell>
          <cell r="Z27">
            <v>1.8720318442469505E-2</v>
          </cell>
          <cell r="AA27">
            <v>2.2238398301066508E-2</v>
          </cell>
          <cell r="AB27">
            <v>1.6483134638590372E-2</v>
          </cell>
          <cell r="AC27">
            <v>3.427401406569928E-3</v>
          </cell>
          <cell r="AD27">
            <v>1.5105412394923622E-2</v>
          </cell>
          <cell r="AF27">
            <v>8.814447341112152E-3</v>
          </cell>
          <cell r="AG27">
            <v>1.0468974932583586E-2</v>
          </cell>
          <cell r="AH27">
            <v>1.9441577452627177E-2</v>
          </cell>
          <cell r="AI27">
            <v>6.3410540661614856E-3</v>
          </cell>
          <cell r="AJ27">
            <v>1.1145257186316255E-2</v>
          </cell>
          <cell r="AL27">
            <v>1.0164090542817377E-2</v>
          </cell>
          <cell r="AM27">
            <v>2.9870193726030093E-3</v>
          </cell>
          <cell r="AN27">
            <v>7.4509645978492892E-3</v>
          </cell>
          <cell r="AO27">
            <v>4.0224122677676201E-3</v>
          </cell>
          <cell r="AP27">
            <v>6.1623989168031364E-3</v>
          </cell>
          <cell r="AR27">
            <v>-3.3480030285822451E-3</v>
          </cell>
          <cell r="AS27">
            <v>5.2890623611843235E-3</v>
          </cell>
          <cell r="AT27">
            <v>1.7075528415989815E-2</v>
          </cell>
          <cell r="AU27">
            <v>1.9783810662657022E-2</v>
          </cell>
          <cell r="AV27">
            <v>9.7061401758221609E-3</v>
          </cell>
          <cell r="AX27">
            <v>1.7363256560113827E-2</v>
          </cell>
          <cell r="AY27">
            <v>1.1024924428221068E-2</v>
          </cell>
          <cell r="AZ27">
            <v>1.4666629671762715E-2</v>
          </cell>
          <cell r="BA27">
            <v>1.2999999999999999E-2</v>
          </cell>
          <cell r="BD27">
            <v>3.3976629113658521E-2</v>
          </cell>
          <cell r="BE27">
            <v>3.9726481456473971E-2</v>
          </cell>
          <cell r="BF27">
            <v>5.0119692579060099E-2</v>
          </cell>
          <cell r="BG27">
            <v>1.4320221907839055E-2</v>
          </cell>
          <cell r="BJ27">
            <v>0.03</v>
          </cell>
          <cell r="BK27">
            <v>0.03</v>
          </cell>
          <cell r="BL27">
            <v>0.03</v>
          </cell>
          <cell r="BM27">
            <v>0.03</v>
          </cell>
          <cell r="BP27">
            <v>0.03</v>
          </cell>
          <cell r="BQ27">
            <v>0.03</v>
          </cell>
          <cell r="BR27">
            <v>0.03</v>
          </cell>
          <cell r="BS27">
            <v>0.03</v>
          </cell>
          <cell r="BT27">
            <v>0.03</v>
          </cell>
          <cell r="BV27">
            <v>0.03</v>
          </cell>
          <cell r="BW27">
            <v>0.03</v>
          </cell>
          <cell r="BX27">
            <v>0.03</v>
          </cell>
          <cell r="BY27">
            <v>0.03</v>
          </cell>
          <cell r="BZ27">
            <v>2.9999999999999995E-2</v>
          </cell>
          <cell r="CB27">
            <v>0.03</v>
          </cell>
          <cell r="CC27">
            <v>0.03</v>
          </cell>
          <cell r="CD27">
            <v>0.03</v>
          </cell>
          <cell r="CE27">
            <v>0.03</v>
          </cell>
          <cell r="CF27">
            <v>3.0000000000000002E-2</v>
          </cell>
          <cell r="CH27">
            <v>0.03</v>
          </cell>
          <cell r="CI27">
            <v>0.03</v>
          </cell>
          <cell r="CJ27">
            <v>0.03</v>
          </cell>
          <cell r="CK27">
            <v>0.03</v>
          </cell>
          <cell r="CL27">
            <v>3.0000000000000002E-2</v>
          </cell>
        </row>
        <row r="28">
          <cell r="A28" t="str">
            <v>Other Expenses (% of Other Income)</v>
          </cell>
          <cell r="AX28">
            <v>-0.17531831537708129</v>
          </cell>
          <cell r="AY28">
            <v>0.15312984997413348</v>
          </cell>
          <cell r="AZ28">
            <v>-0.33787362845251606</v>
          </cell>
          <cell r="BA28">
            <v>-0.83249299719887959</v>
          </cell>
          <cell r="BD28">
            <v>-0.16560740875249683</v>
          </cell>
          <cell r="BE28">
            <v>-0.17598887515451175</v>
          </cell>
          <cell r="BF28">
            <v>-0.11865258924082453</v>
          </cell>
          <cell r="BG28">
            <v>-0.91328731665228646</v>
          </cell>
          <cell r="BJ28">
            <v>-0.2</v>
          </cell>
          <cell r="BK28">
            <v>-0.2</v>
          </cell>
          <cell r="BL28">
            <v>-0.2</v>
          </cell>
          <cell r="BM28">
            <v>-0.2</v>
          </cell>
          <cell r="BP28">
            <v>-0.15</v>
          </cell>
          <cell r="BQ28">
            <v>-0.15</v>
          </cell>
          <cell r="BR28">
            <v>-0.15</v>
          </cell>
          <cell r="BS28">
            <v>-0.15</v>
          </cell>
          <cell r="BV28">
            <v>-0.15</v>
          </cell>
          <cell r="BW28">
            <v>-0.15</v>
          </cell>
          <cell r="BX28">
            <v>-0.15</v>
          </cell>
          <cell r="BY28">
            <v>-0.15</v>
          </cell>
          <cell r="CB28">
            <v>-0.15</v>
          </cell>
          <cell r="CC28">
            <v>-0.15</v>
          </cell>
          <cell r="CD28">
            <v>-0.15</v>
          </cell>
          <cell r="CE28">
            <v>-0.15</v>
          </cell>
          <cell r="CH28">
            <v>-0.15</v>
          </cell>
          <cell r="CI28">
            <v>-0.15</v>
          </cell>
          <cell r="CJ28">
            <v>-0.15</v>
          </cell>
          <cell r="CK28">
            <v>-0.15</v>
          </cell>
        </row>
        <row r="29">
          <cell r="A29" t="str">
            <v>Property Operating Expenses  (% of Revs)</v>
          </cell>
          <cell r="B29">
            <v>0.27146725288866252</v>
          </cell>
          <cell r="C29">
            <v>0.26364616532979468</v>
          </cell>
          <cell r="D29">
            <v>0.27071013883952133</v>
          </cell>
          <cell r="E29">
            <v>0.27792220484753716</v>
          </cell>
          <cell r="H29">
            <v>0.27433422815051506</v>
          </cell>
          <cell r="I29">
            <v>0.2720338236589448</v>
          </cell>
          <cell r="J29">
            <v>0.24412075691836513</v>
          </cell>
          <cell r="K29">
            <v>0.23336980406939861</v>
          </cell>
          <cell r="L29">
            <v>0.25606721588143511</v>
          </cell>
          <cell r="N29">
            <v>0.23066336615373248</v>
          </cell>
          <cell r="O29">
            <v>0.22684159606499271</v>
          </cell>
          <cell r="P29">
            <v>0.23118665237608974</v>
          </cell>
          <cell r="Q29">
            <v>0.23874676676550374</v>
          </cell>
          <cell r="R29">
            <v>0.23209469066967708</v>
          </cell>
          <cell r="T29">
            <v>0.24241353156456874</v>
          </cell>
          <cell r="U29">
            <v>0.24108646576127854</v>
          </cell>
          <cell r="V29">
            <v>0.2419689367440396</v>
          </cell>
          <cell r="W29">
            <v>0.24745466820329923</v>
          </cell>
          <cell r="X29">
            <v>0.2432745490840853</v>
          </cell>
          <cell r="Z29">
            <v>0.24348894187505338</v>
          </cell>
          <cell r="AA29">
            <v>0.2460448374192773</v>
          </cell>
          <cell r="AB29">
            <v>0.25686902573239073</v>
          </cell>
          <cell r="AC29">
            <v>0.2490366394933296</v>
          </cell>
          <cell r="AD29">
            <v>0.24895105801041897</v>
          </cell>
          <cell r="AF29">
            <v>0.25555569617049279</v>
          </cell>
          <cell r="AG29">
            <v>0.26092686586330183</v>
          </cell>
          <cell r="AH29">
            <v>0.26996944124015948</v>
          </cell>
          <cell r="AI29">
            <v>0.26417272905086092</v>
          </cell>
          <cell r="AJ29">
            <v>0.26256881123240855</v>
          </cell>
          <cell r="AL29">
            <v>0.26537738383024445</v>
          </cell>
          <cell r="AM29">
            <v>0.26282697413708328</v>
          </cell>
          <cell r="AN29">
            <v>0.25288976599943613</v>
          </cell>
          <cell r="AO29">
            <v>0.25615452668829253</v>
          </cell>
          <cell r="AP29">
            <v>0.26308985581567074</v>
          </cell>
          <cell r="AR29">
            <v>0.26463948536200377</v>
          </cell>
          <cell r="AS29">
            <v>0.25997108799203733</v>
          </cell>
          <cell r="AT29">
            <v>0.25801913004410076</v>
          </cell>
          <cell r="AU29">
            <v>0.26250537784268219</v>
          </cell>
          <cell r="AV29">
            <v>0.26127060787645706</v>
          </cell>
          <cell r="AX29">
            <v>0.26777730247930009</v>
          </cell>
          <cell r="AY29">
            <v>0.25642446610372843</v>
          </cell>
          <cell r="AZ29">
            <v>0.25579675081618919</v>
          </cell>
          <cell r="BA29">
            <v>0.26648971052056336</v>
          </cell>
          <cell r="BD29">
            <v>0.27319033859376157</v>
          </cell>
          <cell r="BE29">
            <v>0.26676687468043297</v>
          </cell>
          <cell r="BF29">
            <v>0.27295102765795481</v>
          </cell>
          <cell r="BG29">
            <v>0.27902827766692151</v>
          </cell>
          <cell r="BJ29">
            <v>0.27419033859376157</v>
          </cell>
          <cell r="BK29">
            <v>0.26776687468043298</v>
          </cell>
          <cell r="BL29">
            <v>0.27395102765795482</v>
          </cell>
          <cell r="BM29">
            <v>0.28002827766692151</v>
          </cell>
          <cell r="BP29">
            <v>0.27419033859376157</v>
          </cell>
          <cell r="BQ29">
            <v>0.26776687468043298</v>
          </cell>
          <cell r="BR29">
            <v>0.27395102765795482</v>
          </cell>
          <cell r="BS29">
            <v>0.28002827766692151</v>
          </cell>
          <cell r="BT29">
            <v>0.2739943911954254</v>
          </cell>
          <cell r="BV29">
            <v>0.28002827766692151</v>
          </cell>
          <cell r="BW29">
            <v>0.28002827766692151</v>
          </cell>
          <cell r="BX29">
            <v>0.28002827766692151</v>
          </cell>
          <cell r="BY29">
            <v>0.28002827766692151</v>
          </cell>
          <cell r="BZ29">
            <v>0.28002827766692145</v>
          </cell>
          <cell r="CB29">
            <v>0.26</v>
          </cell>
          <cell r="CC29">
            <v>0.26</v>
          </cell>
          <cell r="CD29">
            <v>0.26</v>
          </cell>
          <cell r="CE29">
            <v>0.26</v>
          </cell>
          <cell r="CF29">
            <v>0.26</v>
          </cell>
          <cell r="CH29">
            <v>0.26</v>
          </cell>
          <cell r="CI29">
            <v>0.26</v>
          </cell>
          <cell r="CJ29">
            <v>0.26</v>
          </cell>
          <cell r="CK29">
            <v>0.26</v>
          </cell>
          <cell r="CL29">
            <v>0.26</v>
          </cell>
        </row>
        <row r="30">
          <cell r="A30" t="str">
            <v>G&amp;A Expenses (% of NOI)</v>
          </cell>
          <cell r="B30">
            <v>-4.3827046918123273E-2</v>
          </cell>
          <cell r="C30">
            <v>-3.14727509694444E-2</v>
          </cell>
          <cell r="D30">
            <v>-3.3496780291841437E-2</v>
          </cell>
          <cell r="E30">
            <v>-2.5242613321061678E-2</v>
          </cell>
          <cell r="H30">
            <v>-1.3158736863663709E-2</v>
          </cell>
          <cell r="I30">
            <v>-9.9460348958207295E-3</v>
          </cell>
          <cell r="J30">
            <v>1.2143356727684924E-2</v>
          </cell>
          <cell r="K30">
            <v>1.2077091903431238E-2</v>
          </cell>
          <cell r="L30">
            <v>4.7279531362741378E-2</v>
          </cell>
          <cell r="N30">
            <v>3.0134585139207377E-3</v>
          </cell>
          <cell r="O30">
            <v>1.0338093066226947E-2</v>
          </cell>
          <cell r="P30">
            <v>9.7366601170155546E-3</v>
          </cell>
          <cell r="Q30">
            <v>1.3756953580640817E-2</v>
          </cell>
          <cell r="R30">
            <v>5.2323852382208207E-2</v>
          </cell>
          <cell r="T30">
            <v>2.9966660510687103E-2</v>
          </cell>
          <cell r="U30">
            <v>3.8727040936776994E-2</v>
          </cell>
          <cell r="V30">
            <v>3.3375474083438682E-2</v>
          </cell>
          <cell r="W30">
            <v>4.1140330210051292E-2</v>
          </cell>
          <cell r="X30">
            <v>7.1463465698932235E-2</v>
          </cell>
          <cell r="Z30">
            <v>4.2067516410238599E-2</v>
          </cell>
          <cell r="AA30">
            <v>5.0151464153483677E-2</v>
          </cell>
          <cell r="AB30">
            <v>6.1857598299681189E-2</v>
          </cell>
          <cell r="AC30">
            <v>6.6893596843299638E-2</v>
          </cell>
          <cell r="AD30">
            <v>8.8364852423387152E-2</v>
          </cell>
          <cell r="AF30">
            <v>7.2079232133031731E-2</v>
          </cell>
          <cell r="AG30">
            <v>7.9041219940299848E-2</v>
          </cell>
          <cell r="AH30">
            <v>6.6127787948921671E-2</v>
          </cell>
          <cell r="AI30">
            <v>8.0368906455862976E-2</v>
          </cell>
          <cell r="AJ30">
            <v>0.11614455336562825</v>
          </cell>
          <cell r="AL30">
            <v>0.10521634157189148</v>
          </cell>
          <cell r="AM30">
            <v>0.10579256982352006</v>
          </cell>
          <cell r="AN30">
            <v>0.10357406902992335</v>
          </cell>
          <cell r="AO30">
            <v>0.10353056930822613</v>
          </cell>
          <cell r="AP30">
            <v>0.14402808489532745</v>
          </cell>
          <cell r="AR30">
            <v>0.15064325731363748</v>
          </cell>
          <cell r="AS30">
            <v>0.14581804457677228</v>
          </cell>
          <cell r="AT30">
            <v>0.16013676242903835</v>
          </cell>
          <cell r="AU30">
            <v>0.16420650657266653</v>
          </cell>
          <cell r="AV30">
            <v>0.19576944089363665</v>
          </cell>
          <cell r="AX30">
            <v>0.22773497389718012</v>
          </cell>
          <cell r="AY30">
            <v>0.25263998580175701</v>
          </cell>
          <cell r="AZ30">
            <v>0.25901784397581479</v>
          </cell>
          <cell r="BA30">
            <v>0.29226859156659518</v>
          </cell>
          <cell r="BD30">
            <v>0.29464749018494407</v>
          </cell>
          <cell r="BE30">
            <v>0.29181797331906273</v>
          </cell>
          <cell r="BF30">
            <v>0.33541749559483885</v>
          </cell>
          <cell r="BG30">
            <v>0.31584721434971019</v>
          </cell>
          <cell r="BJ30">
            <v>0.29464749018494407</v>
          </cell>
          <cell r="BK30">
            <v>0.29181797331906273</v>
          </cell>
          <cell r="BL30">
            <v>0.33541749559483885</v>
          </cell>
          <cell r="BM30">
            <v>0.31584721434971019</v>
          </cell>
          <cell r="BP30">
            <v>0.29464749018494407</v>
          </cell>
          <cell r="BQ30">
            <v>0.29181797331906273</v>
          </cell>
          <cell r="BR30">
            <v>0.33541749559483885</v>
          </cell>
          <cell r="BS30">
            <v>0.31584721434971019</v>
          </cell>
          <cell r="BV30">
            <v>0.29464749018494407</v>
          </cell>
          <cell r="BW30">
            <v>0.29181797331906273</v>
          </cell>
          <cell r="BX30">
            <v>0.33541749559483885</v>
          </cell>
          <cell r="BY30">
            <v>0.31584721434971019</v>
          </cell>
          <cell r="CB30">
            <v>0.29464749018494407</v>
          </cell>
          <cell r="CC30">
            <v>0.29181797331906273</v>
          </cell>
          <cell r="CD30">
            <v>0.33541749559483885</v>
          </cell>
          <cell r="CE30">
            <v>0.31584721434971019</v>
          </cell>
          <cell r="CH30">
            <v>0.29464749018494407</v>
          </cell>
          <cell r="CI30">
            <v>0.29181797331906273</v>
          </cell>
          <cell r="CJ30">
            <v>0.33541749559483885</v>
          </cell>
          <cell r="CK30">
            <v>0.31584721434971019</v>
          </cell>
        </row>
        <row r="31">
          <cell r="A31" t="str">
            <v>Gain on Dispositions (% of Proceeds)</v>
          </cell>
          <cell r="AM31">
            <v>0.1</v>
          </cell>
          <cell r="AN31">
            <v>0.1</v>
          </cell>
          <cell r="AO31">
            <v>0.1</v>
          </cell>
          <cell r="AP31">
            <v>0.1</v>
          </cell>
          <cell r="AV31">
            <v>0.1</v>
          </cell>
          <cell r="BJ31">
            <v>0.1</v>
          </cell>
          <cell r="BK31">
            <v>0.1</v>
          </cell>
          <cell r="BL31">
            <v>0.1</v>
          </cell>
          <cell r="BM31">
            <v>0.1</v>
          </cell>
          <cell r="BP31">
            <v>0.1</v>
          </cell>
          <cell r="BQ31">
            <v>0.1</v>
          </cell>
          <cell r="BR31">
            <v>0.1</v>
          </cell>
          <cell r="BS31">
            <v>0.1</v>
          </cell>
          <cell r="BT31">
            <v>0.1</v>
          </cell>
          <cell r="BV31">
            <v>0.1</v>
          </cell>
          <cell r="BW31">
            <v>0.1</v>
          </cell>
          <cell r="BX31">
            <v>0.1</v>
          </cell>
          <cell r="BY31">
            <v>0.1</v>
          </cell>
          <cell r="BZ31">
            <v>0.1</v>
          </cell>
          <cell r="CB31">
            <v>0.1</v>
          </cell>
          <cell r="CC31">
            <v>0.1</v>
          </cell>
          <cell r="CD31">
            <v>0.1</v>
          </cell>
          <cell r="CE31">
            <v>0.1</v>
          </cell>
          <cell r="CF31">
            <v>0.1</v>
          </cell>
          <cell r="CH31">
            <v>0.1</v>
          </cell>
          <cell r="CI31">
            <v>0.1</v>
          </cell>
          <cell r="CJ31">
            <v>0.1</v>
          </cell>
          <cell r="CK31">
            <v>0.1</v>
          </cell>
          <cell r="CL31">
            <v>0.1</v>
          </cell>
        </row>
        <row r="32">
          <cell r="A32" t="str">
            <v>JV minority interest(% of consolidated NOI)</v>
          </cell>
          <cell r="AR32">
            <v>9.0542177858730449E-2</v>
          </cell>
          <cell r="AS32">
            <v>8.6908505989964704E-2</v>
          </cell>
          <cell r="AT32">
            <v>8.6515569945719462E-2</v>
          </cell>
          <cell r="AU32">
            <v>7.4431750328410498E-2</v>
          </cell>
          <cell r="AX32">
            <v>6.7515874837426368E-2</v>
          </cell>
          <cell r="AY32">
            <v>6.945349452267971E-2</v>
          </cell>
          <cell r="AZ32">
            <v>9.1772034005647735E-2</v>
          </cell>
          <cell r="BA32">
            <v>6.4437262421086119E-2</v>
          </cell>
          <cell r="BD32">
            <v>6.1042983833326264E-2</v>
          </cell>
          <cell r="BE32">
            <v>6.7444193629295213E-2</v>
          </cell>
          <cell r="BF32">
            <v>5.0893597898230086E-2</v>
          </cell>
          <cell r="BG32">
            <v>5.6410387922928316E-2</v>
          </cell>
          <cell r="BJ32">
            <v>5.6410387922928316E-2</v>
          </cell>
          <cell r="BK32">
            <v>5.6410387922928316E-2</v>
          </cell>
          <cell r="BL32">
            <v>5.6410387922928316E-2</v>
          </cell>
          <cell r="BM32">
            <v>5.6410387922928316E-2</v>
          </cell>
          <cell r="BP32">
            <v>5.6410387922928316E-2</v>
          </cell>
          <cell r="BQ32">
            <v>5.6410387922928316E-2</v>
          </cell>
          <cell r="BR32">
            <v>5.6410387922928316E-2</v>
          </cell>
          <cell r="BS32">
            <v>5.6410387922928316E-2</v>
          </cell>
          <cell r="BV32">
            <v>5.6410387922928316E-2</v>
          </cell>
          <cell r="BW32">
            <v>5.6410387922928316E-2</v>
          </cell>
          <cell r="BX32">
            <v>5.6410387922928316E-2</v>
          </cell>
          <cell r="BY32">
            <v>5.6410387922928316E-2</v>
          </cell>
          <cell r="CB32">
            <v>5.6410387922928316E-2</v>
          </cell>
          <cell r="CC32">
            <v>5.6410387922928316E-2</v>
          </cell>
          <cell r="CD32">
            <v>5.6410387922928316E-2</v>
          </cell>
          <cell r="CE32">
            <v>5.6410387922928316E-2</v>
          </cell>
          <cell r="CH32">
            <v>5.6410387922928316E-2</v>
          </cell>
          <cell r="CI32">
            <v>5.6410387922928316E-2</v>
          </cell>
          <cell r="CJ32">
            <v>5.6410387922928316E-2</v>
          </cell>
          <cell r="CK32">
            <v>5.6410387922928316E-2</v>
          </cell>
        </row>
        <row r="33">
          <cell r="A33" t="str">
            <v>Limited Partnership unitholders' min. int in income</v>
          </cell>
          <cell r="AH33">
            <v>9.2165898617511521E-3</v>
          </cell>
          <cell r="AI33">
            <v>1.1949448059880505E-2</v>
          </cell>
          <cell r="AJ33">
            <v>5.3154901461467084E-3</v>
          </cell>
          <cell r="AL33">
            <v>1.1450015586408652E-2</v>
          </cell>
          <cell r="AM33">
            <v>9.1340841229163236E-3</v>
          </cell>
          <cell r="AN33">
            <v>1.0999880436082217E-2</v>
          </cell>
          <cell r="AO33">
            <v>1.0798414748185421E-2</v>
          </cell>
          <cell r="AP33">
            <v>1.0602310584326051E-2</v>
          </cell>
          <cell r="AR33">
            <v>4.1494754214310972E-3</v>
          </cell>
          <cell r="AS33">
            <v>8.5333887599450351E-3</v>
          </cell>
          <cell r="AT33">
            <v>7.8014793371195858E-3</v>
          </cell>
          <cell r="AU33">
            <v>1.4656876387015749E-2</v>
          </cell>
          <cell r="AV33">
            <v>9.7535934291581115E-3</v>
          </cell>
          <cell r="AX33">
            <v>9.3640583014412502E-3</v>
          </cell>
          <cell r="AY33">
            <v>3.9404867098130061E-3</v>
          </cell>
          <cell r="AZ33">
            <v>1.0128006752004501E-3</v>
          </cell>
          <cell r="BA33">
            <v>1.1495002172968274E-2</v>
          </cell>
          <cell r="BD33">
            <v>5.3108000602034014E-3</v>
          </cell>
          <cell r="BE33">
            <v>3.5114048252196273E-2</v>
          </cell>
          <cell r="BF33">
            <v>4.5935047543522334E-3</v>
          </cell>
          <cell r="BG33">
            <v>2.1001183703081447E-4</v>
          </cell>
          <cell r="BJ33">
            <v>5.3108000602034014E-3</v>
          </cell>
          <cell r="BK33">
            <v>3.5114048252196273E-2</v>
          </cell>
          <cell r="BL33">
            <v>4.5935047543522334E-3</v>
          </cell>
          <cell r="BM33">
            <v>4.5935047543522334E-3</v>
          </cell>
          <cell r="BP33">
            <v>5.3108000602034014E-3</v>
          </cell>
          <cell r="BQ33">
            <v>3.5114048252196273E-2</v>
          </cell>
          <cell r="BR33">
            <v>4.5935047543522334E-3</v>
          </cell>
          <cell r="BS33">
            <v>4.5935047543522334E-3</v>
          </cell>
          <cell r="BV33">
            <v>5.3108000602034014E-3</v>
          </cell>
          <cell r="BW33">
            <v>3.5114048252196273E-2</v>
          </cell>
          <cell r="BX33">
            <v>4.5935047543522334E-3</v>
          </cell>
          <cell r="BY33">
            <v>4.5935047543522334E-3</v>
          </cell>
          <cell r="CB33">
            <v>5.3108000602034014E-3</v>
          </cell>
          <cell r="CC33">
            <v>3.5114048252196273E-2</v>
          </cell>
          <cell r="CD33">
            <v>4.5935047543522334E-3</v>
          </cell>
          <cell r="CE33">
            <v>4.5935047543522334E-3</v>
          </cell>
          <cell r="CH33">
            <v>5.3108000602034014E-3</v>
          </cell>
          <cell r="CI33">
            <v>3.5114048252196273E-2</v>
          </cell>
          <cell r="CJ33">
            <v>4.5935047543522334E-3</v>
          </cell>
          <cell r="CK33">
            <v>4.5935047543522334E-3</v>
          </cell>
        </row>
        <row r="34">
          <cell r="A34" t="str">
            <v>Non-Real Estate Depreciation (% of total Dep)</v>
          </cell>
          <cell r="AF34">
            <v>2.1129831073149461E-3</v>
          </cell>
          <cell r="AG34">
            <v>1.9574654277061958E-3</v>
          </cell>
          <cell r="AH34">
            <v>1.8574915224950862E-3</v>
          </cell>
          <cell r="AI34">
            <v>4.2611856122321094E-3</v>
          </cell>
          <cell r="AL34">
            <v>1.7065027293444274E-3</v>
          </cell>
          <cell r="AM34">
            <v>1.6732168566870307E-3</v>
          </cell>
          <cell r="AN34">
            <v>3.7995750337565552E-3</v>
          </cell>
          <cell r="AO34">
            <v>2.2499948335365475E-3</v>
          </cell>
          <cell r="AR34">
            <v>8.4079424653513094E-3</v>
          </cell>
          <cell r="AS34">
            <v>9.590572853948048E-3</v>
          </cell>
          <cell r="AT34">
            <v>9.9560423420304456E-3</v>
          </cell>
          <cell r="AU34">
            <v>8.9851644009271581E-3</v>
          </cell>
          <cell r="AX34">
            <v>1.0530363534179313E-2</v>
          </cell>
          <cell r="AY34">
            <v>9.841223025119205E-3</v>
          </cell>
          <cell r="AZ34">
            <v>1.3954894606060033E-2</v>
          </cell>
          <cell r="BA34">
            <v>1.103315041829377E-2</v>
          </cell>
          <cell r="BD34">
            <v>1.3388249684645082E-2</v>
          </cell>
          <cell r="BE34">
            <v>1.313969571230982E-2</v>
          </cell>
          <cell r="BF34">
            <v>1.5157887038086706E-2</v>
          </cell>
          <cell r="BG34">
            <v>1.333339656599237E-2</v>
          </cell>
          <cell r="BJ34">
            <v>1.333339656599237E-2</v>
          </cell>
          <cell r="BK34">
            <v>1.333339656599237E-2</v>
          </cell>
          <cell r="BL34">
            <v>1.333339656599237E-2</v>
          </cell>
          <cell r="BM34">
            <v>1.333339656599237E-2</v>
          </cell>
          <cell r="BP34">
            <v>1.333339656599237E-2</v>
          </cell>
          <cell r="BQ34">
            <v>1.333339656599237E-2</v>
          </cell>
          <cell r="BR34">
            <v>1.333339656599237E-2</v>
          </cell>
          <cell r="BS34">
            <v>1.333339656599237E-2</v>
          </cell>
          <cell r="BV34">
            <v>1.333339656599237E-2</v>
          </cell>
          <cell r="BW34">
            <v>1.333339656599237E-2</v>
          </cell>
          <cell r="BX34">
            <v>1.333339656599237E-2</v>
          </cell>
          <cell r="BY34">
            <v>1.333339656599237E-2</v>
          </cell>
          <cell r="CB34">
            <v>1.333339656599237E-2</v>
          </cell>
          <cell r="CC34">
            <v>1.333339656599237E-2</v>
          </cell>
          <cell r="CD34">
            <v>1.333339656599237E-2</v>
          </cell>
          <cell r="CE34">
            <v>1.333339656599237E-2</v>
          </cell>
          <cell r="CH34">
            <v>1.333339656599237E-2</v>
          </cell>
          <cell r="CI34">
            <v>1.333339656599237E-2</v>
          </cell>
          <cell r="CJ34">
            <v>1.333339656599237E-2</v>
          </cell>
          <cell r="CK34">
            <v>1.333339656599237E-2</v>
          </cell>
        </row>
        <row r="35">
          <cell r="A35" t="str">
            <v>Minority interests in Development Profits (% of Dev Profits)</v>
          </cell>
          <cell r="AI35">
            <v>-0.53387837383805581</v>
          </cell>
          <cell r="AL35">
            <v>0</v>
          </cell>
          <cell r="AM35">
            <v>-0.18732612055641423</v>
          </cell>
          <cell r="AN35">
            <v>-4.3392504930966469E-2</v>
          </cell>
          <cell r="AO35">
            <v>3.9501590668080594E-2</v>
          </cell>
          <cell r="AR35">
            <v>-0.522536074433116</v>
          </cell>
          <cell r="AS35">
            <v>-9.6202531645569619E-2</v>
          </cell>
          <cell r="AT35">
            <v>-1.2562814070351759E-2</v>
          </cell>
          <cell r="AU35">
            <v>-4.8189277740728925E-2</v>
          </cell>
          <cell r="AV35">
            <v>-0.2049953476491945</v>
          </cell>
          <cell r="AX35">
            <v>0</v>
          </cell>
          <cell r="AY35">
            <v>1.2888966694384874E-2</v>
          </cell>
          <cell r="AZ35">
            <v>-2.7214355572564527E-3</v>
          </cell>
          <cell r="BA35">
            <v>-3.2602739726027397E-2</v>
          </cell>
          <cell r="BD35">
            <v>-9.8425196850393699E-4</v>
          </cell>
          <cell r="BE35">
            <v>-4.5626983032142361E-2</v>
          </cell>
          <cell r="BF35">
            <v>0</v>
          </cell>
          <cell r="BG35">
            <v>-6.4351234254548029E-2</v>
          </cell>
          <cell r="BJ35">
            <v>-6.4351234254548029E-2</v>
          </cell>
          <cell r="BK35">
            <v>-6.4351234254548029E-2</v>
          </cell>
          <cell r="BL35">
            <v>-6.4351234254548029E-2</v>
          </cell>
          <cell r="BM35">
            <v>-5.0450000000000002E-2</v>
          </cell>
          <cell r="BP35">
            <v>-5.0450000000000002E-2</v>
          </cell>
          <cell r="BQ35">
            <v>-5.0450000000000002E-2</v>
          </cell>
          <cell r="BR35">
            <v>-5.0450000000000002E-2</v>
          </cell>
          <cell r="BS35">
            <v>-5.0450000000000002E-2</v>
          </cell>
          <cell r="BV35">
            <v>-5.0450000000000002E-2</v>
          </cell>
          <cell r="BW35">
            <v>-5.0450000000000002E-2</v>
          </cell>
          <cell r="BX35">
            <v>-5.0450000000000002E-2</v>
          </cell>
          <cell r="BY35">
            <v>-5.0450000000000002E-2</v>
          </cell>
          <cell r="CB35">
            <v>-5.0450000000000002E-2</v>
          </cell>
          <cell r="CC35">
            <v>-5.0450000000000002E-2</v>
          </cell>
          <cell r="CD35">
            <v>-5.0450000000000002E-2</v>
          </cell>
          <cell r="CE35">
            <v>-5.0450000000000002E-2</v>
          </cell>
          <cell r="CH35">
            <v>-5.0450000000000002E-2</v>
          </cell>
          <cell r="CI35">
            <v>-5.0450000000000002E-2</v>
          </cell>
          <cell r="CJ35">
            <v>-5.0450000000000002E-2</v>
          </cell>
          <cell r="CK35">
            <v>-5.0450000000000002E-2</v>
          </cell>
        </row>
        <row r="36">
          <cell r="A36" t="str">
            <v xml:space="preserve">   Limited Partnership unitholders' min. int (% of Dev Profits)</v>
          </cell>
          <cell r="AM36">
            <v>5.4393305439330547E-2</v>
          </cell>
          <cell r="AN36">
            <v>5.4295532646048111E-2</v>
          </cell>
          <cell r="AO36">
            <v>5.4322876817138488E-2</v>
          </cell>
          <cell r="AR36">
            <v>5.3442240373395566E-2</v>
          </cell>
          <cell r="AS36">
            <v>1.3008580127318018E-2</v>
          </cell>
          <cell r="AT36">
            <v>4.0712468193384227E-2</v>
          </cell>
          <cell r="AU36">
            <v>5.1908489962530842E-2</v>
          </cell>
          <cell r="AX36">
            <v>4.7477744807121663E-2</v>
          </cell>
          <cell r="AY36">
            <v>4.7702378637630438E-2</v>
          </cell>
          <cell r="AZ36">
            <v>4.6305376710868547E-2</v>
          </cell>
          <cell r="BA36">
            <v>4.681393372982158E-2</v>
          </cell>
          <cell r="BD36">
            <v>4.7865353037766831E-2</v>
          </cell>
          <cell r="BE36">
            <v>4.520651898962888E-2</v>
          </cell>
          <cell r="BF36">
            <v>4.3790633152511492E-2</v>
          </cell>
          <cell r="BG36">
            <v>4.2697082870697484E-2</v>
          </cell>
          <cell r="BJ36">
            <v>4.2697082870697484E-2</v>
          </cell>
          <cell r="BK36">
            <v>4.2697082870697484E-2</v>
          </cell>
          <cell r="BL36">
            <v>4.2697082870697484E-2</v>
          </cell>
          <cell r="BM36">
            <v>4.2697082870697484E-2</v>
          </cell>
          <cell r="BP36">
            <v>4.2697082870697484E-2</v>
          </cell>
          <cell r="BQ36">
            <v>4.2697082870697484E-2</v>
          </cell>
          <cell r="BR36">
            <v>4.2697082870697484E-2</v>
          </cell>
          <cell r="BS36">
            <v>4.2697082870697484E-2</v>
          </cell>
          <cell r="BV36">
            <v>4.2697082870697484E-2</v>
          </cell>
          <cell r="BW36">
            <v>4.2697082870697484E-2</v>
          </cell>
          <cell r="BX36">
            <v>4.2697082870697484E-2</v>
          </cell>
          <cell r="BY36">
            <v>4.2697082870697484E-2</v>
          </cell>
          <cell r="CB36">
            <v>4.2697082870697484E-2</v>
          </cell>
          <cell r="CC36">
            <v>4.2697082870697484E-2</v>
          </cell>
          <cell r="CD36">
            <v>4.2697082870697484E-2</v>
          </cell>
          <cell r="CE36">
            <v>4.2697082870697484E-2</v>
          </cell>
          <cell r="CH36">
            <v>4.2697082870697484E-2</v>
          </cell>
          <cell r="CI36">
            <v>4.2697082870697484E-2</v>
          </cell>
          <cell r="CJ36">
            <v>4.2697082870697484E-2</v>
          </cell>
          <cell r="CK36">
            <v>4.2697082870697484E-2</v>
          </cell>
        </row>
        <row r="37">
          <cell r="A37" t="str">
            <v>Available for Sale Projects (including for Funds)</v>
          </cell>
          <cell r="AM37">
            <v>12717.25</v>
          </cell>
          <cell r="AN37">
            <v>13673.88</v>
          </cell>
          <cell r="AO37">
            <v>26146.02</v>
          </cell>
          <cell r="AR37">
            <v>27434.880000000001</v>
          </cell>
          <cell r="AS37">
            <v>35536.840000000004</v>
          </cell>
          <cell r="AT37">
            <v>4500</v>
          </cell>
          <cell r="AU37">
            <v>112453.11</v>
          </cell>
          <cell r="AX37">
            <v>4687</v>
          </cell>
          <cell r="AY37">
            <v>227638</v>
          </cell>
          <cell r="AZ37">
            <v>115289.02</v>
          </cell>
          <cell r="BA37">
            <v>219511.62000000002</v>
          </cell>
          <cell r="BD37">
            <v>67786.319999999992</v>
          </cell>
          <cell r="BE37">
            <v>132347.65</v>
          </cell>
          <cell r="BF37">
            <v>201165.68</v>
          </cell>
          <cell r="BG37">
            <v>295000</v>
          </cell>
          <cell r="BH37">
            <v>696299.64999999991</v>
          </cell>
          <cell r="BJ37">
            <v>82786.319999999992</v>
          </cell>
          <cell r="BK37">
            <v>182347.65</v>
          </cell>
          <cell r="BL37">
            <v>291165.68</v>
          </cell>
          <cell r="BM37">
            <v>390000</v>
          </cell>
          <cell r="BN37">
            <v>946299.64999999991</v>
          </cell>
          <cell r="BP37">
            <v>97786.319999999992</v>
          </cell>
          <cell r="BQ37">
            <v>197347.65</v>
          </cell>
          <cell r="BR37">
            <v>306165.68</v>
          </cell>
          <cell r="BS37">
            <v>405000</v>
          </cell>
          <cell r="BV37">
            <v>112786.31999999999</v>
          </cell>
          <cell r="BW37">
            <v>212347.65</v>
          </cell>
          <cell r="BX37">
            <v>321165.68</v>
          </cell>
          <cell r="BY37">
            <v>420000</v>
          </cell>
          <cell r="CB37">
            <v>127786.31999999999</v>
          </cell>
          <cell r="CC37">
            <v>227347.65</v>
          </cell>
          <cell r="CD37">
            <v>336165.68</v>
          </cell>
          <cell r="CE37">
            <v>435000</v>
          </cell>
          <cell r="CH37">
            <v>142786.32</v>
          </cell>
          <cell r="CI37">
            <v>242347.65</v>
          </cell>
          <cell r="CJ37">
            <v>351165.68</v>
          </cell>
          <cell r="CK37">
            <v>450000</v>
          </cell>
        </row>
        <row r="38">
          <cell r="AM38">
            <v>0.26060020320670085</v>
          </cell>
          <cell r="AN38">
            <v>0.11907801697045883</v>
          </cell>
          <cell r="AO38">
            <v>0.17642278837094411</v>
          </cell>
          <cell r="AP38">
            <v>0.17975777050962061</v>
          </cell>
          <cell r="AR38">
            <v>0.45428330315379689</v>
          </cell>
          <cell r="AS38">
            <v>0.25523792300051851</v>
          </cell>
          <cell r="AT38">
            <v>9.5690284879474063E-2</v>
          </cell>
          <cell r="AU38">
            <v>0.4122642685922997</v>
          </cell>
          <cell r="AV38">
            <v>0.37442852403462773</v>
          </cell>
          <cell r="AX38">
            <v>0.16795414901569897</v>
          </cell>
          <cell r="AY38">
            <v>0.25523432459705214</v>
          </cell>
          <cell r="AZ38">
            <v>0.25537909852800678</v>
          </cell>
          <cell r="BA38">
            <v>0.19169212518326384</v>
          </cell>
          <cell r="BB38">
            <v>0.22913659344600509</v>
          </cell>
          <cell r="BD38">
            <v>0.21903985014653013</v>
          </cell>
          <cell r="BE38">
            <v>0.26437155509953941</v>
          </cell>
          <cell r="BF38">
            <v>0.25</v>
          </cell>
          <cell r="BG38">
            <v>0.25</v>
          </cell>
          <cell r="BH38">
            <v>0.23251627370486258</v>
          </cell>
          <cell r="BJ38">
            <v>0.2</v>
          </cell>
          <cell r="BK38">
            <v>0.2</v>
          </cell>
          <cell r="BL38">
            <v>0.2</v>
          </cell>
          <cell r="BM38">
            <v>0.2</v>
          </cell>
          <cell r="BN38">
            <v>0.25</v>
          </cell>
          <cell r="BP38">
            <v>0.18</v>
          </cell>
          <cell r="BQ38">
            <v>0.18</v>
          </cell>
          <cell r="BR38">
            <v>0.18</v>
          </cell>
          <cell r="BS38">
            <v>0.18</v>
          </cell>
          <cell r="BT38">
            <v>0.21951219512195119</v>
          </cell>
          <cell r="BV38">
            <v>0.18</v>
          </cell>
          <cell r="BW38">
            <v>0.18</v>
          </cell>
          <cell r="BX38">
            <v>0.18</v>
          </cell>
          <cell r="BY38">
            <v>0.18</v>
          </cell>
          <cell r="BZ38">
            <v>0.21951219512195119</v>
          </cell>
          <cell r="CB38">
            <v>0.18</v>
          </cell>
          <cell r="CC38">
            <v>0.18</v>
          </cell>
          <cell r="CD38">
            <v>0.18</v>
          </cell>
          <cell r="CE38">
            <v>0.18</v>
          </cell>
          <cell r="CF38">
            <v>0.21951219512195119</v>
          </cell>
          <cell r="CH38">
            <v>0.18</v>
          </cell>
          <cell r="CI38">
            <v>0.18</v>
          </cell>
          <cell r="CJ38">
            <v>0.18</v>
          </cell>
          <cell r="CK38">
            <v>0.18</v>
          </cell>
          <cell r="CL38">
            <v>0.21951219512195119</v>
          </cell>
        </row>
        <row r="39">
          <cell r="A39" t="str">
            <v>Tax Rate</v>
          </cell>
        </row>
        <row r="40">
          <cell r="A40" t="str">
            <v>AMB's share of Gain</v>
          </cell>
          <cell r="AM40">
            <v>2629</v>
          </cell>
          <cell r="AN40">
            <v>1455</v>
          </cell>
          <cell r="AO40">
            <v>3921</v>
          </cell>
          <cell r="AR40">
            <v>8570</v>
          </cell>
          <cell r="AS40">
            <v>7226</v>
          </cell>
          <cell r="AT40">
            <v>393</v>
          </cell>
          <cell r="AU40">
            <v>32827</v>
          </cell>
          <cell r="AX40">
            <v>674</v>
          </cell>
          <cell r="AY40">
            <v>46287</v>
          </cell>
          <cell r="AZ40">
            <v>23453</v>
          </cell>
          <cell r="BA40">
            <v>35310</v>
          </cell>
          <cell r="BD40">
            <v>12180</v>
          </cell>
          <cell r="BE40">
            <v>27673</v>
          </cell>
          <cell r="BF40">
            <v>48298</v>
          </cell>
          <cell r="BG40">
            <v>73750</v>
          </cell>
          <cell r="BJ40">
            <v>16557.263999999996</v>
          </cell>
          <cell r="BK40">
            <v>36469.53</v>
          </cell>
          <cell r="BL40">
            <v>58233.135999999999</v>
          </cell>
          <cell r="BM40">
            <v>78000</v>
          </cell>
          <cell r="BP40">
            <v>17601.537599999996</v>
          </cell>
          <cell r="BQ40">
            <v>35522.57699999999</v>
          </cell>
          <cell r="BR40">
            <v>55109.822400000005</v>
          </cell>
          <cell r="BS40">
            <v>72900</v>
          </cell>
          <cell r="BV40">
            <v>20301.537599999996</v>
          </cell>
          <cell r="BW40">
            <v>38222.57699999999</v>
          </cell>
          <cell r="BX40">
            <v>57809.822400000005</v>
          </cell>
          <cell r="BY40">
            <v>75600</v>
          </cell>
          <cell r="CB40">
            <v>23001.537599999996</v>
          </cell>
          <cell r="CC40">
            <v>40922.57699999999</v>
          </cell>
          <cell r="CD40">
            <v>60509.822400000005</v>
          </cell>
          <cell r="CE40">
            <v>78300</v>
          </cell>
          <cell r="CH40">
            <v>25701.537599999996</v>
          </cell>
          <cell r="CI40">
            <v>43622.57699999999</v>
          </cell>
          <cell r="CJ40">
            <v>63209.822400000005</v>
          </cell>
          <cell r="CK40">
            <v>81000</v>
          </cell>
        </row>
        <row r="42">
          <cell r="A42" t="str">
            <v>FFO Adjustments and Cash Flow Statement Variables</v>
          </cell>
        </row>
        <row r="43">
          <cell r="A43" t="str">
            <v xml:space="preserve">Minority Interests in FFO </v>
          </cell>
        </row>
        <row r="44">
          <cell r="A44" t="str">
            <v>Adjustments to Unconsolidated JVs</v>
          </cell>
        </row>
        <row r="45">
          <cell r="A45" t="str">
            <v>Stock-based compensation amortization (Q/Q Growth)</v>
          </cell>
          <cell r="AL45">
            <v>0.23228915662650595</v>
          </cell>
          <cell r="AM45">
            <v>0.141572154868987</v>
          </cell>
          <cell r="AN45">
            <v>-0.15484755053100374</v>
          </cell>
          <cell r="AO45">
            <v>1.3781921361978089E-2</v>
          </cell>
          <cell r="AR45">
            <v>0.01</v>
          </cell>
          <cell r="AS45">
            <v>0.01</v>
          </cell>
          <cell r="AT45">
            <v>0.01</v>
          </cell>
          <cell r="AU45">
            <v>0.01</v>
          </cell>
          <cell r="AX45">
            <v>0.01</v>
          </cell>
          <cell r="AY45">
            <v>0.01</v>
          </cell>
          <cell r="AZ45">
            <v>0.01</v>
          </cell>
          <cell r="BA45">
            <v>5.0000000000000001E-3</v>
          </cell>
          <cell r="BD45">
            <v>0.01</v>
          </cell>
          <cell r="BE45">
            <v>5.0000000000000001E-3</v>
          </cell>
          <cell r="BF45">
            <v>5.0000000000000001E-3</v>
          </cell>
          <cell r="BG45">
            <v>5.0000000000000001E-3</v>
          </cell>
          <cell r="BJ45">
            <v>5.0000000000000001E-3</v>
          </cell>
          <cell r="BK45">
            <v>5.0000000000000001E-3</v>
          </cell>
          <cell r="BL45">
            <v>5.0000000000000001E-3</v>
          </cell>
          <cell r="BM45">
            <v>5.0000000000000001E-3</v>
          </cell>
          <cell r="BP45">
            <v>5.0000000000000001E-3</v>
          </cell>
          <cell r="BQ45">
            <v>5.0000000000000001E-3</v>
          </cell>
          <cell r="BR45">
            <v>5.0000000000000001E-3</v>
          </cell>
          <cell r="BS45">
            <v>5.0000000000000001E-3</v>
          </cell>
          <cell r="BV45">
            <v>5.0000000000000001E-3</v>
          </cell>
          <cell r="BW45">
            <v>5.0000000000000001E-3</v>
          </cell>
          <cell r="BX45">
            <v>5.0000000000000001E-3</v>
          </cell>
          <cell r="BY45">
            <v>5.0000000000000001E-3</v>
          </cell>
          <cell r="CB45">
            <v>5.0000000000000001E-3</v>
          </cell>
          <cell r="CC45">
            <v>5.0000000000000001E-3</v>
          </cell>
          <cell r="CD45">
            <v>5.0000000000000001E-3</v>
          </cell>
          <cell r="CE45">
            <v>5.0000000000000001E-3</v>
          </cell>
          <cell r="CH45">
            <v>5.0000000000000001E-3</v>
          </cell>
          <cell r="CI45">
            <v>5.0000000000000001E-3</v>
          </cell>
          <cell r="CJ45">
            <v>5.0000000000000001E-3</v>
          </cell>
          <cell r="CK45">
            <v>5.0000000000000001E-3</v>
          </cell>
        </row>
        <row r="46">
          <cell r="A46" t="str">
            <v>Distributions from JV  (% of FFO)</v>
          </cell>
          <cell r="BD46">
            <v>1.25</v>
          </cell>
          <cell r="BE46">
            <v>1.25</v>
          </cell>
          <cell r="BF46">
            <v>1.25</v>
          </cell>
          <cell r="BG46">
            <v>1.25</v>
          </cell>
          <cell r="BH46">
            <v>1.25</v>
          </cell>
          <cell r="BJ46">
            <v>1.25</v>
          </cell>
          <cell r="BK46">
            <v>1.25</v>
          </cell>
          <cell r="BL46">
            <v>1.25</v>
          </cell>
          <cell r="BM46">
            <v>1.25</v>
          </cell>
          <cell r="BN46">
            <v>1.25</v>
          </cell>
          <cell r="BP46">
            <v>1.25</v>
          </cell>
          <cell r="BQ46">
            <v>1.25</v>
          </cell>
          <cell r="BR46">
            <v>1.25</v>
          </cell>
          <cell r="BS46">
            <v>1.25</v>
          </cell>
          <cell r="BT46">
            <v>1.25</v>
          </cell>
          <cell r="BV46">
            <v>1.25</v>
          </cell>
          <cell r="BW46">
            <v>1.25</v>
          </cell>
          <cell r="BX46">
            <v>1.25</v>
          </cell>
          <cell r="BY46">
            <v>1.25</v>
          </cell>
          <cell r="BZ46">
            <v>1.25</v>
          </cell>
          <cell r="CB46">
            <v>1.25</v>
          </cell>
          <cell r="CC46">
            <v>1.25</v>
          </cell>
          <cell r="CD46">
            <v>1.25</v>
          </cell>
          <cell r="CE46">
            <v>1.25</v>
          </cell>
          <cell r="CF46">
            <v>1.25</v>
          </cell>
          <cell r="CH46">
            <v>1.25</v>
          </cell>
          <cell r="CI46">
            <v>1.25</v>
          </cell>
          <cell r="CJ46">
            <v>1.25</v>
          </cell>
          <cell r="CK46">
            <v>1.25</v>
          </cell>
          <cell r="CL46">
            <v>1.25</v>
          </cell>
        </row>
        <row r="47">
          <cell r="A47" t="str">
            <v>FFO from Consolidated JV's (Actuals)</v>
          </cell>
          <cell r="Z47">
            <v>18776</v>
          </cell>
          <cell r="AA47">
            <v>16471</v>
          </cell>
          <cell r="AB47">
            <v>21306</v>
          </cell>
          <cell r="AC47">
            <v>20783</v>
          </cell>
          <cell r="AD47">
            <v>77336</v>
          </cell>
          <cell r="AF47">
            <v>20582</v>
          </cell>
          <cell r="AG47">
            <v>21288</v>
          </cell>
          <cell r="AH47">
            <v>23826</v>
          </cell>
          <cell r="AI47">
            <v>29141</v>
          </cell>
          <cell r="AJ47">
            <v>94837</v>
          </cell>
          <cell r="AL47">
            <v>24028</v>
          </cell>
          <cell r="AM47">
            <v>24461</v>
          </cell>
          <cell r="AN47">
            <v>30260</v>
          </cell>
          <cell r="AO47">
            <v>29940</v>
          </cell>
          <cell r="AP47">
            <v>108689</v>
          </cell>
          <cell r="AR47">
            <v>45852</v>
          </cell>
          <cell r="AS47">
            <v>31584</v>
          </cell>
          <cell r="AT47">
            <v>31584</v>
          </cell>
          <cell r="AU47">
            <v>31584</v>
          </cell>
          <cell r="AV47">
            <v>140604</v>
          </cell>
          <cell r="AX47">
            <v>45852</v>
          </cell>
          <cell r="AY47">
            <v>45852</v>
          </cell>
          <cell r="AZ47">
            <v>45852</v>
          </cell>
          <cell r="BA47">
            <v>46310.52</v>
          </cell>
          <cell r="BB47">
            <v>183866.52</v>
          </cell>
          <cell r="BD47">
            <v>46773.625199999995</v>
          </cell>
          <cell r="BE47">
            <v>47241.361451999997</v>
          </cell>
          <cell r="BF47">
            <v>47713.77506652</v>
          </cell>
          <cell r="BG47">
            <v>48190.912817185199</v>
          </cell>
          <cell r="BH47">
            <v>189919.67453570518</v>
          </cell>
          <cell r="BJ47">
            <v>48672.821945357049</v>
          </cell>
          <cell r="BK47">
            <v>49159.550164810622</v>
          </cell>
          <cell r="BL47">
            <v>49651.145666458731</v>
          </cell>
          <cell r="BM47">
            <v>50147.657123123317</v>
          </cell>
          <cell r="BN47">
            <v>197631.17489974972</v>
          </cell>
          <cell r="BP47">
            <v>50649.133694354554</v>
          </cell>
          <cell r="BQ47">
            <v>51155.625031298099</v>
          </cell>
          <cell r="BR47">
            <v>51667.181281611083</v>
          </cell>
          <cell r="BS47">
            <v>52183.853094427192</v>
          </cell>
          <cell r="BT47">
            <v>205655.79310169094</v>
          </cell>
          <cell r="BV47">
            <v>52705.691625371466</v>
          </cell>
          <cell r="BW47">
            <v>53232.74854162518</v>
          </cell>
          <cell r="BX47">
            <v>53765.076027041432</v>
          </cell>
          <cell r="BY47">
            <v>54302.726787311847</v>
          </cell>
          <cell r="BZ47">
            <v>214006.24298134993</v>
          </cell>
          <cell r="CB47">
            <v>54845.754055184967</v>
          </cell>
          <cell r="CC47">
            <v>55394.211595736815</v>
          </cell>
          <cell r="CD47">
            <v>55948.153711694184</v>
          </cell>
          <cell r="CE47">
            <v>56507.635248811122</v>
          </cell>
          <cell r="CF47">
            <v>222695.75461142708</v>
          </cell>
          <cell r="CH47">
            <v>57072.711601299234</v>
          </cell>
          <cell r="CI47">
            <v>57643.438717312223</v>
          </cell>
          <cell r="CJ47">
            <v>58219.873104485348</v>
          </cell>
          <cell r="CK47">
            <v>58802.071835530201</v>
          </cell>
          <cell r="CL47">
            <v>231738.095258627</v>
          </cell>
        </row>
        <row r="48">
          <cell r="A48" t="str">
            <v>Distributions to minority interests (excluding preferred units)</v>
          </cell>
          <cell r="Z48">
            <v>-11934</v>
          </cell>
          <cell r="AA48">
            <v>-13150</v>
          </cell>
          <cell r="AB48">
            <v>-16043</v>
          </cell>
          <cell r="AC48">
            <v>-12579</v>
          </cell>
          <cell r="AD48">
            <v>-53706</v>
          </cell>
          <cell r="AF48">
            <v>-7709</v>
          </cell>
          <cell r="AG48">
            <v>-11940</v>
          </cell>
          <cell r="AH48">
            <v>-45336</v>
          </cell>
          <cell r="AI48">
            <v>-18256</v>
          </cell>
          <cell r="AJ48">
            <v>-83241</v>
          </cell>
          <cell r="AL48">
            <v>-5847</v>
          </cell>
          <cell r="AM48">
            <v>-12749</v>
          </cell>
          <cell r="AN48">
            <v>-14879</v>
          </cell>
          <cell r="AO48">
            <v>-42579</v>
          </cell>
          <cell r="AP48">
            <v>-76054</v>
          </cell>
          <cell r="AR48">
            <v>-35048</v>
          </cell>
          <cell r="AS48">
            <v>-24141.935618947919</v>
          </cell>
          <cell r="AT48">
            <v>-24141.935618947919</v>
          </cell>
          <cell r="AU48">
            <v>-24141.935618947919</v>
          </cell>
          <cell r="AV48">
            <v>-107473.80685684374</v>
          </cell>
          <cell r="AX48">
            <v>-31062</v>
          </cell>
          <cell r="AY48">
            <v>-12723</v>
          </cell>
          <cell r="AZ48">
            <v>-52223</v>
          </cell>
          <cell r="BA48">
            <v>-57256</v>
          </cell>
          <cell r="BB48">
            <v>-153264</v>
          </cell>
          <cell r="BD48">
            <v>-59463</v>
          </cell>
          <cell r="BE48">
            <v>-13540</v>
          </cell>
          <cell r="BF48">
            <v>-35905</v>
          </cell>
          <cell r="BG48">
            <v>-20772</v>
          </cell>
          <cell r="BH48">
            <v>-129680</v>
          </cell>
          <cell r="BJ48">
            <v>-20979.719999999998</v>
          </cell>
          <cell r="BK48">
            <v>-21189.517199999998</v>
          </cell>
          <cell r="BL48">
            <v>-21401.412372000003</v>
          </cell>
          <cell r="BM48">
            <v>-21615.426495719999</v>
          </cell>
          <cell r="BN48">
            <v>-85186.076067719987</v>
          </cell>
          <cell r="BP48">
            <v>-21831.580760677203</v>
          </cell>
          <cell r="BQ48">
            <v>-22049.896568283973</v>
          </cell>
          <cell r="BR48">
            <v>-22270.395533966814</v>
          </cell>
          <cell r="BS48">
            <v>-22493.099489306482</v>
          </cell>
          <cell r="BT48">
            <v>-88644.972352234472</v>
          </cell>
          <cell r="BV48">
            <v>-22718.030484199549</v>
          </cell>
          <cell r="BW48">
            <v>-22945.210789041543</v>
          </cell>
          <cell r="BX48">
            <v>-23174.662896931957</v>
          </cell>
          <cell r="BY48">
            <v>-23406.409525901279</v>
          </cell>
          <cell r="BZ48">
            <v>-92244.313696074329</v>
          </cell>
          <cell r="CB48">
            <v>-23640.47362116029</v>
          </cell>
          <cell r="CC48">
            <v>-23876.878357371894</v>
          </cell>
          <cell r="CD48">
            <v>-24115.647140945614</v>
          </cell>
          <cell r="CE48">
            <v>-24356.803612355066</v>
          </cell>
          <cell r="CF48">
            <v>-95989.802731832868</v>
          </cell>
          <cell r="CH48">
            <v>-24600.37164847862</v>
          </cell>
          <cell r="CI48">
            <v>-24846.375364963405</v>
          </cell>
          <cell r="CJ48">
            <v>-25094.839118613039</v>
          </cell>
          <cell r="CK48">
            <v>-25345.787509799171</v>
          </cell>
          <cell r="CL48">
            <v>-99887.373641854239</v>
          </cell>
        </row>
        <row r="49">
          <cell r="A49" t="str">
            <v>Distributions / FFO of Consolidated JV's</v>
          </cell>
          <cell r="Z49">
            <v>-0.6355986365573072</v>
          </cell>
          <cell r="AA49">
            <v>-0.79837289782041165</v>
          </cell>
          <cell r="AB49">
            <v>-0.75298038111330146</v>
          </cell>
          <cell r="AC49">
            <v>-0.6052542943752105</v>
          </cell>
          <cell r="AD49">
            <v>-0.69445019137271125</v>
          </cell>
          <cell r="AF49">
            <v>-0.37455057817510445</v>
          </cell>
          <cell r="AG49">
            <v>-0.56087936865839905</v>
          </cell>
          <cell r="AH49">
            <v>-1.9027952656761522</v>
          </cell>
          <cell r="AI49">
            <v>-0.62647129473937069</v>
          </cell>
          <cell r="AJ49">
            <v>-0.87772704746037944</v>
          </cell>
          <cell r="AL49">
            <v>-0.24334110204761111</v>
          </cell>
          <cell r="AM49">
            <v>-0.52119700748129671</v>
          </cell>
          <cell r="AN49">
            <v>-0.49170522141440848</v>
          </cell>
          <cell r="AO49">
            <v>-1.4221442885771542</v>
          </cell>
          <cell r="AP49">
            <v>-0.69973962406499279</v>
          </cell>
          <cell r="AR49">
            <v>-0.76437232836081304</v>
          </cell>
          <cell r="AS49">
            <v>-0.76437232836081304</v>
          </cell>
          <cell r="AT49">
            <v>-0.76437232836081304</v>
          </cell>
          <cell r="AU49">
            <v>-0.76437232836081304</v>
          </cell>
          <cell r="AV49">
            <v>-0.76437232836081304</v>
          </cell>
          <cell r="AX49">
            <v>-0.67744046061240515</v>
          </cell>
          <cell r="AY49">
            <v>-0.27747971735147869</v>
          </cell>
          <cell r="AZ49">
            <v>-1.1389470470208496</v>
          </cell>
          <cell r="BA49">
            <v>-1.2363497537924428</v>
          </cell>
          <cell r="BB49">
            <v>-1.2363497537924428</v>
          </cell>
          <cell r="BD49">
            <v>-1.2712933783888105</v>
          </cell>
          <cell r="BE49">
            <v>-0.28661324703263341</v>
          </cell>
          <cell r="BF49">
            <v>-0.75250805349069871</v>
          </cell>
          <cell r="BG49">
            <v>-0.43103562032119397</v>
          </cell>
          <cell r="BH49">
            <v>-0.43103562032119397</v>
          </cell>
          <cell r="BJ49">
            <v>-0.43103562032119397</v>
          </cell>
          <cell r="BK49">
            <v>-0.43103562032119397</v>
          </cell>
          <cell r="BL49">
            <v>-0.43103562032119397</v>
          </cell>
          <cell r="BM49">
            <v>-0.43103562032119397</v>
          </cell>
          <cell r="BN49">
            <v>-0.43103562032119397</v>
          </cell>
          <cell r="BP49">
            <v>-0.43103562032119397</v>
          </cell>
          <cell r="BQ49">
            <v>-0.43103562032119397</v>
          </cell>
          <cell r="BR49">
            <v>-0.43103562032119397</v>
          </cell>
          <cell r="BS49">
            <v>-0.43103562032119397</v>
          </cell>
          <cell r="BT49">
            <v>-0.43103562032119397</v>
          </cell>
          <cell r="BV49">
            <v>-0.43103562032119397</v>
          </cell>
          <cell r="BW49">
            <v>-0.43103562032119397</v>
          </cell>
          <cell r="BX49">
            <v>-0.43103562032119397</v>
          </cell>
          <cell r="BY49">
            <v>-0.43103562032119397</v>
          </cell>
          <cell r="BZ49">
            <v>-0.43103562032119397</v>
          </cell>
          <cell r="CB49">
            <v>-0.43103562032119397</v>
          </cell>
          <cell r="CC49">
            <v>-0.43103562032119397</v>
          </cell>
          <cell r="CD49">
            <v>-0.43103562032119397</v>
          </cell>
          <cell r="CE49">
            <v>-0.43103562032119397</v>
          </cell>
          <cell r="CF49">
            <v>-0.43103562032119397</v>
          </cell>
          <cell r="CH49">
            <v>-0.43103562032119397</v>
          </cell>
          <cell r="CI49">
            <v>-0.43103562032119397</v>
          </cell>
          <cell r="CJ49">
            <v>-0.43103562032119397</v>
          </cell>
          <cell r="CK49">
            <v>-0.43103562032119397</v>
          </cell>
          <cell r="CL49">
            <v>-0.43103562032119397</v>
          </cell>
        </row>
        <row r="50">
          <cell r="A50" t="str">
            <v>FFO Growth from Consolidated JV's</v>
          </cell>
          <cell r="AA50">
            <v>-0.12276310183212613</v>
          </cell>
          <cell r="AB50">
            <v>0.29354623277275205</v>
          </cell>
          <cell r="AC50">
            <v>-2.4547075941049434E-2</v>
          </cell>
          <cell r="AF50">
            <v>-9.67136602030505E-3</v>
          </cell>
          <cell r="AG50">
            <v>3.4301817121756839E-2</v>
          </cell>
          <cell r="AH50">
            <v>0.11922209695603159</v>
          </cell>
          <cell r="AI50">
            <v>0.22307563166288924</v>
          </cell>
          <cell r="AJ50">
            <v>0.22629823109547953</v>
          </cell>
          <cell r="AL50">
            <v>-0.17545725953124469</v>
          </cell>
          <cell r="AM50">
            <v>1.8020642583652435E-2</v>
          </cell>
          <cell r="AN50">
            <v>0.23707125628551573</v>
          </cell>
          <cell r="AO50">
            <v>-1.0575016523463265E-2</v>
          </cell>
          <cell r="AR50">
            <v>0.01</v>
          </cell>
          <cell r="AS50">
            <v>0.01</v>
          </cell>
          <cell r="AT50">
            <v>0.01</v>
          </cell>
          <cell r="AU50">
            <v>0.01</v>
          </cell>
          <cell r="AX50">
            <v>0.01</v>
          </cell>
          <cell r="AY50">
            <v>0.01</v>
          </cell>
          <cell r="AZ50">
            <v>0.01</v>
          </cell>
          <cell r="BA50">
            <v>0.01</v>
          </cell>
          <cell r="BD50">
            <v>0.01</v>
          </cell>
          <cell r="BE50">
            <v>0.01</v>
          </cell>
          <cell r="BF50">
            <v>0.01</v>
          </cell>
          <cell r="BG50">
            <v>0.01</v>
          </cell>
          <cell r="BJ50">
            <v>0.01</v>
          </cell>
          <cell r="BK50">
            <v>0.01</v>
          </cell>
          <cell r="BL50">
            <v>0.01</v>
          </cell>
          <cell r="BM50">
            <v>0.01</v>
          </cell>
          <cell r="BP50">
            <v>0.01</v>
          </cell>
          <cell r="BQ50">
            <v>0.01</v>
          </cell>
          <cell r="BR50">
            <v>0.01</v>
          </cell>
          <cell r="BS50">
            <v>0.01</v>
          </cell>
          <cell r="BV50">
            <v>0.01</v>
          </cell>
          <cell r="BW50">
            <v>0.01</v>
          </cell>
          <cell r="BX50">
            <v>0.01</v>
          </cell>
          <cell r="BY50">
            <v>0.01</v>
          </cell>
          <cell r="CB50">
            <v>0.01</v>
          </cell>
          <cell r="CC50">
            <v>0.01</v>
          </cell>
          <cell r="CD50">
            <v>0.01</v>
          </cell>
          <cell r="CE50">
            <v>0.01</v>
          </cell>
          <cell r="CH50">
            <v>0.01</v>
          </cell>
          <cell r="CI50">
            <v>0.01</v>
          </cell>
          <cell r="CJ50">
            <v>0.01</v>
          </cell>
          <cell r="CK50">
            <v>0.01</v>
          </cell>
        </row>
        <row r="51">
          <cell r="A51" t="str">
            <v>Contribution from JV Partners (as % of acquisitions)</v>
          </cell>
          <cell r="Z51">
            <v>0</v>
          </cell>
          <cell r="AA51">
            <v>-0.55051844024492647</v>
          </cell>
          <cell r="AB51">
            <v>-6.6713946225722562E-2</v>
          </cell>
          <cell r="AC51">
            <v>-0.59562660839311643</v>
          </cell>
          <cell r="AD51">
            <v>-0.4117607398500972</v>
          </cell>
          <cell r="AF51">
            <v>-0.67076424623594433</v>
          </cell>
          <cell r="AG51">
            <v>-1.2308471431368042</v>
          </cell>
          <cell r="AH51">
            <v>-0.14568690095846645</v>
          </cell>
          <cell r="AI51">
            <v>-4.0975784920352573E-2</v>
          </cell>
          <cell r="AJ51">
            <v>-0.35838252025621203</v>
          </cell>
          <cell r="AL51">
            <v>-6.3876254125683513E-2</v>
          </cell>
          <cell r="AM51">
            <v>-0.18580982997344819</v>
          </cell>
          <cell r="AN51">
            <v>-8.9453450120883043E-2</v>
          </cell>
          <cell r="AO51">
            <v>-1.3074444989144898</v>
          </cell>
          <cell r="AP51">
            <v>-0.46491612735342164</v>
          </cell>
          <cell r="AR51">
            <v>-0.89092050138236345</v>
          </cell>
          <cell r="AS51">
            <v>-0.34830090771895655</v>
          </cell>
          <cell r="AT51">
            <v>-0.35755343767885139</v>
          </cell>
          <cell r="AU51">
            <v>-0.21584366659345194</v>
          </cell>
          <cell r="AV51">
            <v>-0.8</v>
          </cell>
          <cell r="AX51">
            <v>-0.54340453971632963</v>
          </cell>
          <cell r="AY51">
            <v>-0.30647890284273027</v>
          </cell>
          <cell r="AZ51">
            <v>-0.6125209045299207</v>
          </cell>
          <cell r="BA51">
            <v>-0.13488972419727369</v>
          </cell>
          <cell r="BB51">
            <v>-0.2</v>
          </cell>
          <cell r="BD51">
            <v>-5.9882498787258126E-2</v>
          </cell>
          <cell r="BE51">
            <v>-0.4</v>
          </cell>
          <cell r="BF51">
            <v>-0.4</v>
          </cell>
          <cell r="BG51">
            <v>-0.4</v>
          </cell>
          <cell r="BH51">
            <v>-0.2</v>
          </cell>
          <cell r="BJ51">
            <v>-0.4</v>
          </cell>
          <cell r="BK51">
            <v>-0.4</v>
          </cell>
          <cell r="BL51">
            <v>-0.4</v>
          </cell>
          <cell r="BM51">
            <v>-0.4</v>
          </cell>
          <cell r="BN51">
            <v>-0.2</v>
          </cell>
          <cell r="BP51">
            <v>-0.4</v>
          </cell>
          <cell r="BQ51">
            <v>-0.4</v>
          </cell>
          <cell r="BR51">
            <v>-0.4</v>
          </cell>
          <cell r="BS51">
            <v>-0.4</v>
          </cell>
          <cell r="BT51">
            <v>-0.2</v>
          </cell>
          <cell r="BV51">
            <v>-0.4</v>
          </cell>
          <cell r="BW51">
            <v>-0.4</v>
          </cell>
          <cell r="BX51">
            <v>-0.4</v>
          </cell>
          <cell r="BY51">
            <v>-0.4</v>
          </cell>
          <cell r="BZ51">
            <v>-0.2</v>
          </cell>
          <cell r="CB51">
            <v>-0.4</v>
          </cell>
          <cell r="CC51">
            <v>-0.4</v>
          </cell>
          <cell r="CD51">
            <v>-0.4</v>
          </cell>
          <cell r="CE51">
            <v>-0.4</v>
          </cell>
          <cell r="CF51">
            <v>-0.2</v>
          </cell>
          <cell r="CH51">
            <v>-0.4</v>
          </cell>
          <cell r="CI51">
            <v>-0.4</v>
          </cell>
          <cell r="CJ51">
            <v>-0.4</v>
          </cell>
          <cell r="CK51">
            <v>-0.4</v>
          </cell>
          <cell r="CL51">
            <v>-0.2</v>
          </cell>
        </row>
        <row r="52">
          <cell r="A52" t="str">
            <v>JV Share of Debt (% of Consolidated Debt)</v>
          </cell>
          <cell r="AL52">
            <v>-0.25970289971131089</v>
          </cell>
          <cell r="AM52">
            <v>-0.24515973889854456</v>
          </cell>
          <cell r="AN52">
            <v>-0.23186969057382747</v>
          </cell>
          <cell r="AO52">
            <v>-0.29718060746207392</v>
          </cell>
          <cell r="AP52">
            <v>-0.29718060746207392</v>
          </cell>
          <cell r="AR52">
            <v>-0.28915943800399091</v>
          </cell>
          <cell r="AS52">
            <v>-0.28915943800399091</v>
          </cell>
          <cell r="AT52">
            <v>-0.28915943800399091</v>
          </cell>
          <cell r="AU52">
            <v>-0.28915943800399091</v>
          </cell>
          <cell r="AV52">
            <v>-0.28915943800399091</v>
          </cell>
          <cell r="AX52">
            <v>-0.2716338528718264</v>
          </cell>
          <cell r="AY52">
            <v>-0.27297034553933697</v>
          </cell>
          <cell r="AZ52">
            <v>-0.27510156921996948</v>
          </cell>
          <cell r="BA52">
            <v>-0.20719465063136105</v>
          </cell>
          <cell r="BB52">
            <v>-0.20719465063136105</v>
          </cell>
          <cell r="BD52">
            <v>-0.23430920457478102</v>
          </cell>
          <cell r="BE52">
            <v>-0.25277114320369698</v>
          </cell>
          <cell r="BF52">
            <v>-0.2457253461334768</v>
          </cell>
          <cell r="BG52">
            <v>-0.27450000000000008</v>
          </cell>
          <cell r="BH52">
            <v>-0.27450000000000008</v>
          </cell>
          <cell r="BJ52">
            <v>-0.27450000000000008</v>
          </cell>
          <cell r="BK52">
            <v>-0.27450000000000008</v>
          </cell>
          <cell r="BL52">
            <v>-0.27450000000000008</v>
          </cell>
          <cell r="BM52">
            <v>-0.27450000000000008</v>
          </cell>
          <cell r="BN52">
            <v>-0.27450000000000008</v>
          </cell>
          <cell r="BP52">
            <v>-0.27450000000000008</v>
          </cell>
          <cell r="BQ52">
            <v>-0.27450000000000008</v>
          </cell>
          <cell r="BR52">
            <v>-0.27450000000000008</v>
          </cell>
          <cell r="BS52">
            <v>-0.27450000000000008</v>
          </cell>
          <cell r="BT52">
            <v>-0.27450000000000008</v>
          </cell>
          <cell r="BV52">
            <v>-0.27450000000000008</v>
          </cell>
          <cell r="BW52">
            <v>-0.27450000000000008</v>
          </cell>
          <cell r="BX52">
            <v>-0.27450000000000008</v>
          </cell>
          <cell r="BY52">
            <v>-0.27450000000000008</v>
          </cell>
          <cell r="BZ52">
            <v>-0.27450000000000008</v>
          </cell>
          <cell r="CB52">
            <v>-0.27450000000000008</v>
          </cell>
          <cell r="CC52">
            <v>-0.27450000000000008</v>
          </cell>
          <cell r="CD52">
            <v>-0.27450000000000008</v>
          </cell>
          <cell r="CE52">
            <v>-0.27450000000000008</v>
          </cell>
          <cell r="CF52">
            <v>-0.27450000000000008</v>
          </cell>
          <cell r="CH52">
            <v>-0.27450000000000008</v>
          </cell>
          <cell r="CI52">
            <v>-0.27450000000000008</v>
          </cell>
          <cell r="CJ52">
            <v>-0.27450000000000008</v>
          </cell>
          <cell r="CK52">
            <v>-0.27450000000000008</v>
          </cell>
          <cell r="CL52">
            <v>-0.27450000000000008</v>
          </cell>
        </row>
        <row r="54">
          <cell r="A54" t="str">
            <v>TI &amp;LC (% of NOI)</v>
          </cell>
          <cell r="B54">
            <v>6.439742410303588E-2</v>
          </cell>
          <cell r="C54">
            <v>5.631627218458865E-2</v>
          </cell>
          <cell r="D54">
            <v>5.1692562178767651E-2</v>
          </cell>
          <cell r="E54">
            <v>4.7372196581080897E-2</v>
          </cell>
          <cell r="F54">
            <v>5.4244643341470028E-2</v>
          </cell>
          <cell r="H54">
            <v>4.608117967819976E-2</v>
          </cell>
          <cell r="I54">
            <v>4.3559276916003191E-2</v>
          </cell>
          <cell r="J54">
            <v>4.3412198827870632E-2</v>
          </cell>
          <cell r="K54">
            <v>4.3175303726268571E-2</v>
          </cell>
          <cell r="L54">
            <v>4.4026464797172524E-2</v>
          </cell>
          <cell r="N54">
            <v>2.2821509610651557E-2</v>
          </cell>
          <cell r="O54">
            <v>7.5068121484288208E-2</v>
          </cell>
          <cell r="P54">
            <v>7.3458545099287592E-2</v>
          </cell>
          <cell r="Q54">
            <v>0.12469311012814271</v>
          </cell>
          <cell r="R54">
            <v>7.5887463036635114E-2</v>
          </cell>
          <cell r="T54">
            <v>5.0932630903665399E-2</v>
          </cell>
          <cell r="U54">
            <v>5.743425090891921E-2</v>
          </cell>
          <cell r="V54">
            <v>9.6983926313888386E-2</v>
          </cell>
          <cell r="W54">
            <v>5.3718034688366528E-2</v>
          </cell>
          <cell r="X54">
            <v>6.5112708493265406E-2</v>
          </cell>
          <cell r="Z54">
            <v>7.7119438752474553E-2</v>
          </cell>
          <cell r="AA54">
            <v>0.11001966376729437</v>
          </cell>
          <cell r="AB54">
            <v>6.042933049946865E-2</v>
          </cell>
          <cell r="AC54">
            <v>6.9857237209774936E-2</v>
          </cell>
          <cell r="AD54">
            <v>7.9046039935919687E-2</v>
          </cell>
          <cell r="AF54">
            <v>8.3623728882639442E-2</v>
          </cell>
          <cell r="AG54">
            <v>0.13073663733831206</v>
          </cell>
          <cell r="AH54">
            <v>9.3739564982094944E-2</v>
          </cell>
          <cell r="AI54">
            <v>0.13045638134732931</v>
          </cell>
          <cell r="AJ54">
            <v>0.10931412348719736</v>
          </cell>
          <cell r="AL54">
            <v>0.1360526928860368</v>
          </cell>
          <cell r="AM54">
            <v>0.1289946473051036</v>
          </cell>
          <cell r="AN54">
            <v>0.10822405541071638</v>
          </cell>
          <cell r="AO54">
            <v>0.17074013209541852</v>
          </cell>
          <cell r="AP54">
            <v>0.13550342019880551</v>
          </cell>
          <cell r="AR54">
            <v>0.11624693368183132</v>
          </cell>
          <cell r="AS54">
            <v>0.10283479755939026</v>
          </cell>
          <cell r="AT54">
            <v>0.12082831584379838</v>
          </cell>
          <cell r="AU54">
            <v>0.12065800102812661</v>
          </cell>
          <cell r="AV54">
            <v>0.11509921340030657</v>
          </cell>
          <cell r="AX54">
            <v>9.6250509441651949E-2</v>
          </cell>
          <cell r="AY54">
            <v>0.10996736376095681</v>
          </cell>
          <cell r="AZ54">
            <v>0.10367202477510691</v>
          </cell>
          <cell r="BA54">
            <v>0.1056395914626657</v>
          </cell>
          <cell r="BB54">
            <v>0.10387082525343967</v>
          </cell>
          <cell r="BD54">
            <v>0.10471024779956725</v>
          </cell>
          <cell r="BE54">
            <v>0.11429226711517144</v>
          </cell>
          <cell r="BF54">
            <v>0.1157373197673317</v>
          </cell>
          <cell r="BG54">
            <v>0.1116911374814869</v>
          </cell>
          <cell r="BH54">
            <v>0.11165860055059838</v>
          </cell>
          <cell r="BJ54">
            <v>7.0000000000000007E-2</v>
          </cell>
          <cell r="BK54">
            <v>7.0000000000000007E-2</v>
          </cell>
          <cell r="BL54">
            <v>7.0000000000000007E-2</v>
          </cell>
          <cell r="BM54">
            <v>7.0000000000000007E-2</v>
          </cell>
          <cell r="BN54">
            <v>7.0000000000000007E-2</v>
          </cell>
          <cell r="BP54">
            <v>7.0000000000000007E-2</v>
          </cell>
          <cell r="BQ54">
            <v>7.0000000000000007E-2</v>
          </cell>
          <cell r="BR54">
            <v>7.0000000000000007E-2</v>
          </cell>
          <cell r="BS54">
            <v>7.0000000000000007E-2</v>
          </cell>
          <cell r="BT54">
            <v>7.0000000000000007E-2</v>
          </cell>
          <cell r="BV54">
            <v>7.0000000000000007E-2</v>
          </cell>
          <cell r="BW54">
            <v>7.0000000000000007E-2</v>
          </cell>
          <cell r="BX54">
            <v>7.0000000000000007E-2</v>
          </cell>
          <cell r="BY54">
            <v>7.0000000000000007E-2</v>
          </cell>
          <cell r="BZ54">
            <v>7.0000000000000007E-2</v>
          </cell>
          <cell r="CB54">
            <v>7.4999999999999997E-2</v>
          </cell>
          <cell r="CC54">
            <v>7.4999999999999997E-2</v>
          </cell>
          <cell r="CD54">
            <v>7.4999999999999997E-2</v>
          </cell>
          <cell r="CE54">
            <v>7.4999999999999997E-2</v>
          </cell>
          <cell r="CF54">
            <v>7.4999999999999997E-2</v>
          </cell>
          <cell r="CH54">
            <v>0.08</v>
          </cell>
          <cell r="CI54">
            <v>0.08</v>
          </cell>
          <cell r="CJ54">
            <v>0.08</v>
          </cell>
          <cell r="CK54">
            <v>0.08</v>
          </cell>
          <cell r="CL54">
            <v>0.08</v>
          </cell>
        </row>
        <row r="55">
          <cell r="A55" t="str">
            <v>Cap Ex (% of NOI)</v>
          </cell>
          <cell r="B55">
            <v>2.5758969641214352E-2</v>
          </cell>
          <cell r="C55">
            <v>2.2526508873835459E-2</v>
          </cell>
          <cell r="D55">
            <v>2.067702487150706E-2</v>
          </cell>
          <cell r="E55">
            <v>1.8948878632432359E-2</v>
          </cell>
          <cell r="F55">
            <v>2.1697857336588012E-2</v>
          </cell>
          <cell r="H55">
            <v>2.0480524301422116E-2</v>
          </cell>
          <cell r="I55">
            <v>1.9359678629334753E-2</v>
          </cell>
          <cell r="J55">
            <v>1.9294310590164725E-2</v>
          </cell>
          <cell r="K55">
            <v>1.918902387834159E-2</v>
          </cell>
          <cell r="L55">
            <v>1.9567317687632233E-2</v>
          </cell>
          <cell r="N55">
            <v>8.3932623389720629E-2</v>
          </cell>
          <cell r="O55">
            <v>0.10521699470231204</v>
          </cell>
          <cell r="P55">
            <v>3.4555812906837617E-2</v>
          </cell>
          <cell r="Q55">
            <v>3.1160328592294863E-2</v>
          </cell>
          <cell r="R55">
            <v>6.212650869445676E-2</v>
          </cell>
          <cell r="T55">
            <v>2.1247849457139801E-2</v>
          </cell>
          <cell r="U55">
            <v>3.2617215165966287E-2</v>
          </cell>
          <cell r="V55">
            <v>5.0388296911685025E-2</v>
          </cell>
          <cell r="W55">
            <v>7.8982184605904629E-2</v>
          </cell>
          <cell r="X55">
            <v>4.6376811594202899E-2</v>
          </cell>
          <cell r="Z55">
            <v>2.0326120932171014E-2</v>
          </cell>
          <cell r="AA55">
            <v>3.1763184467395351E-2</v>
          </cell>
          <cell r="AB55">
            <v>6.4765143464399572E-2</v>
          </cell>
          <cell r="AC55">
            <v>4.0009144947416551E-2</v>
          </cell>
          <cell r="AD55">
            <v>3.9392573842209781E-2</v>
          </cell>
          <cell r="AF55">
            <v>2.7236045729657026E-2</v>
          </cell>
          <cell r="AG55">
            <v>4.6843382114548283E-2</v>
          </cell>
          <cell r="AH55">
            <v>5.0099600446762697E-2</v>
          </cell>
          <cell r="AI55">
            <v>5.306810082291194E-2</v>
          </cell>
          <cell r="AJ55">
            <v>4.3941433218720884E-2</v>
          </cell>
          <cell r="AL55">
            <v>2.9671516614778577E-2</v>
          </cell>
          <cell r="AM55">
            <v>4.3309131379511367E-2</v>
          </cell>
          <cell r="AN55">
            <v>5.0673177944667108E-2</v>
          </cell>
          <cell r="AO55">
            <v>9.0635041920931164E-2</v>
          </cell>
          <cell r="AP55">
            <v>5.3617557709396767E-2</v>
          </cell>
          <cell r="AR55">
            <v>4.7186485704797915E-2</v>
          </cell>
          <cell r="AS55">
            <v>7.2568301427882495E-2</v>
          </cell>
          <cell r="AT55">
            <v>8.0132891794254257E-2</v>
          </cell>
          <cell r="AU55">
            <v>9.7252384099707295E-2</v>
          </cell>
          <cell r="AV55">
            <v>7.4390159812870962E-2</v>
          </cell>
          <cell r="AX55">
            <v>3.6854464649601182E-2</v>
          </cell>
          <cell r="AY55">
            <v>0.12299227970538645</v>
          </cell>
          <cell r="AZ55">
            <v>0.12739517278670795</v>
          </cell>
          <cell r="BA55">
            <v>0.12578301414385729</v>
          </cell>
          <cell r="BB55">
            <v>0.10325193978123005</v>
          </cell>
          <cell r="BD55">
            <v>2.9352157354193796E-2</v>
          </cell>
          <cell r="BE55">
            <v>0.10849164787278774</v>
          </cell>
          <cell r="BF55">
            <v>9.589988442372914E-2</v>
          </cell>
          <cell r="BG55">
            <v>9.2547219835073413E-2</v>
          </cell>
          <cell r="BH55">
            <v>8.2037261425153482E-2</v>
          </cell>
          <cell r="BJ55">
            <v>9.2547219835073413E-2</v>
          </cell>
          <cell r="BK55">
            <v>9.2547219835073413E-2</v>
          </cell>
          <cell r="BL55">
            <v>9.2547219835073413E-2</v>
          </cell>
          <cell r="BM55">
            <v>9.2547219835073413E-2</v>
          </cell>
          <cell r="BN55">
            <v>9.2547219835073413E-2</v>
          </cell>
          <cell r="BP55">
            <v>9.2547219835073413E-2</v>
          </cell>
          <cell r="BQ55">
            <v>9.2547219835073413E-2</v>
          </cell>
          <cell r="BR55">
            <v>9.2547219835073413E-2</v>
          </cell>
          <cell r="BS55">
            <v>9.2547219835073413E-2</v>
          </cell>
          <cell r="BT55">
            <v>9.2547219835073413E-2</v>
          </cell>
          <cell r="BV55">
            <v>9.2547219835073413E-2</v>
          </cell>
          <cell r="BW55">
            <v>9.2547219835073413E-2</v>
          </cell>
          <cell r="BX55">
            <v>9.2547219835073413E-2</v>
          </cell>
          <cell r="BY55">
            <v>9.2547219835073413E-2</v>
          </cell>
          <cell r="BZ55">
            <v>9.2547219835073413E-2</v>
          </cell>
          <cell r="CB55">
            <v>9.2547219835073413E-2</v>
          </cell>
          <cell r="CC55">
            <v>9.2547219835073413E-2</v>
          </cell>
          <cell r="CD55">
            <v>9.2547219835073413E-2</v>
          </cell>
          <cell r="CE55">
            <v>9.2547219835073413E-2</v>
          </cell>
          <cell r="CF55">
            <v>9.2547219835073413E-2</v>
          </cell>
          <cell r="CH55">
            <v>9.2547219835073413E-2</v>
          </cell>
          <cell r="CI55">
            <v>9.2547219835073413E-2</v>
          </cell>
          <cell r="CJ55">
            <v>9.2547219835073413E-2</v>
          </cell>
          <cell r="CK55">
            <v>9.2547219835073413E-2</v>
          </cell>
          <cell r="CL55">
            <v>9.2547219835073413E-2</v>
          </cell>
        </row>
        <row r="56">
          <cell r="A56" t="str">
            <v>Straight lining  (% of NOI)</v>
          </cell>
          <cell r="B56">
            <v>5.197792088316467E-2</v>
          </cell>
          <cell r="C56">
            <v>4.2864728314212619E-2</v>
          </cell>
          <cell r="D56">
            <v>3.6923258699119749E-2</v>
          </cell>
          <cell r="E56">
            <v>3.383728327220064E-2</v>
          </cell>
          <cell r="F56">
            <v>4.0640861714905656E-2</v>
          </cell>
          <cell r="H56">
            <v>3.4407280826389157E-2</v>
          </cell>
          <cell r="I56">
            <v>3.4302930571352516E-2</v>
          </cell>
          <cell r="J56">
            <v>4.0083930251067219E-2</v>
          </cell>
          <cell r="K56">
            <v>3.9865197107254648E-2</v>
          </cell>
          <cell r="L56">
            <v>3.7211534933776859E-2</v>
          </cell>
          <cell r="N56">
            <v>3.7938362167288971E-2</v>
          </cell>
          <cell r="O56">
            <v>2.5529476429381703E-2</v>
          </cell>
          <cell r="P56">
            <v>1.9923380059056632E-2</v>
          </cell>
          <cell r="Q56">
            <v>4.1623071902872594E-2</v>
          </cell>
          <cell r="R56">
            <v>3.1355033470432114E-2</v>
          </cell>
          <cell r="T56">
            <v>1.2878957241861957E-2</v>
          </cell>
          <cell r="U56">
            <v>2.0218140610982576E-2</v>
          </cell>
          <cell r="V56">
            <v>3.7141051110709769E-2</v>
          </cell>
          <cell r="W56">
            <v>2.2781231310147344E-2</v>
          </cell>
          <cell r="X56">
            <v>2.3479191383441504E-2</v>
          </cell>
          <cell r="Z56">
            <v>3.4392039731879279E-2</v>
          </cell>
          <cell r="AA56">
            <v>2.4677142199153217E-2</v>
          </cell>
          <cell r="AB56">
            <v>3.0928799149840595E-2</v>
          </cell>
          <cell r="AC56">
            <v>5.3176175718471098E-3</v>
          </cell>
          <cell r="AD56">
            <v>2.3745507155131709E-2</v>
          </cell>
          <cell r="AF56">
            <v>2.4250575696439854E-2</v>
          </cell>
          <cell r="AG56">
            <v>2.0939774391539125E-2</v>
          </cell>
          <cell r="AH56">
            <v>2.9695901988554586E-2</v>
          </cell>
          <cell r="AI56">
            <v>2.1771528542733103E-2</v>
          </cell>
          <cell r="AJ56">
            <v>2.4106758501937151E-2</v>
          </cell>
          <cell r="AL56">
            <v>3.2837749115784569E-2</v>
          </cell>
          <cell r="AM56">
            <v>3.1035031003232814E-2</v>
          </cell>
          <cell r="AN56">
            <v>2.5224716915055061E-2</v>
          </cell>
          <cell r="AO56">
            <v>4.5218083046358999E-2</v>
          </cell>
          <cell r="AP56">
            <v>3.3432185000723307E-2</v>
          </cell>
          <cell r="AR56">
            <v>4.8171992330187569E-2</v>
          </cell>
          <cell r="AS56">
            <v>5.0992808168913675E-2</v>
          </cell>
          <cell r="AT56">
            <v>6.3317134009977641E-2</v>
          </cell>
          <cell r="AU56">
            <v>4.4828418258689245E-2</v>
          </cell>
          <cell r="AV56">
            <v>5.1776081640879844E-2</v>
          </cell>
          <cell r="AX56">
            <v>4.9934985541560735E-2</v>
          </cell>
          <cell r="AY56">
            <v>6.0677768903875925E-2</v>
          </cell>
          <cell r="AZ56">
            <v>4.807550508774517E-2</v>
          </cell>
          <cell r="BA56">
            <v>3.5458848650333989E-2</v>
          </cell>
          <cell r="BB56">
            <v>4.8401697930495521E-2</v>
          </cell>
          <cell r="BD56">
            <v>4.5222686730827598E-2</v>
          </cell>
          <cell r="BE56">
            <v>3.1908183937922864E-2</v>
          </cell>
          <cell r="BF56">
            <v>5.9171261297106807E-2</v>
          </cell>
          <cell r="BG56">
            <v>4.0948236455723978E-2</v>
          </cell>
          <cell r="BH56">
            <v>4.4301591328905467E-2</v>
          </cell>
          <cell r="BJ56">
            <v>4.0948236455723978E-2</v>
          </cell>
          <cell r="BK56">
            <v>4.0948236455723978E-2</v>
          </cell>
          <cell r="BL56">
            <v>4.0948236455723978E-2</v>
          </cell>
          <cell r="BM56">
            <v>4.0948236455723978E-2</v>
          </cell>
          <cell r="BN56">
            <v>4.0948236455723978E-2</v>
          </cell>
          <cell r="BP56">
            <v>4.0948236455723978E-2</v>
          </cell>
          <cell r="BQ56">
            <v>4.0948236455723978E-2</v>
          </cell>
          <cell r="BR56">
            <v>4.0948236455723978E-2</v>
          </cell>
          <cell r="BS56">
            <v>4.0948236455723978E-2</v>
          </cell>
          <cell r="BT56">
            <v>4.0948236455723978E-2</v>
          </cell>
          <cell r="BV56">
            <v>4.0948236455723978E-2</v>
          </cell>
          <cell r="BW56">
            <v>4.0948236455723978E-2</v>
          </cell>
          <cell r="BX56">
            <v>4.0948236455723978E-2</v>
          </cell>
          <cell r="BY56">
            <v>4.0948236455723978E-2</v>
          </cell>
          <cell r="BZ56">
            <v>4.0948236455723978E-2</v>
          </cell>
          <cell r="CB56">
            <v>4.0948236455723978E-2</v>
          </cell>
          <cell r="CC56">
            <v>4.0948236455723978E-2</v>
          </cell>
          <cell r="CD56">
            <v>4.0948236455723978E-2</v>
          </cell>
          <cell r="CE56">
            <v>4.0948236455723978E-2</v>
          </cell>
          <cell r="CF56">
            <v>4.0948236455723978E-2</v>
          </cell>
          <cell r="CH56">
            <v>4.0948236455723978E-2</v>
          </cell>
          <cell r="CI56">
            <v>4.0948236455723978E-2</v>
          </cell>
          <cell r="CJ56">
            <v>4.0948236455723978E-2</v>
          </cell>
          <cell r="CK56">
            <v>4.0948236455723978E-2</v>
          </cell>
          <cell r="CL56">
            <v>4.0948236455723978E-2</v>
          </cell>
        </row>
        <row r="57">
          <cell r="A57" t="str">
            <v>JV partners' share of capex (% of NOI)</v>
          </cell>
          <cell r="B57">
            <v>0</v>
          </cell>
          <cell r="C57">
            <v>0</v>
          </cell>
          <cell r="D57">
            <v>0</v>
          </cell>
          <cell r="E57">
            <v>0</v>
          </cell>
          <cell r="F57">
            <v>0</v>
          </cell>
          <cell r="H57">
            <v>0</v>
          </cell>
          <cell r="I57">
            <v>0</v>
          </cell>
          <cell r="J57">
            <v>0</v>
          </cell>
          <cell r="K57">
            <v>0</v>
          </cell>
          <cell r="L57">
            <v>0</v>
          </cell>
          <cell r="N57">
            <v>0</v>
          </cell>
          <cell r="O57">
            <v>0</v>
          </cell>
          <cell r="P57">
            <v>0</v>
          </cell>
          <cell r="Q57">
            <v>0</v>
          </cell>
          <cell r="R57">
            <v>0</v>
          </cell>
          <cell r="T57">
            <v>0</v>
          </cell>
          <cell r="U57">
            <v>0</v>
          </cell>
          <cell r="V57">
            <v>0</v>
          </cell>
          <cell r="W57">
            <v>0</v>
          </cell>
          <cell r="X57">
            <v>0</v>
          </cell>
          <cell r="Z57">
            <v>-2.4676136560969682E-2</v>
          </cell>
          <cell r="AA57">
            <v>-2.6271501709507698E-2</v>
          </cell>
          <cell r="AB57">
            <v>-1.5166843783209353E-2</v>
          </cell>
          <cell r="AC57">
            <v>-1.6554048332740604E-2</v>
          </cell>
          <cell r="AD57">
            <v>-2.0584614256791284E-2</v>
          </cell>
          <cell r="AF57">
            <v>-3.9402090847955006E-2</v>
          </cell>
          <cell r="AG57">
            <v>-4.9056983465068697E-2</v>
          </cell>
          <cell r="AH57">
            <v>-4.0554077861066011E-2</v>
          </cell>
          <cell r="AI57">
            <v>-3.2981273893604612E-2</v>
          </cell>
          <cell r="AJ57">
            <v>-4.0407700648986196E-2</v>
          </cell>
          <cell r="AL57">
            <v>-5.2502276722366945E-2</v>
          </cell>
          <cell r="AM57">
            <v>-2.8151995336265834E-2</v>
          </cell>
          <cell r="AN57">
            <v>-3.8980115957819368E-2</v>
          </cell>
          <cell r="AO57">
            <v>-6.7387504317698896E-2</v>
          </cell>
          <cell r="AP57">
            <v>-4.6650581743784746E-2</v>
          </cell>
          <cell r="AR57">
            <v>-3.5210437800606301E-2</v>
          </cell>
          <cell r="AS57">
            <v>-4.6463841653911472E-2</v>
          </cell>
          <cell r="AT57">
            <v>-5.631773610872183E-2</v>
          </cell>
          <cell r="AU57">
            <v>-4.6097839885017679E-2</v>
          </cell>
          <cell r="AV57">
            <v>-4.6015816859647916E-2</v>
          </cell>
          <cell r="AX57">
            <v>-3.7097055912434257E-2</v>
          </cell>
          <cell r="AY57">
            <v>-5.9514301771822403E-2</v>
          </cell>
          <cell r="AZ57">
            <v>-5.6215897360271348E-2</v>
          </cell>
          <cell r="BA57">
            <v>-6.9264273769144277E-2</v>
          </cell>
          <cell r="BB57">
            <v>-5.5597758421089674E-2</v>
          </cell>
          <cell r="BD57">
            <v>-4.940326417920677E-2</v>
          </cell>
          <cell r="BE57">
            <v>-5.9181606207713774E-2</v>
          </cell>
          <cell r="BF57">
            <v>-4.492317020026905E-2</v>
          </cell>
          <cell r="BG57">
            <v>-4.3352654001572469E-2</v>
          </cell>
          <cell r="BH57">
            <v>-4.9138889745164477E-2</v>
          </cell>
          <cell r="BJ57">
            <v>-4.3352654001572469E-2</v>
          </cell>
          <cell r="BK57">
            <v>-4.3352654001572469E-2</v>
          </cell>
          <cell r="BL57">
            <v>-4.3352654001572469E-2</v>
          </cell>
          <cell r="BM57">
            <v>-4.3352654001572469E-2</v>
          </cell>
          <cell r="BN57">
            <v>-4.3352654001572469E-2</v>
          </cell>
          <cell r="BP57">
            <v>-4.3352654001572469E-2</v>
          </cell>
          <cell r="BQ57">
            <v>-4.3352654001572469E-2</v>
          </cell>
          <cell r="BR57">
            <v>-4.3352654001572469E-2</v>
          </cell>
          <cell r="BS57">
            <v>-4.3352654001572469E-2</v>
          </cell>
          <cell r="BT57">
            <v>-4.3352654001572469E-2</v>
          </cell>
          <cell r="BV57">
            <v>-4.3352654001572469E-2</v>
          </cell>
          <cell r="BW57">
            <v>-4.3352654001572469E-2</v>
          </cell>
          <cell r="BX57">
            <v>-4.3352654001572469E-2</v>
          </cell>
          <cell r="BY57">
            <v>-4.3352654001572469E-2</v>
          </cell>
          <cell r="BZ57">
            <v>-4.3352654001572469E-2</v>
          </cell>
          <cell r="CB57">
            <v>-4.3352654001572469E-2</v>
          </cell>
          <cell r="CC57">
            <v>-4.3352654001572469E-2</v>
          </cell>
          <cell r="CD57">
            <v>-4.3352654001572469E-2</v>
          </cell>
          <cell r="CE57">
            <v>-4.3352654001572469E-2</v>
          </cell>
          <cell r="CF57">
            <v>-4.3352654001572469E-2</v>
          </cell>
          <cell r="CH57">
            <v>-4.3352654001572469E-2</v>
          </cell>
          <cell r="CI57">
            <v>-4.3352654001572469E-2</v>
          </cell>
          <cell r="CJ57">
            <v>-4.3352654001572469E-2</v>
          </cell>
          <cell r="CK57">
            <v>-4.3352654001572469E-2</v>
          </cell>
          <cell r="CL57">
            <v>-4.3352654001572469E-2</v>
          </cell>
        </row>
        <row r="59">
          <cell r="A59" t="str">
            <v>ANALYSIS</v>
          </cell>
        </row>
        <row r="60">
          <cell r="A60" t="str">
            <v>Revenue growth Y/Y</v>
          </cell>
          <cell r="H60">
            <v>0.44308463580064883</v>
          </cell>
          <cell r="I60">
            <v>0.3451262425800643</v>
          </cell>
          <cell r="J60">
            <v>0.18167619909307309</v>
          </cell>
          <cell r="K60">
            <v>6.2969116497263444E-2</v>
          </cell>
          <cell r="L60">
            <v>0.24139664110412129</v>
          </cell>
          <cell r="N60">
            <v>5.6568546401998265E-3</v>
          </cell>
          <cell r="O60">
            <v>-2.5834581167973214E-2</v>
          </cell>
          <cell r="P60">
            <v>8.0076202282422404E-2</v>
          </cell>
          <cell r="Q60">
            <v>0.16591120141960047</v>
          </cell>
          <cell r="R60">
            <v>5.5738778778050113E-2</v>
          </cell>
          <cell r="T60">
            <v>0.25432730497108968</v>
          </cell>
          <cell r="U60">
            <v>0.26165266688969857</v>
          </cell>
          <cell r="V60">
            <v>0.23289139442836282</v>
          </cell>
          <cell r="W60">
            <v>0.15640180430256767</v>
          </cell>
          <cell r="X60">
            <v>0.22384760558768013</v>
          </cell>
          <cell r="Z60">
            <v>0.12105949146177131</v>
          </cell>
          <cell r="AA60">
            <v>7.314293904755087E-2</v>
          </cell>
          <cell r="AB60">
            <v>8.346966575169934E-2</v>
          </cell>
          <cell r="AC60">
            <v>7.2428584093125359E-2</v>
          </cell>
          <cell r="AD60">
            <v>8.7069108167008746E-2</v>
          </cell>
          <cell r="AF60">
            <v>3.8064647499687965E-2</v>
          </cell>
          <cell r="AG60">
            <v>-1.1887191884654147E-2</v>
          </cell>
          <cell r="AH60">
            <v>-6.3455961789958493E-2</v>
          </cell>
          <cell r="AI60">
            <v>7.8149839121974818E-3</v>
          </cell>
          <cell r="AJ60">
            <v>-7.7729394828079945E-3</v>
          </cell>
          <cell r="AL60">
            <v>3.6548634488344334E-2</v>
          </cell>
          <cell r="AM60">
            <v>9.9641121646920405E-2</v>
          </cell>
          <cell r="AN60">
            <v>0.1724512442744488</v>
          </cell>
          <cell r="AO60">
            <v>6.9776832753910334E-2</v>
          </cell>
          <cell r="AP60">
            <v>9.3258498483011154E-2</v>
          </cell>
          <cell r="AR60">
            <v>3.2012306790711209E-2</v>
          </cell>
          <cell r="AS60">
            <v>3.7706509981315861E-2</v>
          </cell>
          <cell r="AT60">
            <v>-2.3848840353733802E-2</v>
          </cell>
          <cell r="AU60">
            <v>-3.6803302860513032E-3</v>
          </cell>
          <cell r="AV60">
            <v>9.8676009786988761E-3</v>
          </cell>
          <cell r="AX60">
            <v>4.3482632973689261E-2</v>
          </cell>
          <cell r="AY60">
            <v>3.8444909055372234E-2</v>
          </cell>
          <cell r="AZ60">
            <v>6.2166240318758836E-2</v>
          </cell>
          <cell r="BA60">
            <v>-4.0390466831630389E-2</v>
          </cell>
          <cell r="BB60">
            <v>2.5966807543175818E-2</v>
          </cell>
          <cell r="BD60">
            <v>-8.1204260601903555E-2</v>
          </cell>
          <cell r="BE60">
            <v>-7.0815034506359398E-2</v>
          </cell>
          <cell r="BF60">
            <v>-0.11911434199938964</v>
          </cell>
          <cell r="BG60">
            <v>-1.4435266466382712E-3</v>
          </cell>
          <cell r="BH60">
            <v>-6.9793745362332404E-2</v>
          </cell>
          <cell r="BJ60">
            <v>9.6440950799592251E-4</v>
          </cell>
          <cell r="BK60">
            <v>-9.0935175415333136E-3</v>
          </cell>
          <cell r="BL60">
            <v>1.1885875926686884E-2</v>
          </cell>
          <cell r="BM60">
            <v>-1.265227309759176E-2</v>
          </cell>
          <cell r="BN60">
            <v>-2.3023284273171463E-3</v>
          </cell>
          <cell r="BP60">
            <v>-1.1457529492709617E-2</v>
          </cell>
          <cell r="BQ60">
            <v>-3.0638282173226505E-3</v>
          </cell>
          <cell r="BR60">
            <v>5.4140860781770606E-3</v>
          </cell>
          <cell r="BS60">
            <v>1.397748713245095E-2</v>
          </cell>
          <cell r="BT60">
            <v>1.1645232917762982E-3</v>
          </cell>
          <cell r="BV60">
            <v>7.9571541552798664E-3</v>
          </cell>
          <cell r="BW60">
            <v>1.9786037339017959E-3</v>
          </cell>
          <cell r="BX60">
            <v>-3.9585975989484545E-3</v>
          </cell>
          <cell r="BY60">
            <v>-9.8548773352711283E-3</v>
          </cell>
          <cell r="BZ60">
            <v>-9.9513871150680444E-4</v>
          </cell>
          <cell r="CB60">
            <v>-1.0100195859300554E-2</v>
          </cell>
          <cell r="CC60">
            <v>-1.0346729161053947E-2</v>
          </cell>
          <cell r="CD60">
            <v>-1.0594486286001792E-2</v>
          </cell>
          <cell r="CE60">
            <v>-1.084347636964389E-2</v>
          </cell>
          <cell r="CF60">
            <v>-1.047045417678294E-2</v>
          </cell>
          <cell r="CH60">
            <v>-1.1975524748230715E-2</v>
          </cell>
          <cell r="CI60">
            <v>-1.311374425498002E-2</v>
          </cell>
          <cell r="CJ60">
            <v>-1.4258185488754127E-2</v>
          </cell>
          <cell r="CK60">
            <v>-1.5408899603097992E-2</v>
          </cell>
          <cell r="CL60">
            <v>-1.3685183971981596E-2</v>
          </cell>
        </row>
        <row r="61">
          <cell r="A61" t="str">
            <v>Property Op Expenses/Rental Revs</v>
          </cell>
          <cell r="B61">
            <v>0.27146725288866252</v>
          </cell>
          <cell r="C61">
            <v>0.26364616532979468</v>
          </cell>
          <cell r="D61">
            <v>0.27071013883952133</v>
          </cell>
          <cell r="E61">
            <v>0.27792220484753716</v>
          </cell>
          <cell r="F61">
            <v>0.27126980720796018</v>
          </cell>
          <cell r="H61">
            <v>0.27433422815051506</v>
          </cell>
          <cell r="I61">
            <v>0.2720338236589448</v>
          </cell>
          <cell r="J61">
            <v>0.24412075691836513</v>
          </cell>
          <cell r="K61">
            <v>0.23336980406939861</v>
          </cell>
          <cell r="L61">
            <v>0.25606721588143511</v>
          </cell>
          <cell r="N61">
            <v>0.23066336615373248</v>
          </cell>
          <cell r="O61">
            <v>0.22684159606499271</v>
          </cell>
          <cell r="P61">
            <v>0.23118665237608974</v>
          </cell>
          <cell r="Q61">
            <v>0.23874676676550374</v>
          </cell>
          <cell r="R61">
            <v>0.23209469066967708</v>
          </cell>
          <cell r="T61">
            <v>0.24241353156456874</v>
          </cell>
          <cell r="U61">
            <v>0.24108646576127854</v>
          </cell>
          <cell r="V61">
            <v>0.2419689367440396</v>
          </cell>
          <cell r="W61">
            <v>0.24745466820329923</v>
          </cell>
          <cell r="X61">
            <v>0.2432745490840853</v>
          </cell>
          <cell r="Z61">
            <v>0.24348894187505338</v>
          </cell>
          <cell r="AA61">
            <v>0.2460448374192773</v>
          </cell>
          <cell r="AB61">
            <v>0.25686902573239073</v>
          </cell>
          <cell r="AC61">
            <v>0.2490366394933296</v>
          </cell>
          <cell r="AD61">
            <v>0.24895105801041897</v>
          </cell>
          <cell r="AF61">
            <v>0.25555569617049279</v>
          </cell>
          <cell r="AG61">
            <v>0.26092686586330183</v>
          </cell>
          <cell r="AH61">
            <v>0.26996944124015948</v>
          </cell>
          <cell r="AI61">
            <v>0.26417272905086092</v>
          </cell>
          <cell r="AJ61">
            <v>0.26256881123240855</v>
          </cell>
          <cell r="AL61">
            <v>0.26537738383024445</v>
          </cell>
          <cell r="AM61">
            <v>0.26282697413708328</v>
          </cell>
          <cell r="AN61">
            <v>0.25288976599943613</v>
          </cell>
          <cell r="AO61">
            <v>0.25615452668829253</v>
          </cell>
          <cell r="AP61">
            <v>0.25918351200010747</v>
          </cell>
          <cell r="AR61">
            <v>0.26280640734431193</v>
          </cell>
          <cell r="AS61">
            <v>0.25989256036816138</v>
          </cell>
          <cell r="AT61">
            <v>0.25725872048473991</v>
          </cell>
          <cell r="AU61">
            <v>0.25644956963404092</v>
          </cell>
          <cell r="AV61">
            <v>0.25910043031638824</v>
          </cell>
          <cell r="AX61">
            <v>0.25904300849739526</v>
          </cell>
          <cell r="AY61">
            <v>0.25599155877488167</v>
          </cell>
          <cell r="AZ61">
            <v>0.25522044338392386</v>
          </cell>
          <cell r="BA61">
            <v>0.26322153198892062</v>
          </cell>
          <cell r="BB61">
            <v>0.2582555886145711</v>
          </cell>
          <cell r="BD61">
            <v>0.27299144877284337</v>
          </cell>
          <cell r="BE61">
            <v>0.26580895441766822</v>
          </cell>
          <cell r="BF61">
            <v>0.27105959430515308</v>
          </cell>
          <cell r="BG61">
            <v>0.27730448696167886</v>
          </cell>
          <cell r="BH61">
            <v>0.27178537960517651</v>
          </cell>
          <cell r="BJ61">
            <v>0.27419033859376157</v>
          </cell>
          <cell r="BK61">
            <v>0.26776687468043298</v>
          </cell>
          <cell r="BL61">
            <v>0.27395102765795482</v>
          </cell>
          <cell r="BM61">
            <v>0.28002827766692151</v>
          </cell>
          <cell r="BN61">
            <v>0.27396930689384519</v>
          </cell>
          <cell r="BP61">
            <v>0.27419033859376157</v>
          </cell>
          <cell r="BQ61">
            <v>0.26776687468043298</v>
          </cell>
          <cell r="BR61">
            <v>0.27395102765795482</v>
          </cell>
          <cell r="BS61">
            <v>0.28002827766692151</v>
          </cell>
          <cell r="BT61">
            <v>0.2739943911954254</v>
          </cell>
          <cell r="BV61">
            <v>0.28002827766692151</v>
          </cell>
          <cell r="BW61">
            <v>0.28002827766692151</v>
          </cell>
          <cell r="BX61">
            <v>0.28002827766692151</v>
          </cell>
          <cell r="BY61">
            <v>0.28002827766692151</v>
          </cell>
          <cell r="BZ61">
            <v>0.28002827766692145</v>
          </cell>
          <cell r="CB61">
            <v>0.26</v>
          </cell>
          <cell r="CC61">
            <v>0.26</v>
          </cell>
          <cell r="CD61">
            <v>0.26</v>
          </cell>
          <cell r="CE61">
            <v>0.26</v>
          </cell>
          <cell r="CF61">
            <v>0.26</v>
          </cell>
          <cell r="CH61">
            <v>0.26</v>
          </cell>
          <cell r="CI61">
            <v>0.26</v>
          </cell>
          <cell r="CJ61">
            <v>0.26</v>
          </cell>
          <cell r="CK61">
            <v>0.26</v>
          </cell>
          <cell r="CL61">
            <v>0.26</v>
          </cell>
        </row>
        <row r="62">
          <cell r="A62" t="str">
            <v>Investment Mgmt Income (% of NOI)</v>
          </cell>
          <cell r="Z62">
            <v>2.2470739415830235E-2</v>
          </cell>
          <cell r="AA62">
            <v>2.7582419529132492E-2</v>
          </cell>
          <cell r="AB62">
            <v>2.3515409139213603E-2</v>
          </cell>
          <cell r="AC62">
            <v>2.3074057138986265E-2</v>
          </cell>
          <cell r="AD62">
            <v>2.4133611330917026E-2</v>
          </cell>
          <cell r="AF62">
            <v>2.4056978663569113E-2</v>
          </cell>
          <cell r="AG62">
            <v>3.9744206066162087E-2</v>
          </cell>
          <cell r="AH62">
            <v>2.2199960850691446E-2</v>
          </cell>
          <cell r="AI62">
            <v>5.9320935657357611E-2</v>
          </cell>
          <cell r="AJ62">
            <v>3.6337233062877006E-2</v>
          </cell>
          <cell r="AL62">
            <v>2.5721668043289493E-2</v>
          </cell>
          <cell r="AM62">
            <v>3.0971434628226192E-2</v>
          </cell>
          <cell r="AN62">
            <v>2.6518541577493289E-2</v>
          </cell>
          <cell r="AO62">
            <v>5.0430723175314274E-2</v>
          </cell>
          <cell r="AP62">
            <v>3.3310773109591026E-2</v>
          </cell>
          <cell r="AR62">
            <v>3.5542510685248468E-2</v>
          </cell>
          <cell r="AS62">
            <v>3.6043025181892521E-2</v>
          </cell>
          <cell r="AT62">
            <v>6.1973163598830205E-2</v>
          </cell>
          <cell r="AU62">
            <v>0.32965096150819878</v>
          </cell>
          <cell r="AV62">
            <v>0.11653662754000627</v>
          </cell>
          <cell r="AX62">
            <v>4.9546839521027813E-2</v>
          </cell>
          <cell r="AY62">
            <v>4.8737440963902937E-2</v>
          </cell>
          <cell r="AZ62">
            <v>7.3637123334808041E-2</v>
          </cell>
          <cell r="BA62">
            <v>0.26986706474806549</v>
          </cell>
          <cell r="BB62">
            <v>0.11188963937179484</v>
          </cell>
          <cell r="BD62">
            <v>5.800918356357513E-2</v>
          </cell>
          <cell r="BE62">
            <v>8.1399793585872099E-2</v>
          </cell>
          <cell r="BF62">
            <v>7.1657287936489886E-2</v>
          </cell>
          <cell r="BG62">
            <v>8.8680038763233437E-2</v>
          </cell>
          <cell r="BH62">
            <v>7.5184422002119874E-2</v>
          </cell>
          <cell r="BJ62">
            <v>5.244129680971104E-2</v>
          </cell>
          <cell r="BK62">
            <v>0.25021555644481125</v>
          </cell>
          <cell r="BL62">
            <v>8.2061967620665588E-2</v>
          </cell>
          <cell r="BM62">
            <v>7.743653284147145E-2</v>
          </cell>
          <cell r="BN62">
            <v>0.11528382758592851</v>
          </cell>
          <cell r="BP62">
            <v>4.35806569017173E-2</v>
          </cell>
          <cell r="BQ62">
            <v>5.9981316976500172E-2</v>
          </cell>
          <cell r="BR62">
            <v>5.5485638397065225E-2</v>
          </cell>
          <cell r="BS62">
            <v>0.23240321019884105</v>
          </cell>
          <cell r="BT62">
            <v>0.10032760275702009</v>
          </cell>
          <cell r="BV62">
            <v>3.8408607337781883E-2</v>
          </cell>
          <cell r="BW62">
            <v>5.3696691020217423E-2</v>
          </cell>
          <cell r="BX62">
            <v>4.9873817021778573E-2</v>
          </cell>
          <cell r="BY62">
            <v>6.0640171169568317E-2</v>
          </cell>
          <cell r="BZ62">
            <v>5.083350541891405E-2</v>
          </cell>
          <cell r="CB62">
            <v>3.4652385838631873E-2</v>
          </cell>
          <cell r="CC62">
            <v>4.8455772798533865E-2</v>
          </cell>
          <cell r="CD62">
            <v>4.5014767549734304E-2</v>
          </cell>
          <cell r="CE62">
            <v>5.4741756118983513E-2</v>
          </cell>
          <cell r="CF62">
            <v>4.5874517300180141E-2</v>
          </cell>
          <cell r="CH62">
            <v>3.1490863178110055E-2</v>
          </cell>
          <cell r="CI62">
            <v>4.4071882585571764E-2</v>
          </cell>
          <cell r="CJ62">
            <v>4.097298554459048E-2</v>
          </cell>
          <cell r="CK62">
            <v>4.9859934066775094E-2</v>
          </cell>
          <cell r="CL62">
            <v>4.1731408716879234E-2</v>
          </cell>
        </row>
        <row r="63">
          <cell r="A63" t="str">
            <v>Other Income (as % of NOI)</v>
          </cell>
          <cell r="Z63">
            <v>2.4745597888375648E-2</v>
          </cell>
          <cell r="AA63">
            <v>2.9495650941557868E-2</v>
          </cell>
          <cell r="AB63">
            <v>2.2180658873538789E-2</v>
          </cell>
          <cell r="AC63">
            <v>4.564006164371962E-3</v>
          </cell>
          <cell r="AD63">
            <v>2.0112420842919147E-2</v>
          </cell>
          <cell r="AF63">
            <v>1.4193719304680972E-2</v>
          </cell>
          <cell r="AG63">
            <v>1.7317517636142074E-2</v>
          </cell>
          <cell r="AH63">
            <v>3.3184796250877981E-2</v>
          </cell>
          <cell r="AI63">
            <v>1.0853366163416056E-2</v>
          </cell>
          <cell r="AJ63">
            <v>1.8605905719906057E-2</v>
          </cell>
          <cell r="AL63">
            <v>1.7631361585869497E-2</v>
          </cell>
          <cell r="AM63">
            <v>5.1513063755365945E-3</v>
          </cell>
          <cell r="AN63">
            <v>1.2597766450056423E-2</v>
          </cell>
          <cell r="AO63">
            <v>7.1385955179668614E-3</v>
          </cell>
          <cell r="AP63">
            <v>1.0663580565831077E-2</v>
          </cell>
          <cell r="AR63">
            <v>-6.0630081518537162E-3</v>
          </cell>
          <cell r="AS63">
            <v>9.3619608747614949E-3</v>
          </cell>
          <cell r="AT63">
            <v>3.1147858248752797E-2</v>
          </cell>
          <cell r="AU63">
            <v>3.5061215497434926E-2</v>
          </cell>
          <cell r="AV63">
            <v>1.7413397124110899E-2</v>
          </cell>
          <cell r="AX63">
            <v>2.9722281522308693E-2</v>
          </cell>
          <cell r="AY63">
            <v>1.9059169205588585E-2</v>
          </cell>
          <cell r="AZ63">
            <v>2.5984368087302756E-2</v>
          </cell>
          <cell r="BA63">
            <v>1.6864920021541746E-2</v>
          </cell>
          <cell r="BB63">
            <v>2.2872065451385939E-2</v>
          </cell>
          <cell r="BD63">
            <v>5.3916721330735565E-2</v>
          </cell>
          <cell r="BE63">
            <v>6.1847788693092771E-2</v>
          </cell>
          <cell r="BF63">
            <v>7.5370886147899732E-2</v>
          </cell>
          <cell r="BG63">
            <v>2.1191786582801558E-2</v>
          </cell>
          <cell r="BH63">
            <v>5.276686355735874E-2</v>
          </cell>
          <cell r="BJ63">
            <v>4.3005580741711583E-2</v>
          </cell>
          <cell r="BK63">
            <v>4.0597732259306352E-2</v>
          </cell>
          <cell r="BL63">
            <v>3.8877311104299074E-2</v>
          </cell>
          <cell r="BM63">
            <v>3.7290351039933403E-2</v>
          </cell>
          <cell r="BN63">
            <v>3.9843110018737533E-2</v>
          </cell>
          <cell r="BP63">
            <v>3.5739227921163248E-2</v>
          </cell>
          <cell r="BQ63">
            <v>3.4292230113213064E-2</v>
          </cell>
          <cell r="BR63">
            <v>3.3302875530175455E-2</v>
          </cell>
          <cell r="BS63">
            <v>3.2358206017071942E-2</v>
          </cell>
          <cell r="BT63">
            <v>3.3872534785687136E-2</v>
          </cell>
          <cell r="BV63">
            <v>3.1497780652437996E-2</v>
          </cell>
          <cell r="BW63">
            <v>3.0699213981994152E-2</v>
          </cell>
          <cell r="BX63">
            <v>2.9934620353559618E-2</v>
          </cell>
          <cell r="BY63">
            <v>2.9201892014770147E-2</v>
          </cell>
          <cell r="BZ63">
            <v>3.0311625008007173E-2</v>
          </cell>
          <cell r="CB63">
            <v>2.8417412759332517E-2</v>
          </cell>
          <cell r="CC63">
            <v>2.7702901417984982E-2</v>
          </cell>
          <cell r="CD63">
            <v>2.7018184237164244E-2</v>
          </cell>
          <cell r="CE63">
            <v>2.6361450174924021E-2</v>
          </cell>
          <cell r="CF63">
            <v>2.7355889295895768E-2</v>
          </cell>
          <cell r="CH63">
            <v>2.5824740069769203E-2</v>
          </cell>
          <cell r="CI63">
            <v>2.5196564785982433E-2</v>
          </cell>
          <cell r="CJ63">
            <v>2.4592277877861595E-2</v>
          </cell>
          <cell r="CK63">
            <v>2.4010559046907957E-2</v>
          </cell>
          <cell r="CL63">
            <v>2.4890628268725481E-2</v>
          </cell>
        </row>
        <row r="64">
          <cell r="A64" t="str">
            <v>YoY Change in FFO</v>
          </cell>
          <cell r="H64" t="e">
            <v>#DIV/0!</v>
          </cell>
          <cell r="I64" t="e">
            <v>#DIV/0!</v>
          </cell>
          <cell r="J64" t="e">
            <v>#DIV/0!</v>
          </cell>
          <cell r="K64" t="e">
            <v>#DIV/0!</v>
          </cell>
          <cell r="L64" t="e">
            <v>#DIV/0!</v>
          </cell>
          <cell r="N64" t="e">
            <v>#DIV/0!</v>
          </cell>
          <cell r="O64" t="e">
            <v>#DIV/0!</v>
          </cell>
          <cell r="P64" t="e">
            <v>#DIV/0!</v>
          </cell>
          <cell r="Q64" t="e">
            <v>#DIV/0!</v>
          </cell>
          <cell r="R64" t="e">
            <v>#DIV/0!</v>
          </cell>
          <cell r="T64" t="e">
            <v>#DIV/0!</v>
          </cell>
          <cell r="U64" t="e">
            <v>#DIV/0!</v>
          </cell>
          <cell r="V64" t="e">
            <v>#DIV/0!</v>
          </cell>
          <cell r="W64" t="e">
            <v>#DIV/0!</v>
          </cell>
          <cell r="X64" t="e">
            <v>#DIV/0!</v>
          </cell>
          <cell r="AL64">
            <v>-0.1059171178641496</v>
          </cell>
          <cell r="AM64">
            <v>0.18221951482924012</v>
          </cell>
          <cell r="AN64">
            <v>0.27146812857158731</v>
          </cell>
          <cell r="AO64">
            <v>5.3704695805683177E-2</v>
          </cell>
          <cell r="AP64">
            <v>8.6168495227184005E-2</v>
          </cell>
          <cell r="AR64">
            <v>2.4303958245065271E-2</v>
          </cell>
          <cell r="AS64">
            <v>9.1146473170246583E-3</v>
          </cell>
          <cell r="AT64">
            <v>-0.17752664233510387</v>
          </cell>
          <cell r="AU64">
            <v>0.86466128888876848</v>
          </cell>
          <cell r="AV64">
            <v>0.19322544029610725</v>
          </cell>
          <cell r="AX64">
            <v>-5.0494899223420736E-2</v>
          </cell>
          <cell r="AY64">
            <v>0.57995305329617219</v>
          </cell>
          <cell r="AZ64">
            <v>0.43733695458346095</v>
          </cell>
          <cell r="BA64">
            <v>-0.1200118621725766</v>
          </cell>
          <cell r="BB64">
            <v>0.13558205940540352</v>
          </cell>
          <cell r="BD64">
            <v>0.10596887333898308</v>
          </cell>
          <cell r="BE64">
            <v>-0.14876188052517</v>
          </cell>
          <cell r="BF64">
            <v>0.38133582781332759</v>
          </cell>
          <cell r="BG64">
            <v>0.18010681827683753</v>
          </cell>
          <cell r="BH64">
            <v>0.12231323518605734</v>
          </cell>
          <cell r="BJ64">
            <v>0.10891171340890889</v>
          </cell>
          <cell r="BK64">
            <v>0.42523616750694021</v>
          </cell>
          <cell r="BL64">
            <v>3.3149495714238912E-2</v>
          </cell>
          <cell r="BM64">
            <v>3.8101147789254587E-2</v>
          </cell>
          <cell r="BN64">
            <v>0.13024015701365144</v>
          </cell>
          <cell r="BP64">
            <v>0.13022176465017196</v>
          </cell>
          <cell r="BQ64">
            <v>-0.12761239906664623</v>
          </cell>
          <cell r="BR64">
            <v>1.9511038475083863E-2</v>
          </cell>
          <cell r="BS64">
            <v>0.20151873370559509</v>
          </cell>
          <cell r="BT64">
            <v>5.5280139363011911E-2</v>
          </cell>
          <cell r="BV64">
            <v>0.12009917940444256</v>
          </cell>
          <cell r="BW64">
            <v>7.8115712854749261E-2</v>
          </cell>
          <cell r="BX64">
            <v>5.903362943748855E-2</v>
          </cell>
          <cell r="BY64">
            <v>-0.11483489327476176</v>
          </cell>
          <cell r="BZ64">
            <v>1.1468019999371231E-2</v>
          </cell>
          <cell r="CB64">
            <v>8.2574221916838011E-2</v>
          </cell>
          <cell r="CC64">
            <v>6.5527907256004742E-2</v>
          </cell>
          <cell r="CD64">
            <v>5.3775345453112813E-2</v>
          </cell>
          <cell r="CE64">
            <v>4.6694163650708442E-2</v>
          </cell>
          <cell r="CF64">
            <v>5.9766518853594762E-2</v>
          </cell>
          <cell r="CH64">
            <v>8.0243355556355006E-2</v>
          </cell>
          <cell r="CI64">
            <v>6.452716371595428E-2</v>
          </cell>
          <cell r="CJ64">
            <v>5.2721134882444474E-2</v>
          </cell>
          <cell r="CK64">
            <v>4.4668859734494235E-2</v>
          </cell>
          <cell r="CL64">
            <v>5.8338005347628757E-2</v>
          </cell>
        </row>
        <row r="66">
          <cell r="A66" t="str">
            <v>FFO Per Share</v>
          </cell>
          <cell r="B66">
            <v>0</v>
          </cell>
          <cell r="C66">
            <v>0</v>
          </cell>
          <cell r="D66">
            <v>0</v>
          </cell>
          <cell r="E66">
            <v>0</v>
          </cell>
          <cell r="F66">
            <v>0</v>
          </cell>
          <cell r="H66">
            <v>0</v>
          </cell>
          <cell r="I66">
            <v>0</v>
          </cell>
          <cell r="J66">
            <v>0</v>
          </cell>
          <cell r="K66">
            <v>0</v>
          </cell>
          <cell r="L66">
            <v>0</v>
          </cell>
          <cell r="N66">
            <v>0</v>
          </cell>
          <cell r="O66">
            <v>0</v>
          </cell>
          <cell r="P66">
            <v>0</v>
          </cell>
          <cell r="Q66">
            <v>0</v>
          </cell>
          <cell r="R66">
            <v>0</v>
          </cell>
          <cell r="T66">
            <v>0</v>
          </cell>
          <cell r="U66">
            <v>0</v>
          </cell>
          <cell r="V66">
            <v>0</v>
          </cell>
          <cell r="W66">
            <v>0</v>
          </cell>
          <cell r="X66">
            <v>0</v>
          </cell>
          <cell r="Z66">
            <v>0</v>
          </cell>
          <cell r="AA66">
            <v>0</v>
          </cell>
          <cell r="AB66">
            <v>0</v>
          </cell>
          <cell r="AC66">
            <v>0</v>
          </cell>
          <cell r="AD66">
            <v>0</v>
          </cell>
          <cell r="AF66">
            <v>0.5926932024678464</v>
          </cell>
          <cell r="AG66">
            <v>0.46225270694342147</v>
          </cell>
          <cell r="AH66">
            <v>0.47762262924392379</v>
          </cell>
          <cell r="AI66">
            <v>0.586970874021983</v>
          </cell>
          <cell r="AJ66">
            <v>2.1195394126771747</v>
          </cell>
          <cell r="AL66">
            <v>0.52991684668477923</v>
          </cell>
          <cell r="AM66">
            <v>0.54648417093115464</v>
          </cell>
          <cell r="AN66">
            <v>0.60728195056821288</v>
          </cell>
          <cell r="AO66">
            <v>0.61849396625812958</v>
          </cell>
          <cell r="AP66">
            <v>2.3021769344422762</v>
          </cell>
          <cell r="AR66">
            <v>0.54279592359996276</v>
          </cell>
          <cell r="AS66">
            <v>0.55146518141352874</v>
          </cell>
          <cell r="AT66">
            <v>0.49947322493312551</v>
          </cell>
          <cell r="AU66">
            <v>1.1532817562928104</v>
          </cell>
          <cell r="AV66">
            <v>2.7470160862394275</v>
          </cell>
          <cell r="AX66">
            <v>0.51538749813889906</v>
          </cell>
          <cell r="AY66">
            <v>0.87128909716083225</v>
          </cell>
          <cell r="AZ66">
            <v>0.7179113240213586</v>
          </cell>
          <cell r="BA66">
            <v>1.0148742651104505</v>
          </cell>
          <cell r="BB66">
            <v>3.1194621844315407</v>
          </cell>
          <cell r="BD66">
            <v>0.57000253064967543</v>
          </cell>
          <cell r="BE66">
            <v>0.74167449258610929</v>
          </cell>
          <cell r="BF66">
            <v>0.99167663306360543</v>
          </cell>
          <cell r="BG66">
            <v>1.1976600399505375</v>
          </cell>
          <cell r="BH66">
            <v>3.5010136962499279</v>
          </cell>
          <cell r="BJ66">
            <v>0.63208248291014568</v>
          </cell>
          <cell r="BK66">
            <v>1.0570613113510809</v>
          </cell>
          <cell r="BL66">
            <v>1.0245502133612583</v>
          </cell>
          <cell r="BM66">
            <v>1.2432922621339775</v>
          </cell>
          <cell r="BN66">
            <v>3.9569862697564626</v>
          </cell>
          <cell r="BP66">
            <v>0.71439337923916701</v>
          </cell>
          <cell r="BQ66">
            <v>0.92216718144903442</v>
          </cell>
          <cell r="BR66">
            <v>1.044540251993805</v>
          </cell>
          <cell r="BS66">
            <v>1.4938389444251812</v>
          </cell>
          <cell r="BT66">
            <v>4.1757290222061245</v>
          </cell>
          <cell r="BV66">
            <v>0.80019143785775759</v>
          </cell>
          <cell r="BW66">
            <v>0.99420292819918055</v>
          </cell>
          <cell r="BX66">
            <v>1.1062032541625484</v>
          </cell>
          <cell r="BY66">
            <v>1.3222941086724329</v>
          </cell>
          <cell r="BZ66">
            <v>4.2236163661447383</v>
          </cell>
          <cell r="CB66">
            <v>0.86626662322337755</v>
          </cell>
          <cell r="CC66">
            <v>1.0593509654718647</v>
          </cell>
          <cell r="CD66">
            <v>1.1656897162964968</v>
          </cell>
          <cell r="CE66">
            <v>1.3840375261771509</v>
          </cell>
          <cell r="CF66">
            <v>4.4760472133222784</v>
          </cell>
          <cell r="CH66">
            <v>0.93577876387729431</v>
          </cell>
          <cell r="CI66">
            <v>1.1277078786535222</v>
          </cell>
          <cell r="CJ66">
            <v>1.2271462010604428</v>
          </cell>
          <cell r="CK66">
            <v>1.4458609043012343</v>
          </cell>
          <cell r="CL66">
            <v>4.7371708795893133</v>
          </cell>
        </row>
        <row r="68">
          <cell r="A68" t="str">
            <v>PREFERRED STOCK AND UNIT ISSUES</v>
          </cell>
        </row>
        <row r="70">
          <cell r="A70" t="str">
            <v>Series A Preferred Stock Face Value</v>
          </cell>
          <cell r="D70">
            <v>100000</v>
          </cell>
          <cell r="E70">
            <v>100000</v>
          </cell>
          <cell r="H70">
            <v>100000</v>
          </cell>
          <cell r="I70">
            <v>100000</v>
          </cell>
          <cell r="J70">
            <v>100000</v>
          </cell>
          <cell r="K70">
            <v>100000</v>
          </cell>
          <cell r="N70">
            <v>100000</v>
          </cell>
          <cell r="O70">
            <v>100000</v>
          </cell>
          <cell r="P70">
            <v>100000</v>
          </cell>
          <cell r="Q70">
            <v>100000</v>
          </cell>
          <cell r="T70">
            <v>100000</v>
          </cell>
          <cell r="U70">
            <v>100000</v>
          </cell>
          <cell r="V70">
            <v>100000</v>
          </cell>
          <cell r="W70">
            <v>100000</v>
          </cell>
          <cell r="Z70">
            <v>100000</v>
          </cell>
          <cell r="AA70">
            <v>100000</v>
          </cell>
          <cell r="AB70">
            <v>99895</v>
          </cell>
          <cell r="AC70">
            <v>99895</v>
          </cell>
          <cell r="AF70">
            <v>99895</v>
          </cell>
          <cell r="AG70">
            <v>99895</v>
          </cell>
          <cell r="AH70">
            <v>0</v>
          </cell>
          <cell r="AI70">
            <v>0</v>
          </cell>
          <cell r="AL70">
            <v>0</v>
          </cell>
          <cell r="AM70">
            <v>0</v>
          </cell>
          <cell r="AN70">
            <v>0</v>
          </cell>
          <cell r="AO70">
            <v>0</v>
          </cell>
          <cell r="AR70">
            <v>0</v>
          </cell>
          <cell r="AS70">
            <v>0</v>
          </cell>
          <cell r="AT70">
            <v>0</v>
          </cell>
          <cell r="AU70">
            <v>0</v>
          </cell>
          <cell r="AX70">
            <v>0</v>
          </cell>
          <cell r="AY70">
            <v>0</v>
          </cell>
          <cell r="AZ70">
            <v>0</v>
          </cell>
          <cell r="BA70">
            <v>0</v>
          </cell>
          <cell r="BD70">
            <v>0</v>
          </cell>
          <cell r="BE70">
            <v>0</v>
          </cell>
          <cell r="BF70">
            <v>0</v>
          </cell>
          <cell r="BG70">
            <v>0</v>
          </cell>
          <cell r="BJ70">
            <v>0</v>
          </cell>
          <cell r="BK70">
            <v>0</v>
          </cell>
          <cell r="BL70">
            <v>0</v>
          </cell>
          <cell r="BM70">
            <v>0</v>
          </cell>
          <cell r="BP70">
            <v>0</v>
          </cell>
          <cell r="BQ70">
            <v>0</v>
          </cell>
          <cell r="BR70">
            <v>0</v>
          </cell>
          <cell r="BS70">
            <v>0</v>
          </cell>
          <cell r="BV70">
            <v>0</v>
          </cell>
          <cell r="BW70">
            <v>0</v>
          </cell>
          <cell r="BX70">
            <v>0</v>
          </cell>
          <cell r="BY70">
            <v>0</v>
          </cell>
          <cell r="CB70">
            <v>0</v>
          </cell>
          <cell r="CC70">
            <v>0</v>
          </cell>
          <cell r="CD70">
            <v>0</v>
          </cell>
          <cell r="CE70">
            <v>0</v>
          </cell>
          <cell r="CH70">
            <v>0</v>
          </cell>
          <cell r="CI70">
            <v>0</v>
          </cell>
          <cell r="CJ70">
            <v>0</v>
          </cell>
          <cell r="CK70">
            <v>0</v>
          </cell>
        </row>
        <row r="71">
          <cell r="A71" t="str">
            <v>Series A Preferred Stock Dividend</v>
          </cell>
          <cell r="D71">
            <v>0.46039999999999998</v>
          </cell>
          <cell r="E71">
            <v>0.53125</v>
          </cell>
          <cell r="H71">
            <v>0.53125</v>
          </cell>
          <cell r="I71">
            <v>0.53125</v>
          </cell>
          <cell r="J71">
            <v>0.53125</v>
          </cell>
          <cell r="K71">
            <v>0.53125</v>
          </cell>
          <cell r="N71">
            <v>0.53125</v>
          </cell>
          <cell r="O71">
            <v>0.53125</v>
          </cell>
          <cell r="P71">
            <v>0.53125</v>
          </cell>
          <cell r="Q71">
            <v>0.53125</v>
          </cell>
          <cell r="T71">
            <v>0.53125</v>
          </cell>
          <cell r="U71">
            <v>0.53125</v>
          </cell>
          <cell r="V71">
            <v>0.53125</v>
          </cell>
          <cell r="W71">
            <v>0.53125</v>
          </cell>
          <cell r="Z71">
            <v>0.53100000000000003</v>
          </cell>
          <cell r="AA71">
            <v>0.53100000000000003</v>
          </cell>
          <cell r="AB71">
            <v>0.53100000000000003</v>
          </cell>
          <cell r="AC71">
            <v>0.53100000000000003</v>
          </cell>
          <cell r="AD71">
            <v>2.1240000000000001</v>
          </cell>
          <cell r="AF71">
            <v>0.53100000000000003</v>
          </cell>
          <cell r="AG71">
            <v>0.53100000000000003</v>
          </cell>
          <cell r="AH71">
            <v>0</v>
          </cell>
          <cell r="AI71">
            <v>0</v>
          </cell>
          <cell r="AL71">
            <v>0</v>
          </cell>
          <cell r="AM71">
            <v>0</v>
          </cell>
          <cell r="AN71">
            <v>0</v>
          </cell>
          <cell r="AO71">
            <v>0</v>
          </cell>
          <cell r="AR71">
            <v>0</v>
          </cell>
          <cell r="AS71">
            <v>0</v>
          </cell>
          <cell r="AT71">
            <v>0</v>
          </cell>
          <cell r="AU71">
            <v>0</v>
          </cell>
          <cell r="AX71">
            <v>0</v>
          </cell>
          <cell r="AY71">
            <v>0</v>
          </cell>
          <cell r="AZ71">
            <v>0</v>
          </cell>
          <cell r="BA71">
            <v>0</v>
          </cell>
          <cell r="BD71">
            <v>0</v>
          </cell>
          <cell r="BE71">
            <v>0</v>
          </cell>
          <cell r="BF71">
            <v>0</v>
          </cell>
          <cell r="BG71">
            <v>0</v>
          </cell>
          <cell r="BJ71">
            <v>0</v>
          </cell>
          <cell r="BK71">
            <v>0</v>
          </cell>
          <cell r="BL71">
            <v>0</v>
          </cell>
          <cell r="BM71">
            <v>0</v>
          </cell>
          <cell r="BP71">
            <v>0</v>
          </cell>
          <cell r="BQ71">
            <v>0</v>
          </cell>
          <cell r="BR71">
            <v>0</v>
          </cell>
          <cell r="BS71">
            <v>0</v>
          </cell>
          <cell r="BV71">
            <v>0</v>
          </cell>
          <cell r="BW71">
            <v>0</v>
          </cell>
          <cell r="BX71">
            <v>0</v>
          </cell>
          <cell r="BY71">
            <v>0</v>
          </cell>
          <cell r="CB71">
            <v>0</v>
          </cell>
          <cell r="CC71">
            <v>0</v>
          </cell>
          <cell r="CD71">
            <v>0</v>
          </cell>
          <cell r="CE71">
            <v>0</v>
          </cell>
          <cell r="CH71">
            <v>0</v>
          </cell>
          <cell r="CI71">
            <v>0</v>
          </cell>
          <cell r="CJ71">
            <v>0</v>
          </cell>
          <cell r="CK71">
            <v>0</v>
          </cell>
        </row>
        <row r="72">
          <cell r="A72" t="str">
            <v xml:space="preserve">         Shares Issued</v>
          </cell>
          <cell r="D72">
            <v>4000</v>
          </cell>
          <cell r="E72">
            <v>4000</v>
          </cell>
          <cell r="H72">
            <v>4000</v>
          </cell>
          <cell r="I72">
            <v>4000</v>
          </cell>
          <cell r="J72">
            <v>4000</v>
          </cell>
          <cell r="K72">
            <v>4000</v>
          </cell>
          <cell r="N72">
            <v>4000</v>
          </cell>
          <cell r="O72">
            <v>4000</v>
          </cell>
          <cell r="P72">
            <v>4000</v>
          </cell>
          <cell r="Q72">
            <v>4000</v>
          </cell>
          <cell r="T72">
            <v>4000</v>
          </cell>
          <cell r="U72">
            <v>4000</v>
          </cell>
          <cell r="V72">
            <v>4000</v>
          </cell>
          <cell r="W72">
            <v>4000</v>
          </cell>
          <cell r="Z72">
            <v>4000</v>
          </cell>
          <cell r="AA72">
            <v>4000</v>
          </cell>
          <cell r="AB72">
            <v>3995.8</v>
          </cell>
          <cell r="AC72">
            <v>3995.8</v>
          </cell>
          <cell r="AF72">
            <v>3995.8</v>
          </cell>
          <cell r="AG72">
            <v>3995.8</v>
          </cell>
          <cell r="AH72">
            <v>0</v>
          </cell>
          <cell r="AI72">
            <v>0</v>
          </cell>
          <cell r="AL72">
            <v>0</v>
          </cell>
          <cell r="AM72">
            <v>0</v>
          </cell>
          <cell r="AN72">
            <v>0</v>
          </cell>
          <cell r="AO72">
            <v>0</v>
          </cell>
          <cell r="AR72">
            <v>0</v>
          </cell>
          <cell r="AS72">
            <v>0</v>
          </cell>
          <cell r="AT72">
            <v>0</v>
          </cell>
          <cell r="AU72">
            <v>0</v>
          </cell>
          <cell r="AX72">
            <v>0</v>
          </cell>
          <cell r="AY72">
            <v>0</v>
          </cell>
          <cell r="AZ72">
            <v>0</v>
          </cell>
          <cell r="BA72">
            <v>0</v>
          </cell>
          <cell r="BD72">
            <v>0</v>
          </cell>
          <cell r="BE72">
            <v>0</v>
          </cell>
          <cell r="BF72">
            <v>0</v>
          </cell>
          <cell r="BG72">
            <v>0</v>
          </cell>
          <cell r="BJ72">
            <v>0</v>
          </cell>
          <cell r="BK72">
            <v>0</v>
          </cell>
          <cell r="BL72">
            <v>0</v>
          </cell>
          <cell r="BM72">
            <v>0</v>
          </cell>
          <cell r="BP72">
            <v>0</v>
          </cell>
          <cell r="BQ72">
            <v>0</v>
          </cell>
          <cell r="BR72">
            <v>0</v>
          </cell>
          <cell r="BS72">
            <v>0</v>
          </cell>
          <cell r="BV72">
            <v>0</v>
          </cell>
          <cell r="BW72">
            <v>0</v>
          </cell>
          <cell r="BX72">
            <v>0</v>
          </cell>
          <cell r="BY72">
            <v>0</v>
          </cell>
          <cell r="CB72">
            <v>0</v>
          </cell>
          <cell r="CC72">
            <v>0</v>
          </cell>
          <cell r="CD72">
            <v>0</v>
          </cell>
          <cell r="CE72">
            <v>0</v>
          </cell>
          <cell r="CH72">
            <v>0</v>
          </cell>
          <cell r="CI72">
            <v>0</v>
          </cell>
          <cell r="CJ72">
            <v>0</v>
          </cell>
          <cell r="CK72">
            <v>0</v>
          </cell>
        </row>
        <row r="73">
          <cell r="A73" t="str">
            <v xml:space="preserve">                    Quarterly Dividends</v>
          </cell>
          <cell r="D73">
            <v>1841.6</v>
          </cell>
          <cell r="E73">
            <v>2125</v>
          </cell>
          <cell r="H73">
            <v>2125</v>
          </cell>
          <cell r="I73">
            <v>2125</v>
          </cell>
          <cell r="J73">
            <v>2125</v>
          </cell>
          <cell r="K73">
            <v>2125</v>
          </cell>
          <cell r="N73">
            <v>2125</v>
          </cell>
          <cell r="O73">
            <v>2125</v>
          </cell>
          <cell r="P73">
            <v>2125</v>
          </cell>
          <cell r="Q73">
            <v>2125</v>
          </cell>
          <cell r="T73">
            <v>2125</v>
          </cell>
          <cell r="U73">
            <v>2125</v>
          </cell>
          <cell r="V73">
            <v>2125</v>
          </cell>
          <cell r="W73">
            <v>2125</v>
          </cell>
          <cell r="Z73">
            <v>2124</v>
          </cell>
          <cell r="AA73">
            <v>2124</v>
          </cell>
          <cell r="AB73">
            <v>2121.7698</v>
          </cell>
          <cell r="AC73">
            <v>2121.7698</v>
          </cell>
          <cell r="AF73">
            <v>2121.7698</v>
          </cell>
          <cell r="AG73">
            <v>2121.7698</v>
          </cell>
          <cell r="AH73">
            <v>707.25660000000005</v>
          </cell>
          <cell r="AI73">
            <v>0</v>
          </cell>
          <cell r="AL73">
            <v>0</v>
          </cell>
          <cell r="AM73">
            <v>0</v>
          </cell>
          <cell r="AN73">
            <v>0</v>
          </cell>
          <cell r="AO73">
            <v>0</v>
          </cell>
          <cell r="AR73">
            <v>0</v>
          </cell>
          <cell r="AS73">
            <v>0</v>
          </cell>
          <cell r="AT73">
            <v>0</v>
          </cell>
          <cell r="AU73">
            <v>0</v>
          </cell>
          <cell r="AX73">
            <v>0</v>
          </cell>
          <cell r="AY73">
            <v>0</v>
          </cell>
          <cell r="AZ73">
            <v>0</v>
          </cell>
          <cell r="BA73">
            <v>0</v>
          </cell>
          <cell r="BD73">
            <v>0</v>
          </cell>
          <cell r="BE73">
            <v>0</v>
          </cell>
          <cell r="BF73">
            <v>0</v>
          </cell>
          <cell r="BG73">
            <v>0</v>
          </cell>
          <cell r="BJ73">
            <v>0</v>
          </cell>
          <cell r="BK73">
            <v>0</v>
          </cell>
          <cell r="BL73">
            <v>0</v>
          </cell>
          <cell r="BM73">
            <v>0</v>
          </cell>
          <cell r="BP73">
            <v>0</v>
          </cell>
          <cell r="BQ73">
            <v>0</v>
          </cell>
          <cell r="BR73">
            <v>0</v>
          </cell>
          <cell r="BS73">
            <v>0</v>
          </cell>
          <cell r="BV73">
            <v>0</v>
          </cell>
          <cell r="BW73">
            <v>0</v>
          </cell>
          <cell r="BX73">
            <v>0</v>
          </cell>
          <cell r="BY73">
            <v>0</v>
          </cell>
          <cell r="CB73">
            <v>0</v>
          </cell>
          <cell r="CC73">
            <v>0</v>
          </cell>
          <cell r="CD73">
            <v>0</v>
          </cell>
          <cell r="CE73">
            <v>0</v>
          </cell>
          <cell r="CH73">
            <v>0</v>
          </cell>
          <cell r="CI73">
            <v>0</v>
          </cell>
          <cell r="CJ73">
            <v>0</v>
          </cell>
          <cell r="CK73">
            <v>0</v>
          </cell>
        </row>
        <row r="75">
          <cell r="A75" t="str">
            <v>Series B Preferred Unit Face Value</v>
          </cell>
          <cell r="T75">
            <v>65000</v>
          </cell>
          <cell r="U75">
            <v>65000</v>
          </cell>
          <cell r="V75">
            <v>65000</v>
          </cell>
          <cell r="W75">
            <v>65000</v>
          </cell>
          <cell r="Z75">
            <v>65000</v>
          </cell>
          <cell r="AA75">
            <v>65000</v>
          </cell>
          <cell r="AB75">
            <v>65000</v>
          </cell>
          <cell r="AC75">
            <v>65000</v>
          </cell>
          <cell r="AF75">
            <v>65000</v>
          </cell>
          <cell r="AG75">
            <v>65000</v>
          </cell>
          <cell r="AH75">
            <v>65000</v>
          </cell>
          <cell r="AL75">
            <v>0</v>
          </cell>
          <cell r="AM75">
            <v>0</v>
          </cell>
          <cell r="AN75">
            <v>0</v>
          </cell>
          <cell r="AO75">
            <v>0</v>
          </cell>
          <cell r="AR75">
            <v>0</v>
          </cell>
          <cell r="AS75">
            <v>0</v>
          </cell>
          <cell r="AT75">
            <v>0</v>
          </cell>
          <cell r="AU75">
            <v>0</v>
          </cell>
          <cell r="AX75">
            <v>0</v>
          </cell>
          <cell r="AY75">
            <v>0</v>
          </cell>
          <cell r="AZ75">
            <v>0</v>
          </cell>
          <cell r="BA75">
            <v>0</v>
          </cell>
          <cell r="BD75">
            <v>0</v>
          </cell>
          <cell r="BE75">
            <v>0</v>
          </cell>
          <cell r="BF75">
            <v>0</v>
          </cell>
          <cell r="BG75">
            <v>0</v>
          </cell>
          <cell r="BJ75">
            <v>0</v>
          </cell>
          <cell r="BK75">
            <v>0</v>
          </cell>
          <cell r="BL75">
            <v>0</v>
          </cell>
          <cell r="BM75">
            <v>0</v>
          </cell>
          <cell r="BP75">
            <v>0</v>
          </cell>
          <cell r="BQ75">
            <v>0</v>
          </cell>
          <cell r="BR75">
            <v>0</v>
          </cell>
          <cell r="BS75">
            <v>0</v>
          </cell>
          <cell r="BV75">
            <v>0</v>
          </cell>
          <cell r="BW75">
            <v>0</v>
          </cell>
          <cell r="BX75">
            <v>0</v>
          </cell>
          <cell r="BY75">
            <v>0</v>
          </cell>
          <cell r="CB75">
            <v>0</v>
          </cell>
          <cell r="CC75">
            <v>0</v>
          </cell>
          <cell r="CD75">
            <v>0</v>
          </cell>
          <cell r="CE75">
            <v>0</v>
          </cell>
          <cell r="CH75">
            <v>0</v>
          </cell>
          <cell r="CI75">
            <v>0</v>
          </cell>
          <cell r="CJ75">
            <v>0</v>
          </cell>
          <cell r="CK75">
            <v>0</v>
          </cell>
        </row>
        <row r="76">
          <cell r="A76" t="str">
            <v>Series B Preferred Unit Distribution</v>
          </cell>
          <cell r="T76">
            <v>1.0787500000000001</v>
          </cell>
          <cell r="U76">
            <v>1.0787500000000001</v>
          </cell>
          <cell r="V76">
            <v>1.0787500000000001</v>
          </cell>
          <cell r="W76">
            <v>1.0787500000000001</v>
          </cell>
          <cell r="Z76">
            <v>1.0780000000000001</v>
          </cell>
          <cell r="AA76">
            <v>1.0780000000000001</v>
          </cell>
          <cell r="AB76">
            <v>1.0780000000000001</v>
          </cell>
          <cell r="AC76">
            <v>1.0780000000000001</v>
          </cell>
          <cell r="AD76">
            <v>4.3120000000000003</v>
          </cell>
          <cell r="AF76">
            <v>1.0780000000000001</v>
          </cell>
          <cell r="AG76">
            <v>1.0780000000000001</v>
          </cell>
          <cell r="AH76">
            <v>1.0780000000000001</v>
          </cell>
          <cell r="AI76">
            <v>1.0780000000000001</v>
          </cell>
          <cell r="AL76">
            <v>0</v>
          </cell>
          <cell r="AM76">
            <v>0</v>
          </cell>
          <cell r="AN76">
            <v>0</v>
          </cell>
          <cell r="AO76">
            <v>0</v>
          </cell>
          <cell r="AR76">
            <v>0</v>
          </cell>
          <cell r="AS76">
            <v>0</v>
          </cell>
          <cell r="AT76">
            <v>0</v>
          </cell>
          <cell r="AU76">
            <v>0</v>
          </cell>
          <cell r="AX76">
            <v>0</v>
          </cell>
          <cell r="AY76">
            <v>0</v>
          </cell>
          <cell r="AZ76">
            <v>0</v>
          </cell>
          <cell r="BA76">
            <v>0</v>
          </cell>
          <cell r="BD76">
            <v>0</v>
          </cell>
          <cell r="BE76">
            <v>0</v>
          </cell>
          <cell r="BF76">
            <v>0</v>
          </cell>
          <cell r="BG76">
            <v>0</v>
          </cell>
          <cell r="BJ76">
            <v>0</v>
          </cell>
          <cell r="BK76">
            <v>0</v>
          </cell>
          <cell r="BL76">
            <v>0</v>
          </cell>
          <cell r="BM76">
            <v>0</v>
          </cell>
          <cell r="BP76">
            <v>0</v>
          </cell>
          <cell r="BQ76">
            <v>0</v>
          </cell>
          <cell r="BR76">
            <v>0</v>
          </cell>
          <cell r="BS76">
            <v>0</v>
          </cell>
          <cell r="BV76">
            <v>0</v>
          </cell>
          <cell r="BW76">
            <v>0</v>
          </cell>
          <cell r="BX76">
            <v>0</v>
          </cell>
          <cell r="BY76">
            <v>0</v>
          </cell>
          <cell r="CB76">
            <v>0</v>
          </cell>
          <cell r="CC76">
            <v>0</v>
          </cell>
          <cell r="CD76">
            <v>0</v>
          </cell>
          <cell r="CE76">
            <v>0</v>
          </cell>
          <cell r="CH76">
            <v>0</v>
          </cell>
          <cell r="CI76">
            <v>0</v>
          </cell>
          <cell r="CJ76">
            <v>0</v>
          </cell>
          <cell r="CK76">
            <v>0</v>
          </cell>
        </row>
        <row r="77">
          <cell r="A77" t="str">
            <v>Units Issued</v>
          </cell>
          <cell r="T77">
            <v>1300</v>
          </cell>
          <cell r="U77">
            <v>1300</v>
          </cell>
          <cell r="V77">
            <v>1300</v>
          </cell>
          <cell r="W77">
            <v>1300</v>
          </cell>
          <cell r="Z77">
            <v>1300</v>
          </cell>
          <cell r="AA77">
            <v>1300</v>
          </cell>
          <cell r="AB77">
            <v>1300</v>
          </cell>
          <cell r="AC77">
            <v>1300</v>
          </cell>
          <cell r="AF77">
            <v>1300</v>
          </cell>
          <cell r="AG77">
            <v>1300</v>
          </cell>
          <cell r="AH77">
            <v>1300</v>
          </cell>
          <cell r="AI77">
            <v>1300</v>
          </cell>
          <cell r="AL77">
            <v>0</v>
          </cell>
          <cell r="AM77">
            <v>0</v>
          </cell>
          <cell r="AN77">
            <v>0</v>
          </cell>
          <cell r="AO77">
            <v>0</v>
          </cell>
          <cell r="AR77">
            <v>0</v>
          </cell>
          <cell r="AS77">
            <v>0</v>
          </cell>
          <cell r="AT77">
            <v>0</v>
          </cell>
          <cell r="AU77">
            <v>0</v>
          </cell>
          <cell r="AX77">
            <v>0</v>
          </cell>
          <cell r="AY77">
            <v>0</v>
          </cell>
          <cell r="AZ77">
            <v>0</v>
          </cell>
          <cell r="BA77">
            <v>0</v>
          </cell>
          <cell r="BD77">
            <v>0</v>
          </cell>
          <cell r="BE77">
            <v>0</v>
          </cell>
          <cell r="BF77">
            <v>0</v>
          </cell>
          <cell r="BG77">
            <v>0</v>
          </cell>
          <cell r="BJ77">
            <v>0</v>
          </cell>
          <cell r="BK77">
            <v>0</v>
          </cell>
          <cell r="BL77">
            <v>0</v>
          </cell>
          <cell r="BM77">
            <v>0</v>
          </cell>
          <cell r="BP77">
            <v>0</v>
          </cell>
          <cell r="BQ77">
            <v>0</v>
          </cell>
          <cell r="BR77">
            <v>0</v>
          </cell>
          <cell r="BS77">
            <v>0</v>
          </cell>
          <cell r="BV77">
            <v>0</v>
          </cell>
          <cell r="BW77">
            <v>0</v>
          </cell>
          <cell r="BX77">
            <v>0</v>
          </cell>
          <cell r="BY77">
            <v>0</v>
          </cell>
          <cell r="CB77">
            <v>0</v>
          </cell>
          <cell r="CC77">
            <v>0</v>
          </cell>
          <cell r="CD77">
            <v>0</v>
          </cell>
          <cell r="CE77">
            <v>0</v>
          </cell>
          <cell r="CH77">
            <v>0</v>
          </cell>
          <cell r="CI77">
            <v>0</v>
          </cell>
          <cell r="CJ77">
            <v>0</v>
          </cell>
          <cell r="CK77">
            <v>0</v>
          </cell>
        </row>
        <row r="78">
          <cell r="A78" t="str">
            <v xml:space="preserve">                    Quarterly Distributions</v>
          </cell>
          <cell r="T78">
            <v>1402.3750000000002</v>
          </cell>
          <cell r="U78">
            <v>1402.3750000000002</v>
          </cell>
          <cell r="V78">
            <v>1402.3750000000002</v>
          </cell>
          <cell r="W78">
            <v>1402.3750000000002</v>
          </cell>
          <cell r="Z78">
            <v>1401.4</v>
          </cell>
          <cell r="AA78">
            <v>1401.4</v>
          </cell>
          <cell r="AB78">
            <v>1401.4</v>
          </cell>
          <cell r="AC78">
            <v>1401.4</v>
          </cell>
          <cell r="AF78">
            <v>1401.4</v>
          </cell>
          <cell r="AG78">
            <v>1401.4</v>
          </cell>
          <cell r="AH78">
            <v>1401.4</v>
          </cell>
          <cell r="AI78">
            <v>1401.4</v>
          </cell>
          <cell r="AL78">
            <v>0</v>
          </cell>
          <cell r="AM78">
            <v>0</v>
          </cell>
          <cell r="AN78">
            <v>0</v>
          </cell>
          <cell r="AO78">
            <v>0</v>
          </cell>
          <cell r="AR78">
            <v>0</v>
          </cell>
          <cell r="AS78">
            <v>0</v>
          </cell>
          <cell r="AT78">
            <v>0</v>
          </cell>
          <cell r="AU78">
            <v>0</v>
          </cell>
          <cell r="AX78">
            <v>0</v>
          </cell>
          <cell r="AY78">
            <v>0</v>
          </cell>
          <cell r="AZ78">
            <v>0</v>
          </cell>
          <cell r="BA78">
            <v>0</v>
          </cell>
          <cell r="BD78">
            <v>0</v>
          </cell>
          <cell r="BE78">
            <v>0</v>
          </cell>
          <cell r="BF78">
            <v>0</v>
          </cell>
          <cell r="BG78">
            <v>0</v>
          </cell>
          <cell r="BJ78">
            <v>0</v>
          </cell>
          <cell r="BK78">
            <v>0</v>
          </cell>
          <cell r="BL78">
            <v>0</v>
          </cell>
          <cell r="BM78">
            <v>0</v>
          </cell>
          <cell r="BP78">
            <v>0</v>
          </cell>
          <cell r="BQ78">
            <v>0</v>
          </cell>
          <cell r="BR78">
            <v>0</v>
          </cell>
          <cell r="BS78">
            <v>0</v>
          </cell>
          <cell r="BV78">
            <v>0</v>
          </cell>
          <cell r="BW78">
            <v>0</v>
          </cell>
          <cell r="BX78">
            <v>0</v>
          </cell>
          <cell r="BY78">
            <v>0</v>
          </cell>
          <cell r="CB78">
            <v>0</v>
          </cell>
          <cell r="CC78">
            <v>0</v>
          </cell>
          <cell r="CD78">
            <v>0</v>
          </cell>
          <cell r="CE78">
            <v>0</v>
          </cell>
          <cell r="CH78">
            <v>0</v>
          </cell>
          <cell r="CI78">
            <v>0</v>
          </cell>
          <cell r="CJ78">
            <v>0</v>
          </cell>
          <cell r="CK78">
            <v>0</v>
          </cell>
        </row>
        <row r="80">
          <cell r="A80" t="str">
            <v>Series C Preferred Unit Face Value</v>
          </cell>
          <cell r="T80">
            <v>110000</v>
          </cell>
          <cell r="U80">
            <v>110000</v>
          </cell>
          <cell r="V80">
            <v>110000</v>
          </cell>
          <cell r="W80">
            <v>110000</v>
          </cell>
          <cell r="Z80">
            <v>0</v>
          </cell>
          <cell r="AA80">
            <v>0</v>
          </cell>
          <cell r="AB80">
            <v>0</v>
          </cell>
          <cell r="AC80">
            <v>0</v>
          </cell>
          <cell r="AF80">
            <v>0</v>
          </cell>
          <cell r="AG80">
            <v>0</v>
          </cell>
          <cell r="AH80">
            <v>0</v>
          </cell>
          <cell r="AI80">
            <v>0</v>
          </cell>
          <cell r="AL80">
            <v>0</v>
          </cell>
          <cell r="AM80">
            <v>0</v>
          </cell>
          <cell r="AN80">
            <v>0</v>
          </cell>
          <cell r="AO80">
            <v>0</v>
          </cell>
          <cell r="AR80">
            <v>0</v>
          </cell>
          <cell r="AS80">
            <v>0</v>
          </cell>
          <cell r="AT80">
            <v>0</v>
          </cell>
          <cell r="AU80">
            <v>0</v>
          </cell>
          <cell r="AX80">
            <v>0</v>
          </cell>
          <cell r="AY80">
            <v>0</v>
          </cell>
          <cell r="AZ80">
            <v>0</v>
          </cell>
          <cell r="BA80">
            <v>0</v>
          </cell>
          <cell r="BD80">
            <v>0</v>
          </cell>
          <cell r="BE80">
            <v>0</v>
          </cell>
          <cell r="BF80">
            <v>0</v>
          </cell>
          <cell r="BG80">
            <v>0</v>
          </cell>
          <cell r="BJ80">
            <v>0</v>
          </cell>
          <cell r="BK80">
            <v>0</v>
          </cell>
          <cell r="BL80">
            <v>0</v>
          </cell>
          <cell r="BM80">
            <v>0</v>
          </cell>
          <cell r="BP80">
            <v>0</v>
          </cell>
          <cell r="BQ80">
            <v>0</v>
          </cell>
          <cell r="BR80">
            <v>0</v>
          </cell>
          <cell r="BS80">
            <v>0</v>
          </cell>
          <cell r="BV80">
            <v>0</v>
          </cell>
          <cell r="BW80">
            <v>0</v>
          </cell>
          <cell r="BX80">
            <v>0</v>
          </cell>
          <cell r="BY80">
            <v>0</v>
          </cell>
          <cell r="CB80">
            <v>0</v>
          </cell>
          <cell r="CC80">
            <v>0</v>
          </cell>
          <cell r="CD80">
            <v>0</v>
          </cell>
          <cell r="CE80">
            <v>0</v>
          </cell>
          <cell r="CH80">
            <v>0</v>
          </cell>
          <cell r="CI80">
            <v>0</v>
          </cell>
          <cell r="CJ80">
            <v>0</v>
          </cell>
          <cell r="CK80">
            <v>0</v>
          </cell>
        </row>
        <row r="81">
          <cell r="A81" t="str">
            <v>Series C Preferred Unit Distribution</v>
          </cell>
          <cell r="T81">
            <v>1.09375</v>
          </cell>
          <cell r="U81">
            <v>1.09375</v>
          </cell>
          <cell r="V81">
            <v>1.09375</v>
          </cell>
          <cell r="W81">
            <v>1.09375</v>
          </cell>
          <cell r="Z81">
            <v>0</v>
          </cell>
          <cell r="AA81">
            <v>0</v>
          </cell>
          <cell r="AB81">
            <v>0</v>
          </cell>
          <cell r="AC81">
            <v>0</v>
          </cell>
          <cell r="AD81">
            <v>0</v>
          </cell>
          <cell r="AF81">
            <v>0</v>
          </cell>
          <cell r="AG81">
            <v>0</v>
          </cell>
          <cell r="AH81">
            <v>0</v>
          </cell>
          <cell r="AI81">
            <v>0</v>
          </cell>
          <cell r="AL81">
            <v>0</v>
          </cell>
          <cell r="AM81">
            <v>0</v>
          </cell>
          <cell r="AN81">
            <v>0</v>
          </cell>
          <cell r="AO81">
            <v>0</v>
          </cell>
          <cell r="AR81">
            <v>0</v>
          </cell>
          <cell r="AS81">
            <v>0</v>
          </cell>
          <cell r="AT81">
            <v>0</v>
          </cell>
          <cell r="AU81">
            <v>0</v>
          </cell>
          <cell r="AX81">
            <v>0</v>
          </cell>
          <cell r="AY81">
            <v>0</v>
          </cell>
          <cell r="AZ81">
            <v>0</v>
          </cell>
          <cell r="BA81">
            <v>0</v>
          </cell>
          <cell r="BD81">
            <v>0</v>
          </cell>
          <cell r="BE81">
            <v>0</v>
          </cell>
          <cell r="BF81">
            <v>0</v>
          </cell>
          <cell r="BG81">
            <v>0</v>
          </cell>
          <cell r="BJ81">
            <v>0</v>
          </cell>
          <cell r="BK81">
            <v>0</v>
          </cell>
          <cell r="BL81">
            <v>0</v>
          </cell>
          <cell r="BM81">
            <v>0</v>
          </cell>
          <cell r="BP81">
            <v>0</v>
          </cell>
          <cell r="BQ81">
            <v>0</v>
          </cell>
          <cell r="BR81">
            <v>0</v>
          </cell>
          <cell r="BS81">
            <v>0</v>
          </cell>
          <cell r="BV81">
            <v>0</v>
          </cell>
          <cell r="BW81">
            <v>0</v>
          </cell>
          <cell r="BX81">
            <v>0</v>
          </cell>
          <cell r="BY81">
            <v>0</v>
          </cell>
          <cell r="CB81">
            <v>0</v>
          </cell>
          <cell r="CC81">
            <v>0</v>
          </cell>
          <cell r="CD81">
            <v>0</v>
          </cell>
          <cell r="CE81">
            <v>0</v>
          </cell>
          <cell r="CH81">
            <v>0</v>
          </cell>
          <cell r="CI81">
            <v>0</v>
          </cell>
          <cell r="CJ81">
            <v>0</v>
          </cell>
          <cell r="CK81">
            <v>0</v>
          </cell>
        </row>
        <row r="82">
          <cell r="A82" t="str">
            <v>Units Issued</v>
          </cell>
          <cell r="T82">
            <v>2200</v>
          </cell>
          <cell r="U82">
            <v>2200</v>
          </cell>
          <cell r="V82">
            <v>2200</v>
          </cell>
          <cell r="W82">
            <v>2200</v>
          </cell>
          <cell r="Z82">
            <v>0</v>
          </cell>
          <cell r="AA82">
            <v>0</v>
          </cell>
          <cell r="AB82">
            <v>0</v>
          </cell>
          <cell r="AC82">
            <v>0</v>
          </cell>
          <cell r="AF82">
            <v>0</v>
          </cell>
          <cell r="AG82">
            <v>0</v>
          </cell>
          <cell r="AH82">
            <v>0</v>
          </cell>
          <cell r="AI82">
            <v>0</v>
          </cell>
          <cell r="AL82">
            <v>0</v>
          </cell>
          <cell r="AM82">
            <v>0</v>
          </cell>
          <cell r="AN82">
            <v>0</v>
          </cell>
          <cell r="AO82">
            <v>0</v>
          </cell>
          <cell r="AR82">
            <v>0</v>
          </cell>
          <cell r="AS82">
            <v>0</v>
          </cell>
          <cell r="AT82">
            <v>0</v>
          </cell>
          <cell r="AU82">
            <v>0</v>
          </cell>
          <cell r="AX82">
            <v>0</v>
          </cell>
          <cell r="AY82">
            <v>0</v>
          </cell>
          <cell r="AZ82">
            <v>0</v>
          </cell>
          <cell r="BA82">
            <v>0</v>
          </cell>
          <cell r="BD82">
            <v>0</v>
          </cell>
          <cell r="BE82">
            <v>0</v>
          </cell>
          <cell r="BF82">
            <v>0</v>
          </cell>
          <cell r="BG82">
            <v>0</v>
          </cell>
          <cell r="BJ82">
            <v>0</v>
          </cell>
          <cell r="BK82">
            <v>0</v>
          </cell>
          <cell r="BL82">
            <v>0</v>
          </cell>
          <cell r="BM82">
            <v>0</v>
          </cell>
          <cell r="BP82">
            <v>0</v>
          </cell>
          <cell r="BQ82">
            <v>0</v>
          </cell>
          <cell r="BR82">
            <v>0</v>
          </cell>
          <cell r="BS82">
            <v>0</v>
          </cell>
          <cell r="BV82">
            <v>0</v>
          </cell>
          <cell r="BW82">
            <v>0</v>
          </cell>
          <cell r="BX82">
            <v>0</v>
          </cell>
          <cell r="BY82">
            <v>0</v>
          </cell>
          <cell r="CB82">
            <v>0</v>
          </cell>
          <cell r="CC82">
            <v>0</v>
          </cell>
          <cell r="CD82">
            <v>0</v>
          </cell>
          <cell r="CE82">
            <v>0</v>
          </cell>
          <cell r="CH82">
            <v>0</v>
          </cell>
          <cell r="CI82">
            <v>0</v>
          </cell>
          <cell r="CJ82">
            <v>0</v>
          </cell>
          <cell r="CK82">
            <v>0</v>
          </cell>
        </row>
        <row r="83">
          <cell r="A83" t="str">
            <v xml:space="preserve">                    Quarterly Distributions</v>
          </cell>
          <cell r="T83">
            <v>2406.25</v>
          </cell>
          <cell r="U83">
            <v>2406.25</v>
          </cell>
          <cell r="V83">
            <v>2406.25</v>
          </cell>
          <cell r="W83">
            <v>1300</v>
          </cell>
          <cell r="Z83">
            <v>0</v>
          </cell>
          <cell r="AA83">
            <v>0</v>
          </cell>
          <cell r="AB83">
            <v>0</v>
          </cell>
          <cell r="AC83">
            <v>0</v>
          </cell>
          <cell r="AF83">
            <v>0</v>
          </cell>
          <cell r="AG83">
            <v>0</v>
          </cell>
          <cell r="AH83">
            <v>0</v>
          </cell>
          <cell r="AI83">
            <v>0</v>
          </cell>
          <cell r="AL83">
            <v>0</v>
          </cell>
          <cell r="AM83">
            <v>0</v>
          </cell>
          <cell r="AN83">
            <v>0</v>
          </cell>
          <cell r="AO83">
            <v>0</v>
          </cell>
          <cell r="AR83">
            <v>0</v>
          </cell>
          <cell r="AS83">
            <v>0</v>
          </cell>
          <cell r="AT83">
            <v>0</v>
          </cell>
          <cell r="AU83">
            <v>0</v>
          </cell>
          <cell r="AX83">
            <v>0</v>
          </cell>
          <cell r="AY83">
            <v>0</v>
          </cell>
          <cell r="AZ83">
            <v>0</v>
          </cell>
          <cell r="BA83">
            <v>0</v>
          </cell>
          <cell r="BD83">
            <v>0</v>
          </cell>
          <cell r="BE83">
            <v>0</v>
          </cell>
          <cell r="BF83">
            <v>0</v>
          </cell>
          <cell r="BG83">
            <v>0</v>
          </cell>
          <cell r="BJ83">
            <v>0</v>
          </cell>
          <cell r="BK83">
            <v>0</v>
          </cell>
          <cell r="BL83">
            <v>0</v>
          </cell>
          <cell r="BM83">
            <v>0</v>
          </cell>
          <cell r="BP83">
            <v>0</v>
          </cell>
          <cell r="BQ83">
            <v>0</v>
          </cell>
          <cell r="BR83">
            <v>0</v>
          </cell>
          <cell r="BS83">
            <v>0</v>
          </cell>
          <cell r="BV83">
            <v>0</v>
          </cell>
          <cell r="BW83">
            <v>0</v>
          </cell>
          <cell r="BX83">
            <v>0</v>
          </cell>
          <cell r="BY83">
            <v>0</v>
          </cell>
          <cell r="CB83">
            <v>0</v>
          </cell>
          <cell r="CC83">
            <v>0</v>
          </cell>
          <cell r="CD83">
            <v>0</v>
          </cell>
          <cell r="CE83">
            <v>0</v>
          </cell>
          <cell r="CH83">
            <v>0</v>
          </cell>
          <cell r="CI83">
            <v>0</v>
          </cell>
          <cell r="CJ83">
            <v>0</v>
          </cell>
          <cell r="CK83">
            <v>0</v>
          </cell>
        </row>
        <row r="85">
          <cell r="A85" t="str">
            <v>Series D/E Preferred Unit Face Value</v>
          </cell>
          <cell r="T85">
            <v>90789</v>
          </cell>
          <cell r="U85">
            <v>90789</v>
          </cell>
          <cell r="V85">
            <v>90789</v>
          </cell>
          <cell r="W85">
            <v>90789</v>
          </cell>
          <cell r="Z85">
            <v>90789</v>
          </cell>
          <cell r="AA85">
            <v>90789</v>
          </cell>
          <cell r="AB85">
            <v>90789</v>
          </cell>
          <cell r="AC85">
            <v>90789</v>
          </cell>
          <cell r="AF85">
            <v>90789</v>
          </cell>
          <cell r="AG85">
            <v>90789</v>
          </cell>
          <cell r="AH85">
            <v>90789</v>
          </cell>
          <cell r="AI85">
            <v>90789</v>
          </cell>
          <cell r="AL85">
            <v>90789</v>
          </cell>
          <cell r="AM85">
            <v>90789</v>
          </cell>
          <cell r="AN85">
            <v>90789</v>
          </cell>
          <cell r="AO85">
            <v>90789</v>
          </cell>
          <cell r="AR85">
            <v>90789</v>
          </cell>
          <cell r="AS85">
            <v>90789</v>
          </cell>
          <cell r="AT85">
            <v>90789</v>
          </cell>
          <cell r="AU85">
            <v>90789</v>
          </cell>
          <cell r="AX85">
            <v>90789</v>
          </cell>
          <cell r="AY85">
            <v>79767</v>
          </cell>
          <cell r="AZ85">
            <v>79767</v>
          </cell>
          <cell r="BA85">
            <v>79767</v>
          </cell>
          <cell r="BD85">
            <v>79767</v>
          </cell>
          <cell r="BE85">
            <v>79767</v>
          </cell>
          <cell r="BF85">
            <v>79767</v>
          </cell>
          <cell r="BG85">
            <v>79767</v>
          </cell>
          <cell r="BJ85">
            <v>79767</v>
          </cell>
          <cell r="BK85">
            <v>79767</v>
          </cell>
          <cell r="BL85">
            <v>79767</v>
          </cell>
          <cell r="BM85">
            <v>79767</v>
          </cell>
          <cell r="BP85">
            <v>79767</v>
          </cell>
          <cell r="BQ85">
            <v>79767</v>
          </cell>
          <cell r="BR85">
            <v>79767</v>
          </cell>
          <cell r="BS85">
            <v>79767</v>
          </cell>
          <cell r="BV85">
            <v>79767</v>
          </cell>
          <cell r="BW85">
            <v>79767</v>
          </cell>
          <cell r="BX85">
            <v>79767</v>
          </cell>
          <cell r="BY85">
            <v>79767</v>
          </cell>
          <cell r="CB85">
            <v>79767</v>
          </cell>
          <cell r="CC85">
            <v>79767</v>
          </cell>
          <cell r="CD85">
            <v>79767</v>
          </cell>
          <cell r="CE85">
            <v>79767</v>
          </cell>
          <cell r="CH85">
            <v>79767</v>
          </cell>
          <cell r="CI85">
            <v>79767</v>
          </cell>
          <cell r="CJ85">
            <v>79767</v>
          </cell>
          <cell r="CK85">
            <v>79767</v>
          </cell>
        </row>
        <row r="86">
          <cell r="A86" t="str">
            <v>Series D/E Preferred Unit Distribution</v>
          </cell>
          <cell r="T86">
            <v>0.96875</v>
          </cell>
          <cell r="U86">
            <v>0.96875</v>
          </cell>
          <cell r="V86">
            <v>0.96875</v>
          </cell>
          <cell r="W86">
            <v>0.96875</v>
          </cell>
          <cell r="Z86">
            <v>0.96875</v>
          </cell>
          <cell r="AA86">
            <v>0.96875</v>
          </cell>
          <cell r="AB86">
            <v>0.96875</v>
          </cell>
          <cell r="AC86">
            <v>0.96875</v>
          </cell>
          <cell r="AD86">
            <v>3.875</v>
          </cell>
          <cell r="AF86">
            <v>0.96875</v>
          </cell>
          <cell r="AG86">
            <v>0.96875</v>
          </cell>
          <cell r="AH86">
            <v>0.96875</v>
          </cell>
          <cell r="AI86">
            <v>0.96875</v>
          </cell>
          <cell r="AL86">
            <v>0.96875</v>
          </cell>
          <cell r="AM86">
            <v>0.96875</v>
          </cell>
          <cell r="AN86">
            <v>0.96875</v>
          </cell>
          <cell r="AO86">
            <v>0.96875</v>
          </cell>
          <cell r="AR86">
            <v>0.96875</v>
          </cell>
          <cell r="AS86">
            <v>0.96875</v>
          </cell>
          <cell r="AT86">
            <v>0.96875</v>
          </cell>
          <cell r="AU86">
            <v>0.96875</v>
          </cell>
          <cell r="AX86">
            <v>0.96875</v>
          </cell>
          <cell r="AY86">
            <v>0.96875</v>
          </cell>
          <cell r="AZ86">
            <v>0.96875</v>
          </cell>
          <cell r="BA86">
            <v>0.96875</v>
          </cell>
          <cell r="BD86">
            <v>0.89750000000000008</v>
          </cell>
          <cell r="BE86">
            <v>0.89750000000000008</v>
          </cell>
          <cell r="BF86">
            <v>0.89750000000000008</v>
          </cell>
          <cell r="BG86">
            <v>0.89750000000000008</v>
          </cell>
          <cell r="BJ86">
            <v>0.89750000000000008</v>
          </cell>
          <cell r="BK86">
            <v>0.89750000000000008</v>
          </cell>
          <cell r="BL86">
            <v>0.89750000000000008</v>
          </cell>
          <cell r="BM86">
            <v>0.89750000000000008</v>
          </cell>
          <cell r="BP86">
            <v>0.89750000000000008</v>
          </cell>
          <cell r="BQ86">
            <v>0.89750000000000008</v>
          </cell>
          <cell r="BR86">
            <v>0.89750000000000008</v>
          </cell>
          <cell r="BS86">
            <v>0.89750000000000008</v>
          </cell>
          <cell r="BV86">
            <v>0.89750000000000008</v>
          </cell>
          <cell r="BW86">
            <v>0.89750000000000008</v>
          </cell>
          <cell r="BX86">
            <v>0.89750000000000008</v>
          </cell>
          <cell r="BY86">
            <v>0.89750000000000008</v>
          </cell>
          <cell r="CB86">
            <v>0.89750000000000008</v>
          </cell>
          <cell r="CC86">
            <v>0.89750000000000008</v>
          </cell>
          <cell r="CD86">
            <v>0.89750000000000008</v>
          </cell>
          <cell r="CE86">
            <v>0.89750000000000008</v>
          </cell>
          <cell r="CH86">
            <v>0.89750000000000008</v>
          </cell>
          <cell r="CI86">
            <v>0.89750000000000008</v>
          </cell>
          <cell r="CJ86">
            <v>0.89750000000000008</v>
          </cell>
          <cell r="CK86">
            <v>0.89750000000000008</v>
          </cell>
        </row>
        <row r="87">
          <cell r="A87" t="str">
            <v>Units Issued</v>
          </cell>
          <cell r="T87">
            <v>1815.78</v>
          </cell>
          <cell r="U87">
            <v>1815.78</v>
          </cell>
          <cell r="V87">
            <v>1815.78</v>
          </cell>
          <cell r="W87">
            <v>1815.78</v>
          </cell>
          <cell r="Z87">
            <v>1815.78</v>
          </cell>
          <cell r="AA87">
            <v>1815.78</v>
          </cell>
          <cell r="AB87">
            <v>1815.78</v>
          </cell>
          <cell r="AC87">
            <v>1815.78</v>
          </cell>
          <cell r="AF87">
            <v>1815.78</v>
          </cell>
          <cell r="AG87">
            <v>1815.78</v>
          </cell>
          <cell r="AH87">
            <v>1815.78</v>
          </cell>
          <cell r="AI87">
            <v>1815.78</v>
          </cell>
          <cell r="AL87">
            <v>1815.78</v>
          </cell>
          <cell r="AM87">
            <v>1815.78</v>
          </cell>
          <cell r="AN87">
            <v>1815.78</v>
          </cell>
          <cell r="AO87">
            <v>1815.78</v>
          </cell>
          <cell r="AR87">
            <v>1815.78</v>
          </cell>
          <cell r="AS87">
            <v>1815.78</v>
          </cell>
          <cell r="AT87">
            <v>1815.78</v>
          </cell>
          <cell r="AU87">
            <v>1815.78</v>
          </cell>
          <cell r="AX87">
            <v>1815.78</v>
          </cell>
          <cell r="AY87">
            <v>1595.34</v>
          </cell>
          <cell r="AZ87">
            <v>1595.34</v>
          </cell>
          <cell r="BA87">
            <v>1595.34</v>
          </cell>
          <cell r="BD87">
            <v>1595.34</v>
          </cell>
          <cell r="BE87">
            <v>1595.34</v>
          </cell>
          <cell r="BF87">
            <v>1595.34</v>
          </cell>
          <cell r="BG87">
            <v>1595.34</v>
          </cell>
          <cell r="BJ87">
            <v>1595.34</v>
          </cell>
          <cell r="BK87">
            <v>1595.34</v>
          </cell>
          <cell r="BL87">
            <v>1595.34</v>
          </cell>
          <cell r="BM87">
            <v>1595.34</v>
          </cell>
          <cell r="BP87">
            <v>1595.34</v>
          </cell>
          <cell r="BQ87">
            <v>1595.34</v>
          </cell>
          <cell r="BR87">
            <v>1595.34</v>
          </cell>
          <cell r="BS87">
            <v>1595.34</v>
          </cell>
          <cell r="BV87">
            <v>1595.34</v>
          </cell>
          <cell r="BW87">
            <v>1595.34</v>
          </cell>
          <cell r="BX87">
            <v>1595.34</v>
          </cell>
          <cell r="BY87">
            <v>1595.34</v>
          </cell>
          <cell r="CB87">
            <v>1595.34</v>
          </cell>
          <cell r="CC87">
            <v>1595.34</v>
          </cell>
          <cell r="CD87">
            <v>1595.34</v>
          </cell>
          <cell r="CE87">
            <v>1595.34</v>
          </cell>
          <cell r="CH87">
            <v>1595.34</v>
          </cell>
          <cell r="CI87">
            <v>1595.34</v>
          </cell>
          <cell r="CJ87">
            <v>1595.34</v>
          </cell>
          <cell r="CK87">
            <v>1595.34</v>
          </cell>
        </row>
        <row r="88">
          <cell r="A88" t="str">
            <v xml:space="preserve">                    Quarterly Distributions</v>
          </cell>
          <cell r="T88">
            <v>1759.036875</v>
          </cell>
          <cell r="U88">
            <v>1759.036875</v>
          </cell>
          <cell r="V88">
            <v>1759.036875</v>
          </cell>
          <cell r="W88">
            <v>1759.036875</v>
          </cell>
          <cell r="Z88">
            <v>1759.036875</v>
          </cell>
          <cell r="AA88">
            <v>1759.036875</v>
          </cell>
          <cell r="AB88">
            <v>1759.036875</v>
          </cell>
          <cell r="AC88">
            <v>1759.036875</v>
          </cell>
          <cell r="AF88">
            <v>1759.036875</v>
          </cell>
          <cell r="AG88">
            <v>1759.036875</v>
          </cell>
          <cell r="AH88">
            <v>1759.036875</v>
          </cell>
          <cell r="AI88">
            <v>1759.036875</v>
          </cell>
          <cell r="AL88">
            <v>1759.036875</v>
          </cell>
          <cell r="AM88">
            <v>1759.036875</v>
          </cell>
          <cell r="AN88">
            <v>1759.036875</v>
          </cell>
          <cell r="AO88">
            <v>1759.036875</v>
          </cell>
          <cell r="AR88">
            <v>1759.036875</v>
          </cell>
          <cell r="AS88">
            <v>1759.036875</v>
          </cell>
          <cell r="AT88">
            <v>1759.036875</v>
          </cell>
          <cell r="AU88">
            <v>1759.036875</v>
          </cell>
          <cell r="AX88">
            <v>1759.036875</v>
          </cell>
          <cell r="AY88">
            <v>1545.485625</v>
          </cell>
          <cell r="AZ88">
            <v>1545.485625</v>
          </cell>
          <cell r="BA88">
            <v>1545.485625</v>
          </cell>
          <cell r="BD88">
            <v>1431.81765</v>
          </cell>
          <cell r="BE88">
            <v>1431.81765</v>
          </cell>
          <cell r="BF88">
            <v>1431.81765</v>
          </cell>
          <cell r="BG88">
            <v>1431.81765</v>
          </cell>
          <cell r="BJ88">
            <v>1431.81765</v>
          </cell>
          <cell r="BK88">
            <v>1431.81765</v>
          </cell>
          <cell r="BL88">
            <v>1431.81765</v>
          </cell>
          <cell r="BM88">
            <v>1431.81765</v>
          </cell>
          <cell r="BP88">
            <v>1431.81765</v>
          </cell>
          <cell r="BQ88">
            <v>1431.81765</v>
          </cell>
          <cell r="BR88">
            <v>1431.81765</v>
          </cell>
          <cell r="BS88">
            <v>1431.81765</v>
          </cell>
          <cell r="BV88">
            <v>1431.81765</v>
          </cell>
          <cell r="BW88">
            <v>1431.81765</v>
          </cell>
          <cell r="BX88">
            <v>1431.81765</v>
          </cell>
          <cell r="BY88">
            <v>1431.81765</v>
          </cell>
          <cell r="CB88">
            <v>1431.81765</v>
          </cell>
          <cell r="CC88">
            <v>1431.81765</v>
          </cell>
          <cell r="CD88">
            <v>1431.81765</v>
          </cell>
          <cell r="CE88">
            <v>1431.81765</v>
          </cell>
          <cell r="CH88">
            <v>1431.81765</v>
          </cell>
          <cell r="CI88">
            <v>1431.81765</v>
          </cell>
          <cell r="CJ88">
            <v>1431.81765</v>
          </cell>
          <cell r="CK88">
            <v>1431.81765</v>
          </cell>
        </row>
        <row r="90">
          <cell r="A90" t="str">
            <v>Series F/G Preferred Unit Face Value</v>
          </cell>
          <cell r="T90">
            <v>20872</v>
          </cell>
          <cell r="U90">
            <v>20872</v>
          </cell>
          <cell r="V90">
            <v>20872</v>
          </cell>
          <cell r="W90">
            <v>20872</v>
          </cell>
          <cell r="Z90">
            <v>20872</v>
          </cell>
          <cell r="AA90">
            <v>20872</v>
          </cell>
          <cell r="AB90">
            <v>13372</v>
          </cell>
          <cell r="AC90">
            <v>13372</v>
          </cell>
          <cell r="AF90">
            <v>13372</v>
          </cell>
          <cell r="AG90">
            <v>13372</v>
          </cell>
          <cell r="AH90">
            <v>10057</v>
          </cell>
          <cell r="AI90">
            <v>10057</v>
          </cell>
          <cell r="AL90">
            <v>10057</v>
          </cell>
          <cell r="AM90">
            <v>10057</v>
          </cell>
          <cell r="AN90">
            <v>10057</v>
          </cell>
          <cell r="AO90">
            <v>10057</v>
          </cell>
          <cell r="AR90">
            <v>10057</v>
          </cell>
          <cell r="AS90">
            <v>10057</v>
          </cell>
          <cell r="AT90">
            <v>10057</v>
          </cell>
          <cell r="AU90">
            <v>10057</v>
          </cell>
          <cell r="AX90">
            <v>10057</v>
          </cell>
          <cell r="AY90">
            <v>10057</v>
          </cell>
          <cell r="AZ90">
            <v>0</v>
          </cell>
          <cell r="BA90">
            <v>0</v>
          </cell>
          <cell r="BD90">
            <v>0</v>
          </cell>
          <cell r="BE90">
            <v>0</v>
          </cell>
          <cell r="BF90">
            <v>0</v>
          </cell>
          <cell r="BG90">
            <v>0</v>
          </cell>
          <cell r="BJ90">
            <v>0</v>
          </cell>
          <cell r="BK90">
            <v>0</v>
          </cell>
          <cell r="BL90">
            <v>0</v>
          </cell>
          <cell r="BM90">
            <v>0</v>
          </cell>
          <cell r="BP90">
            <v>0</v>
          </cell>
          <cell r="BQ90">
            <v>0</v>
          </cell>
          <cell r="BR90">
            <v>0</v>
          </cell>
          <cell r="BS90">
            <v>0</v>
          </cell>
          <cell r="BV90">
            <v>0</v>
          </cell>
          <cell r="BW90">
            <v>0</v>
          </cell>
          <cell r="BX90">
            <v>0</v>
          </cell>
          <cell r="BY90">
            <v>0</v>
          </cell>
          <cell r="CB90">
            <v>0</v>
          </cell>
          <cell r="CC90">
            <v>0</v>
          </cell>
          <cell r="CD90">
            <v>0</v>
          </cell>
          <cell r="CE90">
            <v>0</v>
          </cell>
          <cell r="CH90">
            <v>0</v>
          </cell>
          <cell r="CI90">
            <v>0</v>
          </cell>
          <cell r="CJ90">
            <v>0</v>
          </cell>
          <cell r="CK90">
            <v>0</v>
          </cell>
        </row>
        <row r="91">
          <cell r="A91" t="str">
            <v>Series F/G Preferred Unit Distribution</v>
          </cell>
          <cell r="T91">
            <v>0.99375238058734328</v>
          </cell>
          <cell r="U91">
            <v>0.99375238058734328</v>
          </cell>
          <cell r="V91">
            <v>0.99375238058734328</v>
          </cell>
          <cell r="W91">
            <v>0.99375238058734328</v>
          </cell>
          <cell r="Z91">
            <v>0.99399999999999999</v>
          </cell>
          <cell r="AA91">
            <v>0.99399999999999999</v>
          </cell>
          <cell r="AB91">
            <v>0.99399999999999999</v>
          </cell>
          <cell r="AC91">
            <v>0.99399999999999999</v>
          </cell>
          <cell r="AD91">
            <v>3.976</v>
          </cell>
          <cell r="AF91">
            <v>0.99399999999999999</v>
          </cell>
          <cell r="AG91">
            <v>0.99399999999999999</v>
          </cell>
          <cell r="AH91">
            <v>0.99399999999999999</v>
          </cell>
          <cell r="AI91">
            <v>0.99399999999999999</v>
          </cell>
          <cell r="AL91">
            <v>0.99399999999999999</v>
          </cell>
          <cell r="AM91">
            <v>0.99399999999999999</v>
          </cell>
          <cell r="AN91">
            <v>0.99399999999999999</v>
          </cell>
          <cell r="AO91">
            <v>0.99399999999999999</v>
          </cell>
          <cell r="AR91">
            <v>0.99399999999999999</v>
          </cell>
          <cell r="AS91">
            <v>0.99399999999999999</v>
          </cell>
          <cell r="AT91">
            <v>0.99399999999999999</v>
          </cell>
          <cell r="AU91">
            <v>0.99399999999999999</v>
          </cell>
          <cell r="AX91">
            <v>0.99399999999999999</v>
          </cell>
          <cell r="AY91">
            <v>0.99399999999999999</v>
          </cell>
          <cell r="AZ91">
            <v>0.99399999999999999</v>
          </cell>
          <cell r="BA91">
            <v>0.99399999999999999</v>
          </cell>
          <cell r="BD91">
            <v>0.99399999999999999</v>
          </cell>
          <cell r="BE91">
            <v>0.99399999999999999</v>
          </cell>
          <cell r="BF91">
            <v>0.99399999999999999</v>
          </cell>
          <cell r="BG91">
            <v>0.99399999999999999</v>
          </cell>
          <cell r="BJ91">
            <v>0.99399999999999999</v>
          </cell>
          <cell r="BK91">
            <v>0.99399999999999999</v>
          </cell>
          <cell r="BL91">
            <v>0.99399999999999999</v>
          </cell>
          <cell r="BM91">
            <v>0.99399999999999999</v>
          </cell>
          <cell r="BP91">
            <v>0.99399999999999999</v>
          </cell>
          <cell r="BQ91">
            <v>0.99399999999999999</v>
          </cell>
          <cell r="BR91">
            <v>0.99399999999999999</v>
          </cell>
          <cell r="BS91">
            <v>0.99399999999999999</v>
          </cell>
          <cell r="BV91">
            <v>0.99399999999999999</v>
          </cell>
          <cell r="BW91">
            <v>0.99399999999999999</v>
          </cell>
          <cell r="BX91">
            <v>0.99399999999999999</v>
          </cell>
          <cell r="BY91">
            <v>0.99399999999999999</v>
          </cell>
          <cell r="CB91">
            <v>0.99399999999999999</v>
          </cell>
          <cell r="CC91">
            <v>0.99399999999999999</v>
          </cell>
          <cell r="CD91">
            <v>0.99399999999999999</v>
          </cell>
          <cell r="CE91">
            <v>0.99399999999999999</v>
          </cell>
          <cell r="CH91">
            <v>0.99399999999999999</v>
          </cell>
          <cell r="CI91">
            <v>0.99399999999999999</v>
          </cell>
          <cell r="CJ91">
            <v>0.99399999999999999</v>
          </cell>
          <cell r="CK91">
            <v>0.99399999999999999</v>
          </cell>
        </row>
        <row r="92">
          <cell r="A92" t="str">
            <v>Units Issued</v>
          </cell>
          <cell r="T92">
            <v>417.43900000000002</v>
          </cell>
          <cell r="U92">
            <v>417.43900000000002</v>
          </cell>
          <cell r="V92">
            <v>417.43900000000002</v>
          </cell>
          <cell r="W92">
            <v>417.43900000000002</v>
          </cell>
          <cell r="Z92">
            <v>417.43900000000002</v>
          </cell>
          <cell r="AA92">
            <v>417.43900000000002</v>
          </cell>
          <cell r="AB92">
            <v>417.43900000000002</v>
          </cell>
          <cell r="AC92">
            <v>417.43900000000002</v>
          </cell>
          <cell r="AF92">
            <v>417.43900000000002</v>
          </cell>
          <cell r="AG92">
            <v>417.43900000000002</v>
          </cell>
          <cell r="AH92">
            <v>201.14</v>
          </cell>
          <cell r="AI92">
            <v>201.14</v>
          </cell>
          <cell r="AL92">
            <v>201.14</v>
          </cell>
          <cell r="AM92">
            <v>201.14</v>
          </cell>
          <cell r="AN92">
            <v>201.14</v>
          </cell>
          <cell r="AO92">
            <v>201.14</v>
          </cell>
          <cell r="AR92">
            <v>201.14</v>
          </cell>
          <cell r="AS92">
            <v>201.14</v>
          </cell>
          <cell r="AT92">
            <v>201.14</v>
          </cell>
          <cell r="AU92">
            <v>201.14</v>
          </cell>
          <cell r="AX92">
            <v>201.14</v>
          </cell>
          <cell r="AY92">
            <v>201.14</v>
          </cell>
          <cell r="AZ92">
            <v>0</v>
          </cell>
          <cell r="BA92">
            <v>0</v>
          </cell>
          <cell r="BD92">
            <v>0</v>
          </cell>
          <cell r="BE92">
            <v>0</v>
          </cell>
          <cell r="BF92">
            <v>0</v>
          </cell>
          <cell r="BG92">
            <v>0</v>
          </cell>
          <cell r="BJ92">
            <v>0</v>
          </cell>
          <cell r="BK92">
            <v>0</v>
          </cell>
          <cell r="BL92">
            <v>0</v>
          </cell>
          <cell r="BM92">
            <v>0</v>
          </cell>
          <cell r="BP92">
            <v>0</v>
          </cell>
          <cell r="BQ92">
            <v>0</v>
          </cell>
          <cell r="BR92">
            <v>0</v>
          </cell>
          <cell r="BS92">
            <v>0</v>
          </cell>
          <cell r="BV92">
            <v>0</v>
          </cell>
          <cell r="BW92">
            <v>0</v>
          </cell>
          <cell r="BX92">
            <v>0</v>
          </cell>
          <cell r="BY92">
            <v>0</v>
          </cell>
          <cell r="CB92">
            <v>0</v>
          </cell>
          <cell r="CC92">
            <v>0</v>
          </cell>
          <cell r="CD92">
            <v>0</v>
          </cell>
          <cell r="CE92">
            <v>0</v>
          </cell>
          <cell r="CH92">
            <v>0</v>
          </cell>
          <cell r="CI92">
            <v>0</v>
          </cell>
          <cell r="CJ92">
            <v>0</v>
          </cell>
          <cell r="CK92">
            <v>0</v>
          </cell>
        </row>
        <row r="93">
          <cell r="A93" t="str">
            <v xml:space="preserve">                    Quarterly Distributions</v>
          </cell>
          <cell r="T93">
            <v>414.83100000000002</v>
          </cell>
          <cell r="U93">
            <v>414.83100000000002</v>
          </cell>
          <cell r="V93">
            <v>414.83100000000002</v>
          </cell>
          <cell r="W93">
            <v>414.83100000000002</v>
          </cell>
          <cell r="Z93">
            <v>414.93436600000001</v>
          </cell>
          <cell r="AA93">
            <v>414.93436600000001</v>
          </cell>
          <cell r="AB93">
            <v>414.93436600000001</v>
          </cell>
          <cell r="AC93">
            <v>414.93436600000001</v>
          </cell>
          <cell r="AF93">
            <v>414.93436600000001</v>
          </cell>
          <cell r="AG93">
            <v>414.93436600000001</v>
          </cell>
          <cell r="AH93">
            <v>199.93315999999999</v>
          </cell>
          <cell r="AI93">
            <v>199.93315999999999</v>
          </cell>
          <cell r="AL93">
            <v>199.93315999999999</v>
          </cell>
          <cell r="AM93">
            <v>199.93315999999999</v>
          </cell>
          <cell r="AN93">
            <v>199.93315999999999</v>
          </cell>
          <cell r="AO93">
            <v>199.93315999999999</v>
          </cell>
          <cell r="AR93">
            <v>199.93315999999999</v>
          </cell>
          <cell r="AS93">
            <v>199.93315999999999</v>
          </cell>
          <cell r="AT93">
            <v>199.93315999999999</v>
          </cell>
          <cell r="AU93">
            <v>199.93315999999999</v>
          </cell>
          <cell r="AX93">
            <v>199.93315999999999</v>
          </cell>
          <cell r="AY93">
            <v>199.93315999999999</v>
          </cell>
          <cell r="AZ93">
            <v>0</v>
          </cell>
          <cell r="BA93">
            <v>0</v>
          </cell>
          <cell r="BD93">
            <v>0</v>
          </cell>
          <cell r="BE93">
            <v>0</v>
          </cell>
          <cell r="BF93">
            <v>0</v>
          </cell>
          <cell r="BG93">
            <v>0</v>
          </cell>
          <cell r="BJ93">
            <v>0</v>
          </cell>
          <cell r="BK93">
            <v>0</v>
          </cell>
          <cell r="BL93">
            <v>0</v>
          </cell>
          <cell r="BM93">
            <v>0</v>
          </cell>
          <cell r="BP93">
            <v>0</v>
          </cell>
          <cell r="BQ93">
            <v>0</v>
          </cell>
          <cell r="BR93">
            <v>0</v>
          </cell>
          <cell r="BS93">
            <v>0</v>
          </cell>
          <cell r="BV93">
            <v>0</v>
          </cell>
          <cell r="BW93">
            <v>0</v>
          </cell>
          <cell r="BX93">
            <v>0</v>
          </cell>
          <cell r="BY93">
            <v>0</v>
          </cell>
          <cell r="CB93">
            <v>0</v>
          </cell>
          <cell r="CC93">
            <v>0</v>
          </cell>
          <cell r="CD93">
            <v>0</v>
          </cell>
          <cell r="CE93">
            <v>0</v>
          </cell>
          <cell r="CH93">
            <v>0</v>
          </cell>
          <cell r="CI93">
            <v>0</v>
          </cell>
          <cell r="CJ93">
            <v>0</v>
          </cell>
          <cell r="CK93">
            <v>0</v>
          </cell>
        </row>
        <row r="95">
          <cell r="A95" t="str">
            <v>Series H Preferred Unit Face Value</v>
          </cell>
          <cell r="T95">
            <v>42000</v>
          </cell>
          <cell r="U95">
            <v>42000</v>
          </cell>
          <cell r="V95">
            <v>42000</v>
          </cell>
          <cell r="W95">
            <v>42000</v>
          </cell>
          <cell r="Z95">
            <v>42000</v>
          </cell>
          <cell r="AA95">
            <v>42000</v>
          </cell>
          <cell r="AB95">
            <v>42000</v>
          </cell>
          <cell r="AC95">
            <v>42000</v>
          </cell>
          <cell r="AF95">
            <v>42000</v>
          </cell>
          <cell r="AG95">
            <v>42000</v>
          </cell>
          <cell r="AH95">
            <v>42000</v>
          </cell>
          <cell r="AI95">
            <v>42000</v>
          </cell>
          <cell r="AL95">
            <v>42000</v>
          </cell>
          <cell r="AM95">
            <v>42000</v>
          </cell>
          <cell r="AN95">
            <v>42000</v>
          </cell>
          <cell r="AO95">
            <v>42000</v>
          </cell>
          <cell r="AR95">
            <v>42000</v>
          </cell>
          <cell r="AS95">
            <v>42000</v>
          </cell>
          <cell r="AT95">
            <v>42000</v>
          </cell>
          <cell r="AU95">
            <v>42000</v>
          </cell>
          <cell r="AZ95">
            <v>0</v>
          </cell>
          <cell r="BA95">
            <v>0</v>
          </cell>
          <cell r="BD95">
            <v>0</v>
          </cell>
          <cell r="BE95">
            <v>0</v>
          </cell>
          <cell r="BF95">
            <v>0</v>
          </cell>
          <cell r="BG95">
            <v>0</v>
          </cell>
          <cell r="BJ95">
            <v>0</v>
          </cell>
          <cell r="BK95">
            <v>0</v>
          </cell>
          <cell r="BL95">
            <v>0</v>
          </cell>
          <cell r="BM95">
            <v>0</v>
          </cell>
          <cell r="BP95">
            <v>0</v>
          </cell>
          <cell r="BQ95">
            <v>0</v>
          </cell>
          <cell r="BR95">
            <v>0</v>
          </cell>
          <cell r="BS95">
            <v>0</v>
          </cell>
          <cell r="BV95">
            <v>0</v>
          </cell>
          <cell r="BW95">
            <v>0</v>
          </cell>
          <cell r="BX95">
            <v>0</v>
          </cell>
          <cell r="BY95">
            <v>0</v>
          </cell>
          <cell r="CB95">
            <v>0</v>
          </cell>
          <cell r="CC95">
            <v>0</v>
          </cell>
          <cell r="CD95">
            <v>0</v>
          </cell>
          <cell r="CE95">
            <v>0</v>
          </cell>
          <cell r="CH95">
            <v>0</v>
          </cell>
          <cell r="CI95">
            <v>0</v>
          </cell>
          <cell r="CJ95">
            <v>0</v>
          </cell>
          <cell r="CK95">
            <v>0</v>
          </cell>
        </row>
        <row r="96">
          <cell r="A96" t="str">
            <v>Series H Preferred Unit Distribution</v>
          </cell>
          <cell r="T96">
            <v>1.0162499999999999</v>
          </cell>
          <cell r="U96">
            <v>1.0162499999999999</v>
          </cell>
          <cell r="V96">
            <v>1.0162499999999999</v>
          </cell>
          <cell r="W96">
            <v>1.0162499999999999</v>
          </cell>
          <cell r="Z96">
            <v>1.016</v>
          </cell>
          <cell r="AA96">
            <v>1.016</v>
          </cell>
          <cell r="AB96">
            <v>1.016</v>
          </cell>
          <cell r="AC96">
            <v>1.016</v>
          </cell>
          <cell r="AD96">
            <v>4.0640000000000001</v>
          </cell>
          <cell r="AF96">
            <v>1.016</v>
          </cell>
          <cell r="AG96">
            <v>1.016</v>
          </cell>
          <cell r="AH96">
            <v>1.016</v>
          </cell>
          <cell r="AI96">
            <v>1.016</v>
          </cell>
          <cell r="AL96">
            <v>1.016</v>
          </cell>
          <cell r="AM96">
            <v>1.016</v>
          </cell>
          <cell r="AN96">
            <v>1.016</v>
          </cell>
          <cell r="AO96">
            <v>1.016</v>
          </cell>
          <cell r="AR96">
            <v>1.016</v>
          </cell>
          <cell r="AS96">
            <v>1.016</v>
          </cell>
          <cell r="AT96">
            <v>1.016</v>
          </cell>
          <cell r="AU96">
            <v>1.016</v>
          </cell>
          <cell r="AX96">
            <v>1.016</v>
          </cell>
          <cell r="AY96">
            <v>1.016</v>
          </cell>
          <cell r="AZ96">
            <v>1.016</v>
          </cell>
          <cell r="BA96">
            <v>1.016</v>
          </cell>
          <cell r="BD96">
            <v>1.016</v>
          </cell>
          <cell r="BE96">
            <v>1.016</v>
          </cell>
          <cell r="BF96">
            <v>1.016</v>
          </cell>
          <cell r="BG96">
            <v>1.016</v>
          </cell>
          <cell r="BJ96">
            <v>1.016</v>
          </cell>
          <cell r="BK96">
            <v>1.016</v>
          </cell>
          <cell r="BL96">
            <v>1.016</v>
          </cell>
          <cell r="BM96">
            <v>1.016</v>
          </cell>
          <cell r="BP96">
            <v>1.016</v>
          </cell>
          <cell r="BQ96">
            <v>1.016</v>
          </cell>
          <cell r="BR96">
            <v>1.016</v>
          </cell>
          <cell r="BS96">
            <v>1.016</v>
          </cell>
          <cell r="BV96">
            <v>1.016</v>
          </cell>
          <cell r="BW96">
            <v>1.016</v>
          </cell>
          <cell r="BX96">
            <v>1.016</v>
          </cell>
          <cell r="BY96">
            <v>1.016</v>
          </cell>
          <cell r="CB96">
            <v>1.016</v>
          </cell>
          <cell r="CC96">
            <v>1.016</v>
          </cell>
          <cell r="CD96">
            <v>1.016</v>
          </cell>
          <cell r="CE96">
            <v>1.016</v>
          </cell>
          <cell r="CH96">
            <v>1.016</v>
          </cell>
          <cell r="CI96">
            <v>1.016</v>
          </cell>
          <cell r="CJ96">
            <v>1.016</v>
          </cell>
          <cell r="CK96">
            <v>1.016</v>
          </cell>
        </row>
        <row r="97">
          <cell r="A97" t="str">
            <v>Units Issued</v>
          </cell>
          <cell r="T97">
            <v>840</v>
          </cell>
          <cell r="U97">
            <v>840</v>
          </cell>
          <cell r="V97">
            <v>840</v>
          </cell>
          <cell r="W97">
            <v>840</v>
          </cell>
          <cell r="Z97">
            <v>840</v>
          </cell>
          <cell r="AA97">
            <v>840</v>
          </cell>
          <cell r="AB97">
            <v>840</v>
          </cell>
          <cell r="AC97">
            <v>840</v>
          </cell>
          <cell r="AF97">
            <v>840</v>
          </cell>
          <cell r="AG97">
            <v>840</v>
          </cell>
          <cell r="AH97">
            <v>840</v>
          </cell>
          <cell r="AI97">
            <v>840</v>
          </cell>
          <cell r="AL97">
            <v>840</v>
          </cell>
          <cell r="AM97">
            <v>840</v>
          </cell>
          <cell r="AN97">
            <v>840</v>
          </cell>
          <cell r="AO97">
            <v>840</v>
          </cell>
          <cell r="AR97">
            <v>840</v>
          </cell>
          <cell r="AS97">
            <v>840</v>
          </cell>
          <cell r="AT97">
            <v>840</v>
          </cell>
          <cell r="AU97">
            <v>840</v>
          </cell>
          <cell r="AX97">
            <v>0</v>
          </cell>
          <cell r="AY97">
            <v>0</v>
          </cell>
          <cell r="AZ97">
            <v>0</v>
          </cell>
          <cell r="BA97">
            <v>0</v>
          </cell>
          <cell r="BD97">
            <v>0</v>
          </cell>
          <cell r="BE97">
            <v>0</v>
          </cell>
          <cell r="BF97">
            <v>0</v>
          </cell>
          <cell r="BG97">
            <v>0</v>
          </cell>
          <cell r="BJ97">
            <v>0</v>
          </cell>
          <cell r="BK97">
            <v>0</v>
          </cell>
          <cell r="BL97">
            <v>0</v>
          </cell>
          <cell r="BM97">
            <v>0</v>
          </cell>
          <cell r="BP97">
            <v>0</v>
          </cell>
          <cell r="BQ97">
            <v>0</v>
          </cell>
          <cell r="BR97">
            <v>0</v>
          </cell>
          <cell r="BS97">
            <v>0</v>
          </cell>
          <cell r="BV97">
            <v>0</v>
          </cell>
          <cell r="BW97">
            <v>0</v>
          </cell>
          <cell r="BX97">
            <v>0</v>
          </cell>
          <cell r="BY97">
            <v>0</v>
          </cell>
          <cell r="CB97">
            <v>0</v>
          </cell>
          <cell r="CC97">
            <v>0</v>
          </cell>
          <cell r="CD97">
            <v>0</v>
          </cell>
          <cell r="CE97">
            <v>0</v>
          </cell>
          <cell r="CH97">
            <v>0</v>
          </cell>
          <cell r="CI97">
            <v>0</v>
          </cell>
          <cell r="CJ97">
            <v>0</v>
          </cell>
          <cell r="CK97">
            <v>0</v>
          </cell>
        </row>
        <row r="98">
          <cell r="A98" t="str">
            <v xml:space="preserve">                    Quarterly Distributions</v>
          </cell>
          <cell r="T98">
            <v>853.64999999999986</v>
          </cell>
          <cell r="U98">
            <v>853.64999999999986</v>
          </cell>
          <cell r="V98">
            <v>853.64999999999986</v>
          </cell>
          <cell r="W98">
            <v>853.64999999999986</v>
          </cell>
          <cell r="Z98">
            <v>853.44</v>
          </cell>
          <cell r="AA98">
            <v>853.44</v>
          </cell>
          <cell r="AB98">
            <v>853.44</v>
          </cell>
          <cell r="AC98">
            <v>853.44</v>
          </cell>
          <cell r="AF98">
            <v>853.44</v>
          </cell>
          <cell r="AG98">
            <v>853.44</v>
          </cell>
          <cell r="AH98">
            <v>853.44</v>
          </cell>
          <cell r="AI98">
            <v>853.44</v>
          </cell>
          <cell r="AL98">
            <v>853.44</v>
          </cell>
          <cell r="AM98">
            <v>853.44</v>
          </cell>
          <cell r="AN98">
            <v>853.44</v>
          </cell>
          <cell r="AO98">
            <v>853.44</v>
          </cell>
          <cell r="AR98">
            <v>853.44</v>
          </cell>
          <cell r="AS98">
            <v>853.44</v>
          </cell>
          <cell r="AT98">
            <v>853.44</v>
          </cell>
          <cell r="AU98">
            <v>853.44</v>
          </cell>
          <cell r="AX98">
            <v>0</v>
          </cell>
          <cell r="AY98">
            <v>0</v>
          </cell>
          <cell r="AZ98">
            <v>0</v>
          </cell>
          <cell r="BA98">
            <v>0</v>
          </cell>
          <cell r="BD98">
            <v>0</v>
          </cell>
          <cell r="BE98">
            <v>0</v>
          </cell>
          <cell r="BF98">
            <v>0</v>
          </cell>
          <cell r="BG98">
            <v>0</v>
          </cell>
          <cell r="BJ98">
            <v>0</v>
          </cell>
          <cell r="BK98">
            <v>0</v>
          </cell>
          <cell r="BL98">
            <v>0</v>
          </cell>
          <cell r="BM98">
            <v>0</v>
          </cell>
          <cell r="BP98">
            <v>0</v>
          </cell>
          <cell r="BQ98">
            <v>0</v>
          </cell>
          <cell r="BR98">
            <v>0</v>
          </cell>
          <cell r="BS98">
            <v>0</v>
          </cell>
          <cell r="BV98">
            <v>0</v>
          </cell>
          <cell r="BW98">
            <v>0</v>
          </cell>
          <cell r="BX98">
            <v>0</v>
          </cell>
          <cell r="BY98">
            <v>0</v>
          </cell>
          <cell r="CB98">
            <v>0</v>
          </cell>
          <cell r="CC98">
            <v>0</v>
          </cell>
          <cell r="CD98">
            <v>0</v>
          </cell>
          <cell r="CE98">
            <v>0</v>
          </cell>
          <cell r="CH98">
            <v>0</v>
          </cell>
          <cell r="CI98">
            <v>0</v>
          </cell>
          <cell r="CJ98">
            <v>0</v>
          </cell>
          <cell r="CK98">
            <v>0</v>
          </cell>
        </row>
        <row r="100">
          <cell r="A100" t="str">
            <v>Series I Preferred Unit Face Value</v>
          </cell>
          <cell r="T100">
            <v>25500</v>
          </cell>
          <cell r="U100">
            <v>25500</v>
          </cell>
          <cell r="V100">
            <v>25500</v>
          </cell>
          <cell r="W100">
            <v>25500</v>
          </cell>
          <cell r="Z100">
            <v>25500</v>
          </cell>
          <cell r="AA100">
            <v>25500</v>
          </cell>
          <cell r="AB100">
            <v>25500</v>
          </cell>
          <cell r="AC100">
            <v>25500</v>
          </cell>
          <cell r="AF100">
            <v>25500</v>
          </cell>
          <cell r="AG100">
            <v>25500</v>
          </cell>
          <cell r="AH100">
            <v>25500</v>
          </cell>
          <cell r="AI100">
            <v>25500</v>
          </cell>
          <cell r="AL100">
            <v>25500</v>
          </cell>
          <cell r="AM100">
            <v>25500</v>
          </cell>
          <cell r="AN100">
            <v>25500</v>
          </cell>
          <cell r="AO100">
            <v>25500</v>
          </cell>
          <cell r="AR100">
            <v>25500</v>
          </cell>
          <cell r="AS100">
            <v>25500</v>
          </cell>
          <cell r="AT100">
            <v>25500</v>
          </cell>
          <cell r="AU100">
            <v>25500</v>
          </cell>
          <cell r="AX100">
            <v>25500</v>
          </cell>
          <cell r="AY100">
            <v>25500</v>
          </cell>
          <cell r="AZ100">
            <v>25500</v>
          </cell>
          <cell r="BA100">
            <v>25500</v>
          </cell>
          <cell r="BD100">
            <v>25500</v>
          </cell>
          <cell r="BE100">
            <v>0</v>
          </cell>
          <cell r="BF100">
            <v>0</v>
          </cell>
          <cell r="BG100">
            <v>0</v>
          </cell>
          <cell r="BJ100">
            <v>0</v>
          </cell>
          <cell r="BK100">
            <v>0</v>
          </cell>
          <cell r="BL100">
            <v>0</v>
          </cell>
          <cell r="BM100">
            <v>0</v>
          </cell>
          <cell r="BP100">
            <v>0</v>
          </cell>
          <cell r="BQ100">
            <v>0</v>
          </cell>
          <cell r="BR100">
            <v>0</v>
          </cell>
          <cell r="BS100">
            <v>0</v>
          </cell>
          <cell r="BV100">
            <v>0</v>
          </cell>
          <cell r="BW100">
            <v>0</v>
          </cell>
          <cell r="BX100">
            <v>0</v>
          </cell>
          <cell r="BY100">
            <v>0</v>
          </cell>
          <cell r="CB100">
            <v>0</v>
          </cell>
          <cell r="CC100">
            <v>0</v>
          </cell>
          <cell r="CD100">
            <v>0</v>
          </cell>
          <cell r="CE100">
            <v>0</v>
          </cell>
          <cell r="CH100">
            <v>0</v>
          </cell>
          <cell r="CI100">
            <v>0</v>
          </cell>
          <cell r="CJ100">
            <v>0</v>
          </cell>
          <cell r="CK100">
            <v>0</v>
          </cell>
        </row>
        <row r="101">
          <cell r="A101" t="str">
            <v>Series I Preferred Unit Distribution</v>
          </cell>
          <cell r="T101">
            <v>4.4166666666666667E-2</v>
          </cell>
          <cell r="U101">
            <v>0.99375000000000002</v>
          </cell>
          <cell r="V101">
            <v>0.99375000000000002</v>
          </cell>
          <cell r="W101">
            <v>0.99375000000000002</v>
          </cell>
          <cell r="Z101">
            <v>1</v>
          </cell>
          <cell r="AA101">
            <v>1</v>
          </cell>
          <cell r="AB101">
            <v>1</v>
          </cell>
          <cell r="AC101">
            <v>1</v>
          </cell>
          <cell r="AD101">
            <v>4</v>
          </cell>
          <cell r="AF101">
            <v>1</v>
          </cell>
          <cell r="AG101">
            <v>1</v>
          </cell>
          <cell r="AH101">
            <v>1</v>
          </cell>
          <cell r="AI101">
            <v>1</v>
          </cell>
          <cell r="AL101">
            <v>1</v>
          </cell>
          <cell r="AM101">
            <v>1</v>
          </cell>
          <cell r="AN101">
            <v>1</v>
          </cell>
          <cell r="AO101">
            <v>1</v>
          </cell>
          <cell r="AR101">
            <v>1</v>
          </cell>
          <cell r="AS101">
            <v>1</v>
          </cell>
          <cell r="AT101">
            <v>1</v>
          </cell>
          <cell r="AU101">
            <v>1</v>
          </cell>
          <cell r="AX101">
            <v>1</v>
          </cell>
          <cell r="AY101">
            <v>1</v>
          </cell>
          <cell r="AZ101">
            <v>1</v>
          </cell>
          <cell r="BA101">
            <v>1</v>
          </cell>
          <cell r="BD101">
            <v>1</v>
          </cell>
          <cell r="BE101">
            <v>1</v>
          </cell>
          <cell r="BF101">
            <v>1</v>
          </cell>
          <cell r="BG101">
            <v>1</v>
          </cell>
          <cell r="BJ101">
            <v>1</v>
          </cell>
          <cell r="BK101">
            <v>1</v>
          </cell>
          <cell r="BL101">
            <v>1</v>
          </cell>
          <cell r="BM101">
            <v>1</v>
          </cell>
          <cell r="BP101">
            <v>1</v>
          </cell>
          <cell r="BQ101">
            <v>1</v>
          </cell>
          <cell r="BR101">
            <v>1</v>
          </cell>
          <cell r="BS101">
            <v>1</v>
          </cell>
          <cell r="BV101">
            <v>1</v>
          </cell>
          <cell r="BW101">
            <v>1</v>
          </cell>
          <cell r="BX101">
            <v>1</v>
          </cell>
          <cell r="BY101">
            <v>1</v>
          </cell>
          <cell r="CB101">
            <v>1</v>
          </cell>
          <cell r="CC101">
            <v>1</v>
          </cell>
          <cell r="CD101">
            <v>1</v>
          </cell>
          <cell r="CE101">
            <v>1</v>
          </cell>
          <cell r="CH101">
            <v>1</v>
          </cell>
          <cell r="CI101">
            <v>1</v>
          </cell>
          <cell r="CJ101">
            <v>1</v>
          </cell>
          <cell r="CK101">
            <v>1</v>
          </cell>
        </row>
        <row r="102">
          <cell r="A102" t="str">
            <v>Units Issued</v>
          </cell>
          <cell r="T102">
            <v>510</v>
          </cell>
          <cell r="U102">
            <v>510</v>
          </cell>
          <cell r="V102">
            <v>510</v>
          </cell>
          <cell r="W102">
            <v>510</v>
          </cell>
          <cell r="Z102">
            <v>510</v>
          </cell>
          <cell r="AA102">
            <v>510</v>
          </cell>
          <cell r="AB102">
            <v>510</v>
          </cell>
          <cell r="AC102">
            <v>510</v>
          </cell>
          <cell r="AF102">
            <v>510</v>
          </cell>
          <cell r="AG102">
            <v>510</v>
          </cell>
          <cell r="AH102">
            <v>510</v>
          </cell>
          <cell r="AI102">
            <v>510</v>
          </cell>
          <cell r="AL102">
            <v>510</v>
          </cell>
          <cell r="AM102">
            <v>510</v>
          </cell>
          <cell r="AN102">
            <v>510</v>
          </cell>
          <cell r="AO102">
            <v>510</v>
          </cell>
          <cell r="AR102">
            <v>510</v>
          </cell>
          <cell r="AS102">
            <v>510</v>
          </cell>
          <cell r="AT102">
            <v>510</v>
          </cell>
          <cell r="AU102">
            <v>510</v>
          </cell>
          <cell r="AX102">
            <v>510</v>
          </cell>
          <cell r="AY102">
            <v>510</v>
          </cell>
          <cell r="AZ102">
            <v>510</v>
          </cell>
          <cell r="BA102">
            <v>510</v>
          </cell>
          <cell r="BD102">
            <v>510</v>
          </cell>
          <cell r="BE102">
            <v>0</v>
          </cell>
          <cell r="BF102">
            <v>0</v>
          </cell>
          <cell r="BG102">
            <v>0</v>
          </cell>
          <cell r="BJ102">
            <v>0</v>
          </cell>
          <cell r="BK102">
            <v>0</v>
          </cell>
          <cell r="BL102">
            <v>0</v>
          </cell>
          <cell r="BM102">
            <v>0</v>
          </cell>
          <cell r="BP102">
            <v>0</v>
          </cell>
          <cell r="BQ102">
            <v>0</v>
          </cell>
          <cell r="BR102">
            <v>0</v>
          </cell>
          <cell r="BS102">
            <v>0</v>
          </cell>
          <cell r="BV102">
            <v>0</v>
          </cell>
          <cell r="BW102">
            <v>0</v>
          </cell>
          <cell r="BX102">
            <v>0</v>
          </cell>
          <cell r="BY102">
            <v>0</v>
          </cell>
          <cell r="CB102">
            <v>0</v>
          </cell>
          <cell r="CC102">
            <v>0</v>
          </cell>
          <cell r="CD102">
            <v>0</v>
          </cell>
          <cell r="CE102">
            <v>0</v>
          </cell>
          <cell r="CH102">
            <v>0</v>
          </cell>
          <cell r="CI102">
            <v>0</v>
          </cell>
          <cell r="CJ102">
            <v>0</v>
          </cell>
          <cell r="CK102">
            <v>0</v>
          </cell>
        </row>
        <row r="103">
          <cell r="A103" t="str">
            <v xml:space="preserve">                    Quarterly Distributions</v>
          </cell>
          <cell r="T103">
            <v>22.524999999999999</v>
          </cell>
          <cell r="U103">
            <v>506.8125</v>
          </cell>
          <cell r="V103">
            <v>506.8125</v>
          </cell>
          <cell r="W103">
            <v>506.8125</v>
          </cell>
          <cell r="Z103">
            <v>510</v>
          </cell>
          <cell r="AA103">
            <v>510</v>
          </cell>
          <cell r="AB103">
            <v>510</v>
          </cell>
          <cell r="AC103">
            <v>510</v>
          </cell>
          <cell r="AF103">
            <v>510</v>
          </cell>
          <cell r="AG103">
            <v>510</v>
          </cell>
          <cell r="AH103">
            <v>510</v>
          </cell>
          <cell r="AI103">
            <v>510</v>
          </cell>
          <cell r="AL103">
            <v>510</v>
          </cell>
          <cell r="AM103">
            <v>510</v>
          </cell>
          <cell r="AN103">
            <v>510</v>
          </cell>
          <cell r="AO103">
            <v>510</v>
          </cell>
          <cell r="AR103">
            <v>510</v>
          </cell>
          <cell r="AS103">
            <v>510</v>
          </cell>
          <cell r="AT103">
            <v>510</v>
          </cell>
          <cell r="AU103">
            <v>510</v>
          </cell>
          <cell r="AX103">
            <v>510</v>
          </cell>
          <cell r="AY103">
            <v>510</v>
          </cell>
          <cell r="AZ103">
            <v>510</v>
          </cell>
          <cell r="BA103">
            <v>510</v>
          </cell>
          <cell r="BD103">
            <v>510</v>
          </cell>
          <cell r="BE103">
            <v>0</v>
          </cell>
          <cell r="BF103">
            <v>0</v>
          </cell>
          <cell r="BG103">
            <v>0</v>
          </cell>
          <cell r="BJ103">
            <v>0</v>
          </cell>
          <cell r="BK103">
            <v>0</v>
          </cell>
          <cell r="BL103">
            <v>0</v>
          </cell>
          <cell r="BM103">
            <v>0</v>
          </cell>
          <cell r="BP103">
            <v>0</v>
          </cell>
          <cell r="BQ103">
            <v>0</v>
          </cell>
          <cell r="BR103">
            <v>0</v>
          </cell>
          <cell r="BS103">
            <v>0</v>
          </cell>
          <cell r="BV103">
            <v>0</v>
          </cell>
          <cell r="BW103">
            <v>0</v>
          </cell>
          <cell r="BX103">
            <v>0</v>
          </cell>
          <cell r="BY103">
            <v>0</v>
          </cell>
          <cell r="CB103">
            <v>0</v>
          </cell>
          <cell r="CC103">
            <v>0</v>
          </cell>
          <cell r="CD103">
            <v>0</v>
          </cell>
          <cell r="CE103">
            <v>0</v>
          </cell>
          <cell r="CH103">
            <v>0</v>
          </cell>
          <cell r="CI103">
            <v>0</v>
          </cell>
          <cell r="CJ103">
            <v>0</v>
          </cell>
          <cell r="CK103">
            <v>0</v>
          </cell>
        </row>
        <row r="105">
          <cell r="A105" t="str">
            <v>Series J Preferred Unit Face Value</v>
          </cell>
          <cell r="V105">
            <v>40000</v>
          </cell>
          <cell r="W105">
            <v>40000</v>
          </cell>
          <cell r="Z105">
            <v>40000</v>
          </cell>
          <cell r="AA105">
            <v>40000</v>
          </cell>
          <cell r="AB105">
            <v>40000</v>
          </cell>
          <cell r="AC105">
            <v>40000</v>
          </cell>
          <cell r="AF105">
            <v>40000</v>
          </cell>
          <cell r="AG105">
            <v>40000</v>
          </cell>
          <cell r="AH105">
            <v>40000</v>
          </cell>
          <cell r="AI105">
            <v>40000</v>
          </cell>
          <cell r="AL105">
            <v>40000</v>
          </cell>
          <cell r="AM105">
            <v>40000</v>
          </cell>
          <cell r="AN105">
            <v>40000</v>
          </cell>
          <cell r="AO105">
            <v>40000</v>
          </cell>
          <cell r="AR105">
            <v>40000</v>
          </cell>
          <cell r="AS105">
            <v>40000</v>
          </cell>
          <cell r="AT105">
            <v>40000</v>
          </cell>
          <cell r="AU105">
            <v>40000</v>
          </cell>
          <cell r="AX105">
            <v>40000</v>
          </cell>
          <cell r="AY105">
            <v>40000</v>
          </cell>
          <cell r="AZ105">
            <v>40000</v>
          </cell>
          <cell r="BA105">
            <v>40000</v>
          </cell>
          <cell r="BD105">
            <v>40000</v>
          </cell>
          <cell r="BE105">
            <v>0</v>
          </cell>
          <cell r="BF105">
            <v>0</v>
          </cell>
          <cell r="BG105">
            <v>0</v>
          </cell>
          <cell r="BJ105">
            <v>0</v>
          </cell>
          <cell r="BK105">
            <v>0</v>
          </cell>
          <cell r="BL105">
            <v>0</v>
          </cell>
          <cell r="BM105">
            <v>0</v>
          </cell>
          <cell r="BP105">
            <v>0</v>
          </cell>
          <cell r="BQ105">
            <v>0</v>
          </cell>
          <cell r="BR105">
            <v>0</v>
          </cell>
          <cell r="BS105">
            <v>0</v>
          </cell>
          <cell r="BV105">
            <v>0</v>
          </cell>
          <cell r="BW105">
            <v>0</v>
          </cell>
          <cell r="BX105">
            <v>0</v>
          </cell>
          <cell r="BY105">
            <v>0</v>
          </cell>
          <cell r="CB105">
            <v>0</v>
          </cell>
          <cell r="CC105">
            <v>0</v>
          </cell>
          <cell r="CD105">
            <v>0</v>
          </cell>
          <cell r="CE105">
            <v>0</v>
          </cell>
          <cell r="CH105">
            <v>0</v>
          </cell>
          <cell r="CI105">
            <v>0</v>
          </cell>
          <cell r="CJ105">
            <v>0</v>
          </cell>
          <cell r="CK105">
            <v>0</v>
          </cell>
        </row>
        <row r="106">
          <cell r="A106" t="str">
            <v>Series J Preferred Unit Distribution</v>
          </cell>
          <cell r="V106">
            <v>9.9374999999999991E-2</v>
          </cell>
          <cell r="W106">
            <v>0.99375000000000002</v>
          </cell>
          <cell r="Z106">
            <v>0.99399999999999999</v>
          </cell>
          <cell r="AA106">
            <v>0.99399999999999999</v>
          </cell>
          <cell r="AB106">
            <v>0.99399999999999999</v>
          </cell>
          <cell r="AC106">
            <v>0.99399999999999999</v>
          </cell>
          <cell r="AD106">
            <v>3.976</v>
          </cell>
          <cell r="AF106">
            <v>0.99399999999999999</v>
          </cell>
          <cell r="AG106">
            <v>0.99399999999999999</v>
          </cell>
          <cell r="AH106">
            <v>0.99399999999999999</v>
          </cell>
          <cell r="AI106">
            <v>0.99399999999999999</v>
          </cell>
          <cell r="AL106">
            <v>0.99399999999999999</v>
          </cell>
          <cell r="AM106">
            <v>0.99399999999999999</v>
          </cell>
          <cell r="AN106">
            <v>0.99399999999999999</v>
          </cell>
          <cell r="AO106">
            <v>0.99399999999999999</v>
          </cell>
          <cell r="AR106">
            <v>0.99399999999999999</v>
          </cell>
          <cell r="AS106">
            <v>0.99399999999999999</v>
          </cell>
          <cell r="AT106">
            <v>0.99399999999999999</v>
          </cell>
          <cell r="AU106">
            <v>0.99399999999999999</v>
          </cell>
          <cell r="AX106">
            <v>0.99399999999999999</v>
          </cell>
          <cell r="AY106">
            <v>0.99399999999999999</v>
          </cell>
          <cell r="AZ106">
            <v>0.99399999999999999</v>
          </cell>
          <cell r="BA106">
            <v>0.99399999999999999</v>
          </cell>
          <cell r="BD106">
            <v>0.99399999999999999</v>
          </cell>
          <cell r="BE106">
            <v>0</v>
          </cell>
          <cell r="BF106">
            <v>0</v>
          </cell>
          <cell r="BG106">
            <v>0</v>
          </cell>
          <cell r="BJ106">
            <v>0</v>
          </cell>
          <cell r="BK106">
            <v>0</v>
          </cell>
          <cell r="BL106">
            <v>0</v>
          </cell>
          <cell r="BM106">
            <v>0</v>
          </cell>
          <cell r="BP106">
            <v>0</v>
          </cell>
          <cell r="BQ106">
            <v>0</v>
          </cell>
          <cell r="BR106">
            <v>0</v>
          </cell>
          <cell r="BS106">
            <v>0</v>
          </cell>
          <cell r="BV106">
            <v>0</v>
          </cell>
          <cell r="BW106">
            <v>0</v>
          </cell>
          <cell r="BX106">
            <v>0</v>
          </cell>
          <cell r="BY106">
            <v>0</v>
          </cell>
          <cell r="CB106">
            <v>0</v>
          </cell>
          <cell r="CC106">
            <v>0</v>
          </cell>
          <cell r="CD106">
            <v>0</v>
          </cell>
          <cell r="CE106">
            <v>0</v>
          </cell>
          <cell r="CH106">
            <v>0</v>
          </cell>
          <cell r="CI106">
            <v>0</v>
          </cell>
          <cell r="CJ106">
            <v>0</v>
          </cell>
          <cell r="CK106">
            <v>0</v>
          </cell>
        </row>
        <row r="107">
          <cell r="A107" t="str">
            <v>Units Issued</v>
          </cell>
          <cell r="V107">
            <v>800</v>
          </cell>
          <cell r="W107">
            <v>800</v>
          </cell>
          <cell r="Z107">
            <v>923.54124748490949</v>
          </cell>
          <cell r="AA107">
            <v>923.54124748490949</v>
          </cell>
          <cell r="AB107">
            <v>923.54124748490949</v>
          </cell>
          <cell r="AC107">
            <v>923.54124748490949</v>
          </cell>
          <cell r="AF107">
            <v>923.54124748490949</v>
          </cell>
          <cell r="AG107">
            <v>923.54124748490949</v>
          </cell>
          <cell r="AH107">
            <v>923.54124748490949</v>
          </cell>
          <cell r="AI107">
            <v>923.54124748490949</v>
          </cell>
          <cell r="AL107">
            <v>923.54124748490949</v>
          </cell>
          <cell r="AM107">
            <v>923.54124748490949</v>
          </cell>
          <cell r="AN107">
            <v>923.54124748490949</v>
          </cell>
          <cell r="AO107">
            <v>923.54124748490949</v>
          </cell>
          <cell r="AR107">
            <v>923.54124748490949</v>
          </cell>
          <cell r="AS107">
            <v>923.54124748490949</v>
          </cell>
          <cell r="AT107">
            <v>923.54124748490949</v>
          </cell>
          <cell r="AU107">
            <v>923.54124748490949</v>
          </cell>
          <cell r="AX107">
            <v>923.54124748490949</v>
          </cell>
          <cell r="AY107">
            <v>923.54124748490949</v>
          </cell>
          <cell r="AZ107">
            <v>923.54124748490949</v>
          </cell>
          <cell r="BA107">
            <v>923.54124748490949</v>
          </cell>
          <cell r="BD107">
            <v>923.54124748490949</v>
          </cell>
          <cell r="BE107">
            <v>0</v>
          </cell>
          <cell r="BF107">
            <v>0</v>
          </cell>
          <cell r="BG107">
            <v>0</v>
          </cell>
          <cell r="BJ107">
            <v>0</v>
          </cell>
          <cell r="BK107">
            <v>0</v>
          </cell>
          <cell r="BL107">
            <v>0</v>
          </cell>
          <cell r="BM107">
            <v>0</v>
          </cell>
          <cell r="BP107">
            <v>0</v>
          </cell>
          <cell r="BQ107">
            <v>0</v>
          </cell>
          <cell r="BR107">
            <v>0</v>
          </cell>
          <cell r="BS107">
            <v>0</v>
          </cell>
          <cell r="BV107">
            <v>0</v>
          </cell>
          <cell r="BW107">
            <v>0</v>
          </cell>
          <cell r="BX107">
            <v>0</v>
          </cell>
          <cell r="BY107">
            <v>0</v>
          </cell>
          <cell r="CB107">
            <v>0</v>
          </cell>
          <cell r="CC107">
            <v>0</v>
          </cell>
          <cell r="CD107">
            <v>0</v>
          </cell>
          <cell r="CE107">
            <v>0</v>
          </cell>
          <cell r="CH107">
            <v>0</v>
          </cell>
          <cell r="CI107">
            <v>0</v>
          </cell>
          <cell r="CJ107">
            <v>0</v>
          </cell>
          <cell r="CK107">
            <v>0</v>
          </cell>
        </row>
        <row r="108">
          <cell r="A108" t="str">
            <v xml:space="preserve">                    Quarterly Distributions</v>
          </cell>
          <cell r="V108">
            <v>79.5</v>
          </cell>
          <cell r="W108">
            <v>795</v>
          </cell>
          <cell r="Z108">
            <v>918</v>
          </cell>
          <cell r="AA108">
            <v>918</v>
          </cell>
          <cell r="AB108">
            <v>918</v>
          </cell>
          <cell r="AC108">
            <v>918</v>
          </cell>
          <cell r="AF108">
            <v>918</v>
          </cell>
          <cell r="AG108">
            <v>918</v>
          </cell>
          <cell r="AH108">
            <v>918</v>
          </cell>
          <cell r="AI108">
            <v>918</v>
          </cell>
          <cell r="AL108">
            <v>918</v>
          </cell>
          <cell r="AM108">
            <v>918</v>
          </cell>
          <cell r="AN108">
            <v>918</v>
          </cell>
          <cell r="AO108">
            <v>918</v>
          </cell>
          <cell r="AR108">
            <v>918</v>
          </cell>
          <cell r="AS108">
            <v>918</v>
          </cell>
          <cell r="AT108">
            <v>918</v>
          </cell>
          <cell r="AU108">
            <v>918</v>
          </cell>
          <cell r="AX108">
            <v>918</v>
          </cell>
          <cell r="AY108">
            <v>918</v>
          </cell>
          <cell r="AZ108">
            <v>918</v>
          </cell>
          <cell r="BA108">
            <v>918</v>
          </cell>
          <cell r="BD108">
            <v>918</v>
          </cell>
          <cell r="BE108">
            <v>0</v>
          </cell>
          <cell r="BF108">
            <v>0</v>
          </cell>
          <cell r="BG108">
            <v>0</v>
          </cell>
          <cell r="BJ108">
            <v>0</v>
          </cell>
          <cell r="BK108">
            <v>0</v>
          </cell>
          <cell r="BL108">
            <v>0</v>
          </cell>
          <cell r="BM108">
            <v>0</v>
          </cell>
          <cell r="BP108">
            <v>0</v>
          </cell>
          <cell r="BQ108">
            <v>0</v>
          </cell>
          <cell r="BR108">
            <v>0</v>
          </cell>
          <cell r="BS108">
            <v>0</v>
          </cell>
          <cell r="BV108">
            <v>0</v>
          </cell>
          <cell r="BW108">
            <v>0</v>
          </cell>
          <cell r="BX108">
            <v>0</v>
          </cell>
          <cell r="BY108">
            <v>0</v>
          </cell>
          <cell r="CB108">
            <v>0</v>
          </cell>
          <cell r="CC108">
            <v>0</v>
          </cell>
          <cell r="CD108">
            <v>0</v>
          </cell>
          <cell r="CE108">
            <v>0</v>
          </cell>
          <cell r="CH108">
            <v>0</v>
          </cell>
          <cell r="CI108">
            <v>0</v>
          </cell>
          <cell r="CJ108">
            <v>0</v>
          </cell>
          <cell r="CK108">
            <v>0</v>
          </cell>
        </row>
        <row r="110">
          <cell r="A110" t="str">
            <v>Series K Preferred Unit Face Value</v>
          </cell>
          <cell r="AA110">
            <v>40000</v>
          </cell>
          <cell r="AB110">
            <v>40000</v>
          </cell>
          <cell r="AC110">
            <v>40000</v>
          </cell>
          <cell r="AF110">
            <v>40000</v>
          </cell>
          <cell r="AG110">
            <v>40000</v>
          </cell>
          <cell r="AH110">
            <v>40000</v>
          </cell>
          <cell r="AI110">
            <v>40000</v>
          </cell>
          <cell r="AL110">
            <v>40000</v>
          </cell>
          <cell r="AM110">
            <v>40000</v>
          </cell>
          <cell r="AN110">
            <v>40000</v>
          </cell>
          <cell r="AO110">
            <v>40000</v>
          </cell>
          <cell r="AR110">
            <v>40000</v>
          </cell>
          <cell r="AS110">
            <v>40000</v>
          </cell>
          <cell r="AT110">
            <v>40000</v>
          </cell>
          <cell r="AU110">
            <v>40000</v>
          </cell>
          <cell r="AX110">
            <v>40000</v>
          </cell>
          <cell r="AY110">
            <v>40000</v>
          </cell>
          <cell r="AZ110">
            <v>40000</v>
          </cell>
          <cell r="BA110">
            <v>40000</v>
          </cell>
          <cell r="BD110">
            <v>40000</v>
          </cell>
          <cell r="BE110">
            <v>0</v>
          </cell>
          <cell r="BF110">
            <v>0</v>
          </cell>
          <cell r="BG110">
            <v>0</v>
          </cell>
          <cell r="BJ110">
            <v>0</v>
          </cell>
          <cell r="BK110">
            <v>0</v>
          </cell>
          <cell r="BL110">
            <v>0</v>
          </cell>
          <cell r="BM110">
            <v>0</v>
          </cell>
          <cell r="BP110">
            <v>0</v>
          </cell>
          <cell r="BQ110">
            <v>0</v>
          </cell>
          <cell r="BR110">
            <v>0</v>
          </cell>
          <cell r="BS110">
            <v>0</v>
          </cell>
          <cell r="BV110">
            <v>0</v>
          </cell>
          <cell r="BW110">
            <v>0</v>
          </cell>
          <cell r="BX110">
            <v>0</v>
          </cell>
          <cell r="BY110">
            <v>0</v>
          </cell>
          <cell r="CB110">
            <v>0</v>
          </cell>
          <cell r="CC110">
            <v>0</v>
          </cell>
          <cell r="CD110">
            <v>0</v>
          </cell>
          <cell r="CE110">
            <v>0</v>
          </cell>
          <cell r="CH110">
            <v>0</v>
          </cell>
          <cell r="CI110">
            <v>0</v>
          </cell>
          <cell r="CJ110">
            <v>0</v>
          </cell>
          <cell r="CK110">
            <v>0</v>
          </cell>
        </row>
        <row r="111">
          <cell r="A111" t="str">
            <v>Series K Preferred Unit Distribution</v>
          </cell>
          <cell r="AA111">
            <v>0.73979166666666663</v>
          </cell>
          <cell r="AB111">
            <v>0.99375000000000002</v>
          </cell>
          <cell r="AC111">
            <v>0.99375000000000002</v>
          </cell>
          <cell r="AD111">
            <v>2.7272916666666664</v>
          </cell>
          <cell r="AF111">
            <v>0.99375000000000002</v>
          </cell>
          <cell r="AG111">
            <v>0.99375000000000002</v>
          </cell>
          <cell r="AH111">
            <v>0.99375000000000002</v>
          </cell>
          <cell r="AI111">
            <v>0.99375000000000002</v>
          </cell>
          <cell r="AL111">
            <v>0.99375000000000002</v>
          </cell>
          <cell r="AM111">
            <v>0.99375000000000002</v>
          </cell>
          <cell r="AN111">
            <v>0.99375000000000002</v>
          </cell>
          <cell r="AO111">
            <v>0.99375000000000002</v>
          </cell>
          <cell r="AR111">
            <v>0.99375000000000002</v>
          </cell>
          <cell r="AS111">
            <v>0.99375000000000002</v>
          </cell>
          <cell r="AT111">
            <v>0.99375000000000002</v>
          </cell>
          <cell r="AU111">
            <v>0.99375000000000002</v>
          </cell>
          <cell r="AX111">
            <v>0.99375000000000002</v>
          </cell>
          <cell r="AY111">
            <v>0.99375000000000002</v>
          </cell>
          <cell r="AZ111">
            <v>0.99375000000000002</v>
          </cell>
          <cell r="BA111">
            <v>0.99375000000000002</v>
          </cell>
          <cell r="BD111">
            <v>0.99375000000000002</v>
          </cell>
          <cell r="BE111">
            <v>0.99375000000000002</v>
          </cell>
          <cell r="BF111">
            <v>0.99375000000000002</v>
          </cell>
          <cell r="BG111">
            <v>0.99375000000000002</v>
          </cell>
          <cell r="BJ111">
            <v>0.99375000000000002</v>
          </cell>
          <cell r="BK111">
            <v>0.99375000000000002</v>
          </cell>
          <cell r="BL111">
            <v>0.99375000000000002</v>
          </cell>
          <cell r="BM111">
            <v>0.99375000000000002</v>
          </cell>
          <cell r="BP111">
            <v>0.99375000000000002</v>
          </cell>
          <cell r="BQ111">
            <v>0.99375000000000002</v>
          </cell>
          <cell r="BR111">
            <v>0.99375000000000002</v>
          </cell>
          <cell r="BS111">
            <v>0.99375000000000002</v>
          </cell>
          <cell r="BV111">
            <v>0.99375000000000002</v>
          </cell>
          <cell r="BW111">
            <v>0.99375000000000002</v>
          </cell>
          <cell r="BX111">
            <v>0.99375000000000002</v>
          </cell>
          <cell r="BY111">
            <v>0.99375000000000002</v>
          </cell>
          <cell r="CB111">
            <v>0.99375000000000002</v>
          </cell>
          <cell r="CC111">
            <v>0.99375000000000002</v>
          </cell>
          <cell r="CD111">
            <v>0.99375000000000002</v>
          </cell>
          <cell r="CE111">
            <v>0.99375000000000002</v>
          </cell>
          <cell r="CH111">
            <v>0.99375000000000002</v>
          </cell>
          <cell r="CI111">
            <v>0.99375000000000002</v>
          </cell>
          <cell r="CJ111">
            <v>0.99375000000000002</v>
          </cell>
          <cell r="CK111">
            <v>0.99375000000000002</v>
          </cell>
        </row>
        <row r="112">
          <cell r="A112" t="str">
            <v>Units Issued</v>
          </cell>
          <cell r="AA112">
            <v>800</v>
          </cell>
          <cell r="AB112">
            <v>800</v>
          </cell>
          <cell r="AC112">
            <v>800</v>
          </cell>
          <cell r="AF112">
            <v>800</v>
          </cell>
          <cell r="AG112">
            <v>800</v>
          </cell>
          <cell r="AH112">
            <v>800</v>
          </cell>
          <cell r="AI112">
            <v>800</v>
          </cell>
          <cell r="AL112">
            <v>800</v>
          </cell>
          <cell r="AM112">
            <v>800</v>
          </cell>
          <cell r="AN112">
            <v>800</v>
          </cell>
          <cell r="AO112">
            <v>800</v>
          </cell>
          <cell r="AR112">
            <v>800</v>
          </cell>
          <cell r="AS112">
            <v>800</v>
          </cell>
          <cell r="AT112">
            <v>800</v>
          </cell>
          <cell r="AU112">
            <v>800</v>
          </cell>
          <cell r="AX112">
            <v>800</v>
          </cell>
          <cell r="AY112">
            <v>800</v>
          </cell>
          <cell r="AZ112">
            <v>800</v>
          </cell>
          <cell r="BA112">
            <v>800</v>
          </cell>
          <cell r="BD112">
            <v>800</v>
          </cell>
          <cell r="BE112">
            <v>0</v>
          </cell>
          <cell r="BF112">
            <v>0</v>
          </cell>
          <cell r="BG112">
            <v>0</v>
          </cell>
          <cell r="BJ112">
            <v>0</v>
          </cell>
          <cell r="BK112">
            <v>0</v>
          </cell>
          <cell r="BL112">
            <v>0</v>
          </cell>
          <cell r="BM112">
            <v>0</v>
          </cell>
          <cell r="BP112">
            <v>0</v>
          </cell>
          <cell r="BQ112">
            <v>0</v>
          </cell>
          <cell r="BR112">
            <v>0</v>
          </cell>
          <cell r="BS112">
            <v>0</v>
          </cell>
          <cell r="BV112">
            <v>0</v>
          </cell>
          <cell r="BW112">
            <v>0</v>
          </cell>
          <cell r="BX112">
            <v>0</v>
          </cell>
          <cell r="BY112">
            <v>0</v>
          </cell>
          <cell r="CB112">
            <v>0</v>
          </cell>
          <cell r="CC112">
            <v>0</v>
          </cell>
          <cell r="CD112">
            <v>0</v>
          </cell>
          <cell r="CE112">
            <v>0</v>
          </cell>
          <cell r="CH112">
            <v>0</v>
          </cell>
          <cell r="CI112">
            <v>0</v>
          </cell>
          <cell r="CJ112">
            <v>0</v>
          </cell>
          <cell r="CK112">
            <v>0</v>
          </cell>
        </row>
        <row r="113">
          <cell r="A113" t="str">
            <v xml:space="preserve">                    Quarterly Distributions</v>
          </cell>
          <cell r="AA113">
            <v>591.83333333333326</v>
          </cell>
          <cell r="AB113">
            <v>795</v>
          </cell>
          <cell r="AC113">
            <v>795</v>
          </cell>
          <cell r="AF113">
            <v>795</v>
          </cell>
          <cell r="AG113">
            <v>795</v>
          </cell>
          <cell r="AH113">
            <v>795</v>
          </cell>
          <cell r="AI113">
            <v>795</v>
          </cell>
          <cell r="AL113">
            <v>795</v>
          </cell>
          <cell r="AM113">
            <v>795</v>
          </cell>
          <cell r="AN113">
            <v>795</v>
          </cell>
          <cell r="AO113">
            <v>795</v>
          </cell>
          <cell r="AR113">
            <v>795</v>
          </cell>
          <cell r="AS113">
            <v>795</v>
          </cell>
          <cell r="AT113">
            <v>795</v>
          </cell>
          <cell r="AU113">
            <v>795</v>
          </cell>
          <cell r="AX113">
            <v>795</v>
          </cell>
          <cell r="AY113">
            <v>795</v>
          </cell>
          <cell r="AZ113">
            <v>795</v>
          </cell>
          <cell r="BA113">
            <v>795</v>
          </cell>
          <cell r="BD113">
            <v>795</v>
          </cell>
          <cell r="BE113">
            <v>0</v>
          </cell>
          <cell r="BF113">
            <v>0</v>
          </cell>
          <cell r="BG113">
            <v>0</v>
          </cell>
          <cell r="BJ113">
            <v>0</v>
          </cell>
          <cell r="BK113">
            <v>0</v>
          </cell>
          <cell r="BL113">
            <v>0</v>
          </cell>
          <cell r="BM113">
            <v>0</v>
          </cell>
          <cell r="BP113">
            <v>0</v>
          </cell>
          <cell r="BQ113">
            <v>0</v>
          </cell>
          <cell r="BR113">
            <v>0</v>
          </cell>
          <cell r="BS113">
            <v>0</v>
          </cell>
          <cell r="BV113">
            <v>0</v>
          </cell>
          <cell r="BW113">
            <v>0</v>
          </cell>
          <cell r="BX113">
            <v>0</v>
          </cell>
          <cell r="BY113">
            <v>0</v>
          </cell>
          <cell r="CB113">
            <v>0</v>
          </cell>
          <cell r="CC113">
            <v>0</v>
          </cell>
          <cell r="CD113">
            <v>0</v>
          </cell>
          <cell r="CE113">
            <v>0</v>
          </cell>
          <cell r="CH113">
            <v>0</v>
          </cell>
          <cell r="CI113">
            <v>0</v>
          </cell>
          <cell r="CJ113">
            <v>0</v>
          </cell>
          <cell r="CK113">
            <v>0</v>
          </cell>
        </row>
        <row r="115">
          <cell r="A115" t="str">
            <v>Series N Preferred Unit Face Value</v>
          </cell>
          <cell r="AN115">
            <v>36479</v>
          </cell>
          <cell r="AO115">
            <v>36479</v>
          </cell>
          <cell r="AR115">
            <v>36479</v>
          </cell>
          <cell r="AS115">
            <v>36479</v>
          </cell>
          <cell r="AT115">
            <v>36479</v>
          </cell>
          <cell r="AU115">
            <v>36479</v>
          </cell>
          <cell r="AY115">
            <v>0</v>
          </cell>
          <cell r="AZ115">
            <v>0</v>
          </cell>
          <cell r="BA115">
            <v>0</v>
          </cell>
          <cell r="BD115">
            <v>0</v>
          </cell>
          <cell r="BE115">
            <v>0</v>
          </cell>
          <cell r="BF115">
            <v>0</v>
          </cell>
          <cell r="BG115">
            <v>0</v>
          </cell>
          <cell r="BJ115">
            <v>0</v>
          </cell>
          <cell r="BK115">
            <v>0</v>
          </cell>
          <cell r="BL115">
            <v>0</v>
          </cell>
          <cell r="BM115">
            <v>0</v>
          </cell>
          <cell r="BP115">
            <v>0</v>
          </cell>
          <cell r="BQ115">
            <v>0</v>
          </cell>
          <cell r="BR115">
            <v>0</v>
          </cell>
          <cell r="BS115">
            <v>0</v>
          </cell>
          <cell r="BV115">
            <v>0</v>
          </cell>
          <cell r="BW115">
            <v>0</v>
          </cell>
          <cell r="BX115">
            <v>0</v>
          </cell>
          <cell r="BY115">
            <v>0</v>
          </cell>
          <cell r="CB115">
            <v>0</v>
          </cell>
          <cell r="CC115">
            <v>0</v>
          </cell>
          <cell r="CD115">
            <v>0</v>
          </cell>
          <cell r="CE115">
            <v>0</v>
          </cell>
          <cell r="CH115">
            <v>0</v>
          </cell>
          <cell r="CI115">
            <v>0</v>
          </cell>
          <cell r="CJ115">
            <v>0</v>
          </cell>
          <cell r="CK115">
            <v>0</v>
          </cell>
        </row>
        <row r="116">
          <cell r="A116" t="str">
            <v>Series N Preferred Unit Distribution</v>
          </cell>
          <cell r="AN116">
            <v>0.625</v>
          </cell>
          <cell r="AO116">
            <v>0.625</v>
          </cell>
          <cell r="AR116">
            <v>0.625</v>
          </cell>
          <cell r="AS116">
            <v>0.625</v>
          </cell>
          <cell r="AT116">
            <v>0.625</v>
          </cell>
          <cell r="AU116">
            <v>0.625</v>
          </cell>
          <cell r="AX116">
            <v>0.625</v>
          </cell>
          <cell r="AY116">
            <v>0.625</v>
          </cell>
          <cell r="AZ116">
            <v>0.625</v>
          </cell>
          <cell r="BA116">
            <v>0.625</v>
          </cell>
          <cell r="BD116">
            <v>0.625</v>
          </cell>
          <cell r="BE116">
            <v>0.625</v>
          </cell>
          <cell r="BF116">
            <v>0.625</v>
          </cell>
          <cell r="BG116">
            <v>0.625</v>
          </cell>
          <cell r="BJ116">
            <v>0.625</v>
          </cell>
          <cell r="BK116">
            <v>0.625</v>
          </cell>
          <cell r="BL116">
            <v>0.625</v>
          </cell>
          <cell r="BM116">
            <v>0.625</v>
          </cell>
          <cell r="BP116">
            <v>0.625</v>
          </cell>
          <cell r="BQ116">
            <v>0.625</v>
          </cell>
          <cell r="BR116">
            <v>0.625</v>
          </cell>
          <cell r="BS116">
            <v>0.625</v>
          </cell>
          <cell r="BV116">
            <v>0.625</v>
          </cell>
          <cell r="BW116">
            <v>0.625</v>
          </cell>
          <cell r="BX116">
            <v>0.625</v>
          </cell>
          <cell r="BY116">
            <v>0.625</v>
          </cell>
          <cell r="CB116">
            <v>0.625</v>
          </cell>
          <cell r="CC116">
            <v>0.625</v>
          </cell>
          <cell r="CD116">
            <v>0.625</v>
          </cell>
          <cell r="CE116">
            <v>0.625</v>
          </cell>
          <cell r="CH116">
            <v>0.625</v>
          </cell>
          <cell r="CI116">
            <v>0.625</v>
          </cell>
          <cell r="CJ116">
            <v>0.625</v>
          </cell>
          <cell r="CK116">
            <v>0.625</v>
          </cell>
        </row>
        <row r="117">
          <cell r="A117" t="str">
            <v>Units Issued</v>
          </cell>
          <cell r="AN117">
            <v>729.58</v>
          </cell>
          <cell r="AO117">
            <v>729.58</v>
          </cell>
          <cell r="AR117">
            <v>729.58</v>
          </cell>
          <cell r="AS117">
            <v>729.58</v>
          </cell>
          <cell r="AT117">
            <v>729.58</v>
          </cell>
          <cell r="AU117">
            <v>729.58</v>
          </cell>
          <cell r="AX117">
            <v>0</v>
          </cell>
          <cell r="AY117">
            <v>0</v>
          </cell>
          <cell r="AZ117">
            <v>0</v>
          </cell>
          <cell r="BA117">
            <v>0</v>
          </cell>
          <cell r="BD117">
            <v>0</v>
          </cell>
          <cell r="BE117">
            <v>0</v>
          </cell>
          <cell r="BF117">
            <v>0</v>
          </cell>
          <cell r="BG117">
            <v>0</v>
          </cell>
          <cell r="BJ117">
            <v>0</v>
          </cell>
          <cell r="BK117">
            <v>0</v>
          </cell>
          <cell r="BL117">
            <v>0</v>
          </cell>
          <cell r="BM117">
            <v>0</v>
          </cell>
          <cell r="BP117">
            <v>0</v>
          </cell>
          <cell r="BQ117">
            <v>0</v>
          </cell>
          <cell r="BR117">
            <v>0</v>
          </cell>
          <cell r="BS117">
            <v>0</v>
          </cell>
          <cell r="BV117">
            <v>0</v>
          </cell>
          <cell r="BW117">
            <v>0</v>
          </cell>
          <cell r="BX117">
            <v>0</v>
          </cell>
          <cell r="BY117">
            <v>0</v>
          </cell>
          <cell r="CB117">
            <v>0</v>
          </cell>
          <cell r="CC117">
            <v>0</v>
          </cell>
          <cell r="CD117">
            <v>0</v>
          </cell>
          <cell r="CE117">
            <v>0</v>
          </cell>
          <cell r="CH117">
            <v>0</v>
          </cell>
          <cell r="CI117">
            <v>0</v>
          </cell>
          <cell r="CJ117">
            <v>0</v>
          </cell>
          <cell r="CK117">
            <v>0</v>
          </cell>
        </row>
        <row r="118">
          <cell r="A118" t="str">
            <v xml:space="preserve">                    Quarterly Distributions</v>
          </cell>
          <cell r="AN118">
            <v>455.98750000000001</v>
          </cell>
          <cell r="AO118">
            <v>455.98750000000001</v>
          </cell>
          <cell r="AR118">
            <v>455.98750000000001</v>
          </cell>
          <cell r="AS118">
            <v>455.98750000000001</v>
          </cell>
          <cell r="AT118">
            <v>455.98750000000001</v>
          </cell>
          <cell r="AU118">
            <v>455.98750000000001</v>
          </cell>
          <cell r="AX118">
            <v>0</v>
          </cell>
          <cell r="AY118">
            <v>0</v>
          </cell>
          <cell r="AZ118">
            <v>0</v>
          </cell>
          <cell r="BA118">
            <v>0</v>
          </cell>
          <cell r="BD118">
            <v>0</v>
          </cell>
          <cell r="BE118">
            <v>0</v>
          </cell>
          <cell r="BF118">
            <v>0</v>
          </cell>
          <cell r="BG118">
            <v>0</v>
          </cell>
          <cell r="BJ118">
            <v>0</v>
          </cell>
          <cell r="BK118">
            <v>0</v>
          </cell>
          <cell r="BL118">
            <v>0</v>
          </cell>
          <cell r="BM118">
            <v>0</v>
          </cell>
          <cell r="BP118">
            <v>0</v>
          </cell>
          <cell r="BQ118">
            <v>0</v>
          </cell>
          <cell r="BR118">
            <v>0</v>
          </cell>
          <cell r="BS118">
            <v>0</v>
          </cell>
          <cell r="BV118">
            <v>0</v>
          </cell>
          <cell r="BW118">
            <v>0</v>
          </cell>
          <cell r="BX118">
            <v>0</v>
          </cell>
          <cell r="BY118">
            <v>0</v>
          </cell>
          <cell r="CB118">
            <v>0</v>
          </cell>
          <cell r="CC118">
            <v>0</v>
          </cell>
          <cell r="CD118">
            <v>0</v>
          </cell>
          <cell r="CE118">
            <v>0</v>
          </cell>
          <cell r="CH118">
            <v>0</v>
          </cell>
          <cell r="CI118">
            <v>0</v>
          </cell>
          <cell r="CJ118">
            <v>0</v>
          </cell>
          <cell r="CK118">
            <v>0</v>
          </cell>
        </row>
        <row r="120">
          <cell r="A120" t="str">
            <v>Series L Preferred Stock Face Value</v>
          </cell>
          <cell r="AG120">
            <v>50000</v>
          </cell>
          <cell r="AH120">
            <v>50000</v>
          </cell>
          <cell r="AI120">
            <v>50000</v>
          </cell>
          <cell r="AL120">
            <v>50000</v>
          </cell>
          <cell r="AM120">
            <v>50000</v>
          </cell>
          <cell r="AN120">
            <v>50000</v>
          </cell>
          <cell r="AO120">
            <v>50000</v>
          </cell>
          <cell r="AR120">
            <v>50000</v>
          </cell>
          <cell r="AS120">
            <v>50000</v>
          </cell>
          <cell r="AT120">
            <v>50000</v>
          </cell>
          <cell r="AU120">
            <v>50000</v>
          </cell>
          <cell r="AX120">
            <v>50000</v>
          </cell>
          <cell r="AY120">
            <v>50000</v>
          </cell>
          <cell r="AZ120">
            <v>50000</v>
          </cell>
          <cell r="BA120">
            <v>50000</v>
          </cell>
          <cell r="BD120">
            <v>50000</v>
          </cell>
          <cell r="BE120">
            <v>50000</v>
          </cell>
          <cell r="BF120">
            <v>50000</v>
          </cell>
          <cell r="BG120">
            <v>50000</v>
          </cell>
          <cell r="BJ120">
            <v>50000</v>
          </cell>
          <cell r="BK120">
            <v>50000</v>
          </cell>
          <cell r="BL120">
            <v>50000</v>
          </cell>
          <cell r="BM120">
            <v>50000</v>
          </cell>
          <cell r="BP120">
            <v>50000</v>
          </cell>
          <cell r="BQ120">
            <v>50000</v>
          </cell>
          <cell r="BR120">
            <v>50000</v>
          </cell>
          <cell r="BS120">
            <v>50000</v>
          </cell>
          <cell r="BV120">
            <v>50000</v>
          </cell>
          <cell r="BW120">
            <v>50000</v>
          </cell>
          <cell r="BX120">
            <v>50000</v>
          </cell>
          <cell r="BY120">
            <v>50000</v>
          </cell>
          <cell r="CB120">
            <v>50000</v>
          </cell>
          <cell r="CC120">
            <v>50000</v>
          </cell>
          <cell r="CD120">
            <v>50000</v>
          </cell>
          <cell r="CE120">
            <v>50000</v>
          </cell>
          <cell r="CH120">
            <v>50000</v>
          </cell>
          <cell r="CI120">
            <v>50000</v>
          </cell>
          <cell r="CJ120">
            <v>50000</v>
          </cell>
          <cell r="CK120">
            <v>50000</v>
          </cell>
        </row>
        <row r="121">
          <cell r="A121" t="str">
            <v>Series L Preferred Stock Distribution</v>
          </cell>
          <cell r="AG121">
            <v>0.40625</v>
          </cell>
          <cell r="AH121">
            <v>0.40625</v>
          </cell>
          <cell r="AI121">
            <v>0.40625</v>
          </cell>
          <cell r="AL121">
            <v>0.40625</v>
          </cell>
          <cell r="AM121">
            <v>0.40625</v>
          </cell>
          <cell r="AN121">
            <v>0.40625</v>
          </cell>
          <cell r="AO121">
            <v>0.40625</v>
          </cell>
          <cell r="AR121">
            <v>0.40625</v>
          </cell>
          <cell r="AS121">
            <v>0.40625</v>
          </cell>
          <cell r="AT121">
            <v>0.40625</v>
          </cell>
          <cell r="AU121">
            <v>0.40625</v>
          </cell>
          <cell r="AX121">
            <v>0.40625</v>
          </cell>
          <cell r="AY121">
            <v>0.40625</v>
          </cell>
          <cell r="AZ121">
            <v>0.40625</v>
          </cell>
          <cell r="BA121">
            <v>0.40625</v>
          </cell>
          <cell r="BD121">
            <v>0.40625</v>
          </cell>
          <cell r="BE121">
            <v>0.40625</v>
          </cell>
          <cell r="BF121">
            <v>0.40625</v>
          </cell>
          <cell r="BG121">
            <v>0.40625</v>
          </cell>
          <cell r="BJ121">
            <v>0.40625</v>
          </cell>
          <cell r="BK121">
            <v>0.40625</v>
          </cell>
          <cell r="BL121">
            <v>0.40625</v>
          </cell>
          <cell r="BM121">
            <v>0.40625</v>
          </cell>
          <cell r="BP121">
            <v>0.40625</v>
          </cell>
          <cell r="BQ121">
            <v>0.40625</v>
          </cell>
          <cell r="BR121">
            <v>0.40625</v>
          </cell>
          <cell r="BS121">
            <v>0.40625</v>
          </cell>
          <cell r="BV121">
            <v>0.40625</v>
          </cell>
          <cell r="BW121">
            <v>0.40625</v>
          </cell>
          <cell r="BX121">
            <v>0.40625</v>
          </cell>
          <cell r="BY121">
            <v>0.40625</v>
          </cell>
          <cell r="CB121">
            <v>0.40625</v>
          </cell>
          <cell r="CC121">
            <v>0.40625</v>
          </cell>
          <cell r="CD121">
            <v>0.40625</v>
          </cell>
          <cell r="CE121">
            <v>0.40625</v>
          </cell>
          <cell r="CH121">
            <v>0.40625</v>
          </cell>
          <cell r="CI121">
            <v>0.40625</v>
          </cell>
          <cell r="CJ121">
            <v>0.40625</v>
          </cell>
          <cell r="CK121">
            <v>0.40625</v>
          </cell>
        </row>
        <row r="122">
          <cell r="A122" t="str">
            <v>Shares Issued</v>
          </cell>
          <cell r="AG122">
            <v>2000</v>
          </cell>
          <cell r="AH122">
            <v>2000</v>
          </cell>
          <cell r="AI122">
            <v>2000</v>
          </cell>
          <cell r="AL122">
            <v>2000</v>
          </cell>
          <cell r="AM122">
            <v>2000</v>
          </cell>
          <cell r="AN122">
            <v>2000</v>
          </cell>
          <cell r="AO122">
            <v>2000</v>
          </cell>
          <cell r="AR122">
            <v>2000</v>
          </cell>
          <cell r="AS122">
            <v>2000</v>
          </cell>
          <cell r="AT122">
            <v>2000</v>
          </cell>
          <cell r="AU122">
            <v>2000</v>
          </cell>
          <cell r="AX122">
            <v>2000</v>
          </cell>
          <cell r="AY122">
            <v>2000</v>
          </cell>
          <cell r="AZ122">
            <v>2000</v>
          </cell>
          <cell r="BA122">
            <v>2000</v>
          </cell>
          <cell r="BD122">
            <v>2000</v>
          </cell>
          <cell r="BE122">
            <v>2000</v>
          </cell>
          <cell r="BF122">
            <v>2000</v>
          </cell>
          <cell r="BG122">
            <v>2000</v>
          </cell>
          <cell r="BJ122">
            <v>2000</v>
          </cell>
          <cell r="BK122">
            <v>2000</v>
          </cell>
          <cell r="BL122">
            <v>2000</v>
          </cell>
          <cell r="BM122">
            <v>2000</v>
          </cell>
          <cell r="BP122">
            <v>2000</v>
          </cell>
          <cell r="BQ122">
            <v>2000</v>
          </cell>
          <cell r="BR122">
            <v>2000</v>
          </cell>
          <cell r="BS122">
            <v>2000</v>
          </cell>
          <cell r="BV122">
            <v>2000</v>
          </cell>
          <cell r="BW122">
            <v>2000</v>
          </cell>
          <cell r="BX122">
            <v>2000</v>
          </cell>
          <cell r="BY122">
            <v>2000</v>
          </cell>
          <cell r="CB122">
            <v>2000</v>
          </cell>
          <cell r="CC122">
            <v>2000</v>
          </cell>
          <cell r="CD122">
            <v>2000</v>
          </cell>
          <cell r="CE122">
            <v>2000</v>
          </cell>
          <cell r="CH122">
            <v>2000</v>
          </cell>
          <cell r="CI122">
            <v>2000</v>
          </cell>
          <cell r="CJ122">
            <v>2000</v>
          </cell>
          <cell r="CK122">
            <v>2000</v>
          </cell>
        </row>
        <row r="123">
          <cell r="A123" t="str">
            <v xml:space="preserve">                    Quarterly Distributions</v>
          </cell>
          <cell r="AG123">
            <v>812.5</v>
          </cell>
          <cell r="AH123">
            <v>812.5</v>
          </cell>
          <cell r="AI123">
            <v>812.5</v>
          </cell>
          <cell r="AL123">
            <v>812.5</v>
          </cell>
          <cell r="AM123">
            <v>812.5</v>
          </cell>
          <cell r="AN123">
            <v>812.5</v>
          </cell>
          <cell r="AO123">
            <v>812.5</v>
          </cell>
          <cell r="AR123">
            <v>812.5</v>
          </cell>
          <cell r="AS123">
            <v>812.5</v>
          </cell>
          <cell r="AT123">
            <v>812.5</v>
          </cell>
          <cell r="AU123">
            <v>812.5</v>
          </cell>
          <cell r="AX123">
            <v>812.5</v>
          </cell>
          <cell r="AY123">
            <v>812.5</v>
          </cell>
          <cell r="AZ123">
            <v>812.5</v>
          </cell>
          <cell r="BA123">
            <v>812.5</v>
          </cell>
          <cell r="BD123">
            <v>812.5</v>
          </cell>
          <cell r="BE123">
            <v>812.5</v>
          </cell>
          <cell r="BF123">
            <v>812.5</v>
          </cell>
          <cell r="BG123">
            <v>812.5</v>
          </cell>
          <cell r="BJ123">
            <v>812.5</v>
          </cell>
          <cell r="BK123">
            <v>812.5</v>
          </cell>
          <cell r="BL123">
            <v>812.5</v>
          </cell>
          <cell r="BM123">
            <v>812.5</v>
          </cell>
          <cell r="BP123">
            <v>812.5</v>
          </cell>
          <cell r="BQ123">
            <v>812.5</v>
          </cell>
          <cell r="BR123">
            <v>812.5</v>
          </cell>
          <cell r="BS123">
            <v>812.5</v>
          </cell>
          <cell r="BV123">
            <v>812.5</v>
          </cell>
          <cell r="BW123">
            <v>812.5</v>
          </cell>
          <cell r="BX123">
            <v>812.5</v>
          </cell>
          <cell r="BY123">
            <v>812.5</v>
          </cell>
          <cell r="CB123">
            <v>812.5</v>
          </cell>
          <cell r="CC123">
            <v>812.5</v>
          </cell>
          <cell r="CD123">
            <v>812.5</v>
          </cell>
          <cell r="CE123">
            <v>812.5</v>
          </cell>
          <cell r="CH123">
            <v>812.5</v>
          </cell>
          <cell r="CI123">
            <v>812.5</v>
          </cell>
          <cell r="CJ123">
            <v>812.5</v>
          </cell>
          <cell r="CK123">
            <v>812.5</v>
          </cell>
        </row>
        <row r="125">
          <cell r="A125" t="str">
            <v>Series M Preferred Stock Face Value</v>
          </cell>
          <cell r="AI125">
            <v>57500</v>
          </cell>
          <cell r="AL125">
            <v>57500</v>
          </cell>
          <cell r="AM125">
            <v>57500</v>
          </cell>
          <cell r="AN125">
            <v>57500</v>
          </cell>
          <cell r="AO125">
            <v>57500</v>
          </cell>
          <cell r="AR125">
            <v>57500</v>
          </cell>
          <cell r="AS125">
            <v>57500</v>
          </cell>
          <cell r="AT125">
            <v>57500</v>
          </cell>
          <cell r="AU125">
            <v>57500</v>
          </cell>
          <cell r="AX125">
            <v>57500</v>
          </cell>
          <cell r="AY125">
            <v>57500</v>
          </cell>
          <cell r="AZ125">
            <v>57500</v>
          </cell>
          <cell r="BA125">
            <v>57500</v>
          </cell>
          <cell r="BD125">
            <v>57500</v>
          </cell>
          <cell r="BE125">
            <v>57500</v>
          </cell>
          <cell r="BF125">
            <v>57500</v>
          </cell>
          <cell r="BG125">
            <v>57500</v>
          </cell>
          <cell r="BJ125">
            <v>57500</v>
          </cell>
          <cell r="BK125">
            <v>57500</v>
          </cell>
          <cell r="BL125">
            <v>57500</v>
          </cell>
          <cell r="BM125">
            <v>57500</v>
          </cell>
          <cell r="BP125">
            <v>57500</v>
          </cell>
          <cell r="BQ125">
            <v>57500</v>
          </cell>
          <cell r="BR125">
            <v>57500</v>
          </cell>
          <cell r="BS125">
            <v>57500</v>
          </cell>
          <cell r="BV125">
            <v>57500</v>
          </cell>
          <cell r="BW125">
            <v>57500</v>
          </cell>
          <cell r="BX125">
            <v>57500</v>
          </cell>
          <cell r="BY125">
            <v>57500</v>
          </cell>
          <cell r="CB125">
            <v>57500</v>
          </cell>
          <cell r="CC125">
            <v>57500</v>
          </cell>
          <cell r="CD125">
            <v>57500</v>
          </cell>
          <cell r="CE125">
            <v>57500</v>
          </cell>
          <cell r="CH125">
            <v>57500</v>
          </cell>
          <cell r="CI125">
            <v>57500</v>
          </cell>
          <cell r="CJ125">
            <v>57500</v>
          </cell>
          <cell r="CK125">
            <v>57500</v>
          </cell>
        </row>
        <row r="126">
          <cell r="A126" t="str">
            <v>Series M Preferred Stock Distribution</v>
          </cell>
          <cell r="AL126">
            <v>0.421875</v>
          </cell>
          <cell r="AM126">
            <v>0.421875</v>
          </cell>
          <cell r="AN126">
            <v>0.421875</v>
          </cell>
          <cell r="AO126">
            <v>0.421875</v>
          </cell>
          <cell r="AR126">
            <v>0.421875</v>
          </cell>
          <cell r="AS126">
            <v>0.421875</v>
          </cell>
          <cell r="AT126">
            <v>0.421875</v>
          </cell>
          <cell r="AU126">
            <v>0.421875</v>
          </cell>
          <cell r="AX126">
            <v>0.421875</v>
          </cell>
          <cell r="AY126">
            <v>0.421875</v>
          </cell>
          <cell r="AZ126">
            <v>0.421875</v>
          </cell>
          <cell r="BA126">
            <v>0.421875</v>
          </cell>
          <cell r="BD126">
            <v>0.421875</v>
          </cell>
          <cell r="BE126">
            <v>0.421875</v>
          </cell>
          <cell r="BF126">
            <v>0.421875</v>
          </cell>
          <cell r="BG126">
            <v>0.421875</v>
          </cell>
          <cell r="BJ126">
            <v>0.421875</v>
          </cell>
          <cell r="BK126">
            <v>0.421875</v>
          </cell>
          <cell r="BL126">
            <v>0.421875</v>
          </cell>
          <cell r="BM126">
            <v>0.421875</v>
          </cell>
          <cell r="BP126">
            <v>0.421875</v>
          </cell>
          <cell r="BQ126">
            <v>0.421875</v>
          </cell>
          <cell r="BR126">
            <v>0.421875</v>
          </cell>
          <cell r="BS126">
            <v>0.421875</v>
          </cell>
          <cell r="BV126">
            <v>0.421875</v>
          </cell>
          <cell r="BW126">
            <v>0.421875</v>
          </cell>
          <cell r="BX126">
            <v>0.421875</v>
          </cell>
          <cell r="BY126">
            <v>0.421875</v>
          </cell>
          <cell r="CB126">
            <v>0.421875</v>
          </cell>
          <cell r="CC126">
            <v>0.421875</v>
          </cell>
          <cell r="CD126">
            <v>0.421875</v>
          </cell>
          <cell r="CE126">
            <v>0.421875</v>
          </cell>
          <cell r="CH126">
            <v>0.421875</v>
          </cell>
          <cell r="CI126">
            <v>0.421875</v>
          </cell>
          <cell r="CJ126">
            <v>0.421875</v>
          </cell>
          <cell r="CK126">
            <v>0.421875</v>
          </cell>
        </row>
        <row r="127">
          <cell r="A127" t="str">
            <v>Shares Issued</v>
          </cell>
          <cell r="AL127">
            <v>2300</v>
          </cell>
          <cell r="AM127">
            <v>2300</v>
          </cell>
          <cell r="AN127">
            <v>2300</v>
          </cell>
          <cell r="AO127">
            <v>2300</v>
          </cell>
          <cell r="AR127">
            <v>2300</v>
          </cell>
          <cell r="AS127">
            <v>2300</v>
          </cell>
          <cell r="AT127">
            <v>2300</v>
          </cell>
          <cell r="AU127">
            <v>2300</v>
          </cell>
          <cell r="AX127">
            <v>2300</v>
          </cell>
          <cell r="AY127">
            <v>2300</v>
          </cell>
          <cell r="AZ127">
            <v>2300</v>
          </cell>
          <cell r="BA127">
            <v>2300</v>
          </cell>
          <cell r="BD127">
            <v>2300</v>
          </cell>
          <cell r="BE127">
            <v>2300</v>
          </cell>
          <cell r="BF127">
            <v>2300</v>
          </cell>
          <cell r="BG127">
            <v>2300</v>
          </cell>
          <cell r="BJ127">
            <v>2300</v>
          </cell>
          <cell r="BK127">
            <v>2300</v>
          </cell>
          <cell r="BL127">
            <v>2300</v>
          </cell>
          <cell r="BM127">
            <v>2300</v>
          </cell>
          <cell r="BP127">
            <v>2300</v>
          </cell>
          <cell r="BQ127">
            <v>2300</v>
          </cell>
          <cell r="BR127">
            <v>2300</v>
          </cell>
          <cell r="BS127">
            <v>2300</v>
          </cell>
          <cell r="BV127">
            <v>2300</v>
          </cell>
          <cell r="BW127">
            <v>2300</v>
          </cell>
          <cell r="BX127">
            <v>2300</v>
          </cell>
          <cell r="BY127">
            <v>2300</v>
          </cell>
          <cell r="CB127">
            <v>2300</v>
          </cell>
          <cell r="CC127">
            <v>2300</v>
          </cell>
          <cell r="CD127">
            <v>2300</v>
          </cell>
          <cell r="CE127">
            <v>2300</v>
          </cell>
          <cell r="CH127">
            <v>2300</v>
          </cell>
          <cell r="CI127">
            <v>2300</v>
          </cell>
          <cell r="CJ127">
            <v>2300</v>
          </cell>
          <cell r="CK127">
            <v>2300</v>
          </cell>
        </row>
        <row r="128">
          <cell r="A128" t="str">
            <v xml:space="preserve">                    Quarterly Distributions</v>
          </cell>
          <cell r="AL128">
            <v>970.3125</v>
          </cell>
          <cell r="AM128">
            <v>970.3125</v>
          </cell>
          <cell r="AN128">
            <v>970.3125</v>
          </cell>
          <cell r="AO128">
            <v>970.3125</v>
          </cell>
          <cell r="AR128">
            <v>970.3125</v>
          </cell>
          <cell r="AS128">
            <v>970.3125</v>
          </cell>
          <cell r="AT128">
            <v>970.3125</v>
          </cell>
          <cell r="AU128">
            <v>970.3125</v>
          </cell>
          <cell r="AX128">
            <v>970.3125</v>
          </cell>
          <cell r="AY128">
            <v>970.3125</v>
          </cell>
          <cell r="AZ128">
            <v>970.3125</v>
          </cell>
          <cell r="BA128">
            <v>970.3125</v>
          </cell>
          <cell r="BD128">
            <v>970.3125</v>
          </cell>
          <cell r="BE128">
            <v>970.3125</v>
          </cell>
          <cell r="BF128">
            <v>970.3125</v>
          </cell>
          <cell r="BG128">
            <v>970.3125</v>
          </cell>
          <cell r="BJ128">
            <v>970.3125</v>
          </cell>
          <cell r="BK128">
            <v>970.3125</v>
          </cell>
          <cell r="BL128">
            <v>970.3125</v>
          </cell>
          <cell r="BM128">
            <v>970.3125</v>
          </cell>
          <cell r="BP128">
            <v>970.3125</v>
          </cell>
          <cell r="BQ128">
            <v>970.3125</v>
          </cell>
          <cell r="BR128">
            <v>970.3125</v>
          </cell>
          <cell r="BS128">
            <v>970.3125</v>
          </cell>
          <cell r="BV128">
            <v>970.3125</v>
          </cell>
          <cell r="BW128">
            <v>970.3125</v>
          </cell>
          <cell r="BX128">
            <v>970.3125</v>
          </cell>
          <cell r="BY128">
            <v>970.3125</v>
          </cell>
          <cell r="CB128">
            <v>970.3125</v>
          </cell>
          <cell r="CC128">
            <v>970.3125</v>
          </cell>
          <cell r="CD128">
            <v>970.3125</v>
          </cell>
          <cell r="CE128">
            <v>970.3125</v>
          </cell>
          <cell r="CH128">
            <v>970.3125</v>
          </cell>
          <cell r="CI128">
            <v>970.3125</v>
          </cell>
          <cell r="CJ128">
            <v>970.3125</v>
          </cell>
          <cell r="CK128">
            <v>970.3125</v>
          </cell>
        </row>
        <row r="130">
          <cell r="A130" t="str">
            <v>Series O Preferred Stock Face Value</v>
          </cell>
          <cell r="AR130">
            <v>75000</v>
          </cell>
          <cell r="AS130">
            <v>75000</v>
          </cell>
          <cell r="AT130">
            <v>75000</v>
          </cell>
          <cell r="AU130">
            <v>75000</v>
          </cell>
          <cell r="AX130">
            <v>75000</v>
          </cell>
          <cell r="AY130">
            <v>75000</v>
          </cell>
          <cell r="AZ130">
            <v>75000</v>
          </cell>
          <cell r="BA130">
            <v>75000</v>
          </cell>
          <cell r="BD130">
            <v>75000</v>
          </cell>
          <cell r="BE130">
            <v>75000</v>
          </cell>
          <cell r="BF130">
            <v>75000</v>
          </cell>
          <cell r="BG130">
            <v>75000</v>
          </cell>
          <cell r="BJ130">
            <v>75000</v>
          </cell>
          <cell r="BK130">
            <v>75000</v>
          </cell>
          <cell r="BL130">
            <v>75000</v>
          </cell>
          <cell r="BM130">
            <v>75000</v>
          </cell>
          <cell r="BP130">
            <v>75000</v>
          </cell>
          <cell r="BQ130">
            <v>75000</v>
          </cell>
          <cell r="BR130">
            <v>75000</v>
          </cell>
          <cell r="BS130">
            <v>75000</v>
          </cell>
          <cell r="BV130">
            <v>75000</v>
          </cell>
          <cell r="BW130">
            <v>75000</v>
          </cell>
          <cell r="BX130">
            <v>75000</v>
          </cell>
          <cell r="BY130">
            <v>75000</v>
          </cell>
          <cell r="CB130">
            <v>75000</v>
          </cell>
          <cell r="CC130">
            <v>75000</v>
          </cell>
          <cell r="CD130">
            <v>75000</v>
          </cell>
          <cell r="CE130">
            <v>75000</v>
          </cell>
          <cell r="CH130">
            <v>75000</v>
          </cell>
          <cell r="CI130">
            <v>75000</v>
          </cell>
          <cell r="CJ130">
            <v>75000</v>
          </cell>
          <cell r="CK130">
            <v>75000</v>
          </cell>
        </row>
        <row r="131">
          <cell r="A131" t="str">
            <v>Series O Preferred Stock Distribution</v>
          </cell>
          <cell r="AR131">
            <v>0.43750000000000006</v>
          </cell>
          <cell r="AS131">
            <v>0.43750000000000006</v>
          </cell>
          <cell r="AT131">
            <v>0.43750000000000006</v>
          </cell>
          <cell r="AU131">
            <v>0.43750000000000006</v>
          </cell>
          <cell r="AX131">
            <v>0.43750000000000006</v>
          </cell>
          <cell r="AY131">
            <v>0.43750000000000006</v>
          </cell>
          <cell r="AZ131">
            <v>0.43750000000000006</v>
          </cell>
          <cell r="BA131">
            <v>0.43750000000000006</v>
          </cell>
          <cell r="BD131">
            <v>0.43750000000000006</v>
          </cell>
          <cell r="BE131">
            <v>0.43750000000000006</v>
          </cell>
          <cell r="BF131">
            <v>0.43750000000000006</v>
          </cell>
          <cell r="BG131">
            <v>0.43750000000000006</v>
          </cell>
          <cell r="BJ131">
            <v>0.43750000000000006</v>
          </cell>
          <cell r="BK131">
            <v>0.43750000000000006</v>
          </cell>
          <cell r="BL131">
            <v>0.43750000000000006</v>
          </cell>
          <cell r="BM131">
            <v>0.43750000000000006</v>
          </cell>
          <cell r="BP131">
            <v>0.43750000000000006</v>
          </cell>
          <cell r="BQ131">
            <v>0.43750000000000006</v>
          </cell>
          <cell r="BR131">
            <v>0.43750000000000006</v>
          </cell>
          <cell r="BS131">
            <v>0.43750000000000006</v>
          </cell>
          <cell r="BV131">
            <v>0.43750000000000006</v>
          </cell>
          <cell r="BW131">
            <v>0.43750000000000006</v>
          </cell>
          <cell r="BX131">
            <v>0.43750000000000006</v>
          </cell>
          <cell r="BY131">
            <v>0.43750000000000006</v>
          </cell>
          <cell r="CB131">
            <v>0.43750000000000006</v>
          </cell>
          <cell r="CC131">
            <v>0.43750000000000006</v>
          </cell>
          <cell r="CD131">
            <v>0.43750000000000006</v>
          </cell>
          <cell r="CE131">
            <v>0.43750000000000006</v>
          </cell>
          <cell r="CH131">
            <v>0.43750000000000006</v>
          </cell>
          <cell r="CI131">
            <v>0.43750000000000006</v>
          </cell>
          <cell r="CJ131">
            <v>0.43750000000000006</v>
          </cell>
          <cell r="CK131">
            <v>0.43750000000000006</v>
          </cell>
        </row>
        <row r="132">
          <cell r="A132" t="str">
            <v>Shares Issued</v>
          </cell>
          <cell r="AR132">
            <v>3000</v>
          </cell>
          <cell r="AS132">
            <v>3000</v>
          </cell>
          <cell r="AT132">
            <v>3000</v>
          </cell>
          <cell r="AU132">
            <v>3000</v>
          </cell>
          <cell r="AX132">
            <v>3000</v>
          </cell>
          <cell r="AY132">
            <v>3000</v>
          </cell>
          <cell r="AZ132">
            <v>3000</v>
          </cell>
          <cell r="BA132">
            <v>3000</v>
          </cell>
          <cell r="BD132">
            <v>3000</v>
          </cell>
          <cell r="BE132">
            <v>3000</v>
          </cell>
          <cell r="BF132">
            <v>3000</v>
          </cell>
          <cell r="BG132">
            <v>3000</v>
          </cell>
          <cell r="BJ132">
            <v>3000</v>
          </cell>
          <cell r="BK132">
            <v>3000</v>
          </cell>
          <cell r="BL132">
            <v>3000</v>
          </cell>
          <cell r="BM132">
            <v>3000</v>
          </cell>
          <cell r="BP132">
            <v>3000</v>
          </cell>
          <cell r="BQ132">
            <v>3000</v>
          </cell>
          <cell r="BR132">
            <v>3000</v>
          </cell>
          <cell r="BS132">
            <v>3000</v>
          </cell>
          <cell r="BV132">
            <v>3000</v>
          </cell>
          <cell r="BW132">
            <v>3000</v>
          </cell>
          <cell r="BX132">
            <v>3000</v>
          </cell>
          <cell r="BY132">
            <v>3000</v>
          </cell>
          <cell r="CB132">
            <v>3000</v>
          </cell>
          <cell r="CC132">
            <v>3000</v>
          </cell>
          <cell r="CD132">
            <v>3000</v>
          </cell>
          <cell r="CE132">
            <v>3000</v>
          </cell>
          <cell r="CH132">
            <v>3000</v>
          </cell>
          <cell r="CI132">
            <v>3000</v>
          </cell>
          <cell r="CJ132">
            <v>3000</v>
          </cell>
          <cell r="CK132">
            <v>3000</v>
          </cell>
        </row>
        <row r="133">
          <cell r="A133" t="str">
            <v xml:space="preserve">                    Quarterly Distributions</v>
          </cell>
          <cell r="AR133">
            <v>1312.5000000000002</v>
          </cell>
          <cell r="AS133">
            <v>1312.5000000000002</v>
          </cell>
          <cell r="AT133">
            <v>1312.5000000000002</v>
          </cell>
          <cell r="AU133">
            <v>1312.5000000000002</v>
          </cell>
          <cell r="AX133">
            <v>1312.5000000000002</v>
          </cell>
          <cell r="AY133">
            <v>1312.5000000000002</v>
          </cell>
          <cell r="AZ133">
            <v>1312.5000000000002</v>
          </cell>
          <cell r="BA133">
            <v>1312.5000000000002</v>
          </cell>
          <cell r="BD133">
            <v>1312.5000000000002</v>
          </cell>
          <cell r="BE133">
            <v>1312.5000000000002</v>
          </cell>
          <cell r="BF133">
            <v>1312.5000000000002</v>
          </cell>
          <cell r="BG133">
            <v>1312.5000000000002</v>
          </cell>
          <cell r="BJ133">
            <v>1312.5000000000002</v>
          </cell>
          <cell r="BK133">
            <v>1312.5000000000002</v>
          </cell>
          <cell r="BL133">
            <v>1312.5000000000002</v>
          </cell>
          <cell r="BM133">
            <v>1312.5000000000002</v>
          </cell>
          <cell r="BP133">
            <v>1312.5000000000002</v>
          </cell>
          <cell r="BQ133">
            <v>1312.5000000000002</v>
          </cell>
          <cell r="BR133">
            <v>1312.5000000000002</v>
          </cell>
          <cell r="BS133">
            <v>1312.5000000000002</v>
          </cell>
          <cell r="BV133">
            <v>1312.5000000000002</v>
          </cell>
          <cell r="BW133">
            <v>1312.5000000000002</v>
          </cell>
          <cell r="BX133">
            <v>1312.5000000000002</v>
          </cell>
          <cell r="BY133">
            <v>1312.5000000000002</v>
          </cell>
          <cell r="CB133">
            <v>1312.5000000000002</v>
          </cell>
          <cell r="CC133">
            <v>1312.5000000000002</v>
          </cell>
          <cell r="CD133">
            <v>1312.5000000000002</v>
          </cell>
          <cell r="CE133">
            <v>1312.5000000000002</v>
          </cell>
          <cell r="CH133">
            <v>1312.5000000000002</v>
          </cell>
          <cell r="CI133">
            <v>1312.5000000000002</v>
          </cell>
          <cell r="CJ133">
            <v>1312.5000000000002</v>
          </cell>
          <cell r="CK133">
            <v>1312.5000000000002</v>
          </cell>
        </row>
        <row r="135">
          <cell r="A135" t="str">
            <v>Series P Preferred Stock Face Value</v>
          </cell>
          <cell r="AZ135">
            <v>50000</v>
          </cell>
          <cell r="BA135">
            <v>50000</v>
          </cell>
          <cell r="BD135">
            <v>50000</v>
          </cell>
          <cell r="BE135">
            <v>50000</v>
          </cell>
          <cell r="BF135">
            <v>50000</v>
          </cell>
          <cell r="BG135">
            <v>50000</v>
          </cell>
          <cell r="BJ135">
            <v>50000</v>
          </cell>
          <cell r="BK135">
            <v>50000</v>
          </cell>
          <cell r="BL135">
            <v>50000</v>
          </cell>
          <cell r="BM135">
            <v>50000</v>
          </cell>
          <cell r="BP135">
            <v>50000</v>
          </cell>
          <cell r="BQ135">
            <v>50000</v>
          </cell>
          <cell r="BR135">
            <v>50000</v>
          </cell>
          <cell r="BS135">
            <v>50000</v>
          </cell>
          <cell r="BV135">
            <v>50000</v>
          </cell>
          <cell r="BW135">
            <v>50000</v>
          </cell>
          <cell r="BX135">
            <v>50000</v>
          </cell>
          <cell r="BY135">
            <v>50000</v>
          </cell>
          <cell r="CB135">
            <v>50000</v>
          </cell>
          <cell r="CC135">
            <v>50000</v>
          </cell>
          <cell r="CD135">
            <v>50000</v>
          </cell>
          <cell r="CE135">
            <v>50000</v>
          </cell>
          <cell r="CH135">
            <v>50000</v>
          </cell>
          <cell r="CI135">
            <v>50000</v>
          </cell>
          <cell r="CJ135">
            <v>50000</v>
          </cell>
          <cell r="CK135">
            <v>50000</v>
          </cell>
        </row>
        <row r="136">
          <cell r="A136" t="str">
            <v>Series P Preferred Stock Distribution</v>
          </cell>
          <cell r="AZ136">
            <v>0.42812500000000003</v>
          </cell>
          <cell r="BA136">
            <v>0.42812500000000003</v>
          </cell>
          <cell r="BD136">
            <v>0.42812500000000003</v>
          </cell>
          <cell r="BE136">
            <v>0.42812500000000003</v>
          </cell>
          <cell r="BF136">
            <v>0.42812500000000003</v>
          </cell>
          <cell r="BG136">
            <v>0.42812500000000003</v>
          </cell>
          <cell r="BJ136">
            <v>0.42812500000000003</v>
          </cell>
          <cell r="BK136">
            <v>0.42812500000000003</v>
          </cell>
          <cell r="BL136">
            <v>0.42812500000000003</v>
          </cell>
          <cell r="BM136">
            <v>0.42812500000000003</v>
          </cell>
          <cell r="BP136">
            <v>0.42812500000000003</v>
          </cell>
          <cell r="BQ136">
            <v>0.42812500000000003</v>
          </cell>
          <cell r="BR136">
            <v>0.42812500000000003</v>
          </cell>
          <cell r="BS136">
            <v>0.42812500000000003</v>
          </cell>
          <cell r="BV136">
            <v>0.42812500000000003</v>
          </cell>
          <cell r="BW136">
            <v>0.42812500000000003</v>
          </cell>
          <cell r="BX136">
            <v>0.42812500000000003</v>
          </cell>
          <cell r="BY136">
            <v>0.42812500000000003</v>
          </cell>
          <cell r="CB136">
            <v>0.42812500000000003</v>
          </cell>
          <cell r="CC136">
            <v>0.42812500000000003</v>
          </cell>
          <cell r="CD136">
            <v>0.42812500000000003</v>
          </cell>
          <cell r="CE136">
            <v>0.42812500000000003</v>
          </cell>
          <cell r="CH136">
            <v>0.42812500000000003</v>
          </cell>
          <cell r="CI136">
            <v>0.42812500000000003</v>
          </cell>
          <cell r="CJ136">
            <v>0.42812500000000003</v>
          </cell>
          <cell r="CK136">
            <v>0.42812500000000003</v>
          </cell>
        </row>
        <row r="137">
          <cell r="A137" t="str">
            <v>Shares Issued</v>
          </cell>
          <cell r="AZ137">
            <v>2000</v>
          </cell>
          <cell r="BA137">
            <v>2000</v>
          </cell>
          <cell r="BD137">
            <v>2000</v>
          </cell>
          <cell r="BE137">
            <v>2000</v>
          </cell>
          <cell r="BF137">
            <v>2000</v>
          </cell>
          <cell r="BG137">
            <v>2000</v>
          </cell>
          <cell r="BJ137">
            <v>2000</v>
          </cell>
          <cell r="BK137">
            <v>2000</v>
          </cell>
          <cell r="BL137">
            <v>2000</v>
          </cell>
          <cell r="BM137">
            <v>2000</v>
          </cell>
          <cell r="BP137">
            <v>2000</v>
          </cell>
          <cell r="BQ137">
            <v>2000</v>
          </cell>
          <cell r="BR137">
            <v>2000</v>
          </cell>
          <cell r="BS137">
            <v>2000</v>
          </cell>
          <cell r="BV137">
            <v>2000</v>
          </cell>
          <cell r="BW137">
            <v>2000</v>
          </cell>
          <cell r="BX137">
            <v>2000</v>
          </cell>
          <cell r="BY137">
            <v>2000</v>
          </cell>
          <cell r="CB137">
            <v>2000</v>
          </cell>
          <cell r="CC137">
            <v>2000</v>
          </cell>
          <cell r="CD137">
            <v>2000</v>
          </cell>
          <cell r="CE137">
            <v>2000</v>
          </cell>
          <cell r="CH137">
            <v>2000</v>
          </cell>
          <cell r="CI137">
            <v>2000</v>
          </cell>
          <cell r="CJ137">
            <v>2000</v>
          </cell>
          <cell r="CK137">
            <v>2000</v>
          </cell>
        </row>
        <row r="138">
          <cell r="A138" t="str">
            <v xml:space="preserve">                    Quarterly Distributions</v>
          </cell>
          <cell r="AZ138">
            <v>299.6875</v>
          </cell>
          <cell r="BA138">
            <v>856.25000000000011</v>
          </cell>
          <cell r="BD138">
            <v>856.25000000000011</v>
          </cell>
          <cell r="BE138">
            <v>856.25000000000011</v>
          </cell>
          <cell r="BF138">
            <v>856.25000000000011</v>
          </cell>
          <cell r="BG138">
            <v>856.25000000000011</v>
          </cell>
          <cell r="BJ138">
            <v>856.25000000000011</v>
          </cell>
          <cell r="BK138">
            <v>856.25000000000011</v>
          </cell>
          <cell r="BL138">
            <v>856.25000000000011</v>
          </cell>
          <cell r="BM138">
            <v>856.25000000000011</v>
          </cell>
          <cell r="BP138">
            <v>856.25000000000011</v>
          </cell>
          <cell r="BQ138">
            <v>856.25000000000011</v>
          </cell>
          <cell r="BR138">
            <v>856.25000000000011</v>
          </cell>
          <cell r="BS138">
            <v>856.25000000000011</v>
          </cell>
          <cell r="BV138">
            <v>856.25000000000011</v>
          </cell>
          <cell r="BW138">
            <v>856.25000000000011</v>
          </cell>
          <cell r="BX138">
            <v>856.25000000000011</v>
          </cell>
          <cell r="BY138">
            <v>856.25000000000011</v>
          </cell>
          <cell r="CB138">
            <v>856.25000000000011</v>
          </cell>
          <cell r="CC138">
            <v>856.25000000000011</v>
          </cell>
          <cell r="CD138">
            <v>856.25000000000011</v>
          </cell>
          <cell r="CE138">
            <v>856.25000000000011</v>
          </cell>
          <cell r="CH138">
            <v>856.25000000000011</v>
          </cell>
          <cell r="CI138">
            <v>856.25000000000011</v>
          </cell>
          <cell r="CJ138">
            <v>856.25000000000011</v>
          </cell>
          <cell r="CK138">
            <v>856.25000000000011</v>
          </cell>
        </row>
        <row r="140">
          <cell r="A140" t="str">
            <v>Preferred Stock</v>
          </cell>
          <cell r="T140">
            <v>100000</v>
          </cell>
          <cell r="U140">
            <v>100000</v>
          </cell>
          <cell r="V140">
            <v>100000</v>
          </cell>
          <cell r="W140">
            <v>100000</v>
          </cell>
          <cell r="Z140">
            <v>100000</v>
          </cell>
          <cell r="AA140">
            <v>100000</v>
          </cell>
          <cell r="AB140">
            <v>99895</v>
          </cell>
          <cell r="AC140">
            <v>99895</v>
          </cell>
          <cell r="AF140">
            <v>99895</v>
          </cell>
          <cell r="AG140">
            <v>149895</v>
          </cell>
          <cell r="AH140">
            <v>50000</v>
          </cell>
          <cell r="AI140">
            <v>107500</v>
          </cell>
          <cell r="AL140">
            <v>107500</v>
          </cell>
          <cell r="AM140">
            <v>107500</v>
          </cell>
          <cell r="AN140">
            <v>107500</v>
          </cell>
          <cell r="AO140">
            <v>107500</v>
          </cell>
          <cell r="AR140">
            <v>107500</v>
          </cell>
          <cell r="AS140">
            <v>107500</v>
          </cell>
          <cell r="AT140">
            <v>107500</v>
          </cell>
          <cell r="AU140">
            <v>182500</v>
          </cell>
          <cell r="AX140">
            <v>182500</v>
          </cell>
          <cell r="AY140">
            <v>182500</v>
          </cell>
          <cell r="AZ140">
            <v>232500</v>
          </cell>
          <cell r="BA140">
            <v>232500</v>
          </cell>
          <cell r="BD140">
            <v>232500</v>
          </cell>
          <cell r="BE140">
            <v>232500</v>
          </cell>
          <cell r="BF140">
            <v>232500</v>
          </cell>
          <cell r="BG140">
            <v>232500</v>
          </cell>
          <cell r="BJ140">
            <v>232500</v>
          </cell>
          <cell r="BK140">
            <v>232500</v>
          </cell>
          <cell r="BL140">
            <v>232500</v>
          </cell>
          <cell r="BM140">
            <v>232500</v>
          </cell>
          <cell r="BP140">
            <v>232500</v>
          </cell>
          <cell r="BQ140">
            <v>232500</v>
          </cell>
          <cell r="BR140">
            <v>232500</v>
          </cell>
          <cell r="BS140">
            <v>232500</v>
          </cell>
          <cell r="BV140">
            <v>232500</v>
          </cell>
          <cell r="BW140">
            <v>232500</v>
          </cell>
          <cell r="BX140">
            <v>232500</v>
          </cell>
          <cell r="BY140">
            <v>232500</v>
          </cell>
          <cell r="CB140">
            <v>232500</v>
          </cell>
          <cell r="CC140">
            <v>232500</v>
          </cell>
          <cell r="CD140">
            <v>232500</v>
          </cell>
          <cell r="CE140">
            <v>232500</v>
          </cell>
          <cell r="CH140">
            <v>232500</v>
          </cell>
          <cell r="CI140">
            <v>232500</v>
          </cell>
          <cell r="CJ140">
            <v>232500</v>
          </cell>
          <cell r="CK140">
            <v>232500</v>
          </cell>
        </row>
        <row r="141">
          <cell r="A141" t="str">
            <v>Preferred Units</v>
          </cell>
          <cell r="T141">
            <v>354161</v>
          </cell>
          <cell r="U141">
            <v>354161</v>
          </cell>
          <cell r="V141">
            <v>394161</v>
          </cell>
          <cell r="W141">
            <v>394161</v>
          </cell>
          <cell r="Z141">
            <v>284161</v>
          </cell>
          <cell r="AA141">
            <v>324161</v>
          </cell>
          <cell r="AB141">
            <v>316661</v>
          </cell>
          <cell r="AC141">
            <v>316661</v>
          </cell>
          <cell r="AF141">
            <v>316661</v>
          </cell>
          <cell r="AG141">
            <v>316661</v>
          </cell>
          <cell r="AH141">
            <v>363346</v>
          </cell>
          <cell r="AI141">
            <v>248346</v>
          </cell>
          <cell r="AL141">
            <v>248346</v>
          </cell>
          <cell r="AM141">
            <v>248346</v>
          </cell>
          <cell r="AN141">
            <v>284825</v>
          </cell>
          <cell r="AO141">
            <v>284825</v>
          </cell>
          <cell r="AR141">
            <v>284825</v>
          </cell>
          <cell r="AS141">
            <v>284825</v>
          </cell>
          <cell r="AT141">
            <v>284825</v>
          </cell>
          <cell r="AU141">
            <v>284825</v>
          </cell>
          <cell r="AX141">
            <v>206346</v>
          </cell>
          <cell r="AY141">
            <v>195324</v>
          </cell>
          <cell r="AZ141">
            <v>185267</v>
          </cell>
          <cell r="BA141">
            <v>185267</v>
          </cell>
          <cell r="BD141">
            <v>185267</v>
          </cell>
          <cell r="BE141">
            <v>79767</v>
          </cell>
          <cell r="BF141">
            <v>79767</v>
          </cell>
          <cell r="BG141">
            <v>79767</v>
          </cell>
          <cell r="BJ141">
            <v>79767</v>
          </cell>
          <cell r="BK141">
            <v>79767</v>
          </cell>
          <cell r="BL141">
            <v>79767</v>
          </cell>
          <cell r="BM141">
            <v>79767</v>
          </cell>
          <cell r="BP141">
            <v>79767</v>
          </cell>
          <cell r="BQ141">
            <v>79767</v>
          </cell>
          <cell r="BR141">
            <v>79767</v>
          </cell>
          <cell r="BS141">
            <v>79767</v>
          </cell>
          <cell r="BV141">
            <v>79767</v>
          </cell>
          <cell r="BW141">
            <v>79767</v>
          </cell>
          <cell r="BX141">
            <v>79767</v>
          </cell>
          <cell r="BY141">
            <v>79767</v>
          </cell>
          <cell r="CB141">
            <v>79767</v>
          </cell>
          <cell r="CC141">
            <v>79767</v>
          </cell>
          <cell r="CD141">
            <v>79767</v>
          </cell>
          <cell r="CE141">
            <v>79767</v>
          </cell>
          <cell r="CH141">
            <v>79767</v>
          </cell>
          <cell r="CI141">
            <v>79767</v>
          </cell>
          <cell r="CJ141">
            <v>79767</v>
          </cell>
          <cell r="CK141">
            <v>79767</v>
          </cell>
        </row>
        <row r="142">
          <cell r="A142" t="str">
            <v>Preferred Units and Stock</v>
          </cell>
          <cell r="T142">
            <v>454161</v>
          </cell>
          <cell r="U142">
            <v>454161</v>
          </cell>
          <cell r="V142">
            <v>494161</v>
          </cell>
          <cell r="W142">
            <v>494161</v>
          </cell>
          <cell r="Z142">
            <v>384161</v>
          </cell>
          <cell r="AA142">
            <v>424161</v>
          </cell>
          <cell r="AB142">
            <v>416556</v>
          </cell>
          <cell r="AC142">
            <v>416556</v>
          </cell>
          <cell r="AF142">
            <v>416556</v>
          </cell>
          <cell r="AG142">
            <v>466556</v>
          </cell>
          <cell r="AH142">
            <v>413346</v>
          </cell>
          <cell r="AI142">
            <v>355846</v>
          </cell>
          <cell r="AL142">
            <v>355846</v>
          </cell>
          <cell r="AM142">
            <v>355846</v>
          </cell>
          <cell r="AN142">
            <v>392325</v>
          </cell>
          <cell r="AO142">
            <v>392325</v>
          </cell>
          <cell r="AR142">
            <v>392325</v>
          </cell>
          <cell r="AS142">
            <v>392325</v>
          </cell>
          <cell r="AT142">
            <v>392325</v>
          </cell>
          <cell r="AU142">
            <v>467325</v>
          </cell>
          <cell r="AX142">
            <v>388846</v>
          </cell>
          <cell r="AY142">
            <v>377824</v>
          </cell>
          <cell r="AZ142">
            <v>417767</v>
          </cell>
          <cell r="BA142">
            <v>417767</v>
          </cell>
          <cell r="BD142">
            <v>417767</v>
          </cell>
          <cell r="BE142">
            <v>312267</v>
          </cell>
          <cell r="BF142">
            <v>312267</v>
          </cell>
          <cell r="BG142">
            <v>312267</v>
          </cell>
          <cell r="BJ142">
            <v>312267</v>
          </cell>
          <cell r="BK142">
            <v>312267</v>
          </cell>
          <cell r="BL142">
            <v>312267</v>
          </cell>
          <cell r="BM142">
            <v>312267</v>
          </cell>
          <cell r="BP142">
            <v>312267</v>
          </cell>
          <cell r="BQ142">
            <v>312267</v>
          </cell>
          <cell r="BR142">
            <v>312267</v>
          </cell>
          <cell r="BS142">
            <v>312267</v>
          </cell>
          <cell r="BV142">
            <v>312267</v>
          </cell>
          <cell r="BW142">
            <v>312267</v>
          </cell>
          <cell r="BX142">
            <v>312267</v>
          </cell>
          <cell r="BY142">
            <v>312267</v>
          </cell>
          <cell r="CB142">
            <v>312267</v>
          </cell>
          <cell r="CC142">
            <v>312267</v>
          </cell>
          <cell r="CD142">
            <v>312267</v>
          </cell>
          <cell r="CE142">
            <v>312267</v>
          </cell>
          <cell r="CH142">
            <v>312267</v>
          </cell>
          <cell r="CI142">
            <v>312267</v>
          </cell>
          <cell r="CJ142">
            <v>312267</v>
          </cell>
          <cell r="CK142">
            <v>312267</v>
          </cell>
        </row>
        <row r="144">
          <cell r="A144" t="str">
            <v>Total Quarterly Unit Distributions</v>
          </cell>
          <cell r="T144">
            <v>6858.6678750000001</v>
          </cell>
          <cell r="U144">
            <v>7342.9553749999995</v>
          </cell>
          <cell r="V144">
            <v>7422.4553749999995</v>
          </cell>
          <cell r="W144">
            <v>7031.7053749999995</v>
          </cell>
          <cell r="Z144">
            <v>5856.8112409999994</v>
          </cell>
          <cell r="AA144">
            <v>6448.6445743333325</v>
          </cell>
          <cell r="AB144">
            <v>6651.8112409999994</v>
          </cell>
          <cell r="AC144">
            <v>6651.8112409999994</v>
          </cell>
          <cell r="AF144">
            <v>6651.8112409999994</v>
          </cell>
          <cell r="AG144">
            <v>7464.3112409999994</v>
          </cell>
          <cell r="AH144">
            <v>7249.3100350000004</v>
          </cell>
          <cell r="AI144">
            <v>7249.3100350000004</v>
          </cell>
          <cell r="AL144">
            <v>5035.4100349999999</v>
          </cell>
          <cell r="AM144">
            <v>5035.4100349999999</v>
          </cell>
          <cell r="AN144">
            <v>5491.3975350000001</v>
          </cell>
          <cell r="AO144">
            <v>5491.3975350000001</v>
          </cell>
          <cell r="AR144">
            <v>5491.3975350000001</v>
          </cell>
          <cell r="AS144">
            <v>5491.3975350000001</v>
          </cell>
          <cell r="AT144">
            <v>5491.3975350000001</v>
          </cell>
          <cell r="AU144">
            <v>5491.3975350000001</v>
          </cell>
          <cell r="AX144">
            <v>4181.9700350000003</v>
          </cell>
          <cell r="AY144">
            <v>3968.4187849999998</v>
          </cell>
          <cell r="AZ144">
            <v>3768.4856250000003</v>
          </cell>
          <cell r="BA144">
            <v>3768.4856250000003</v>
          </cell>
          <cell r="BD144">
            <v>3654.81765</v>
          </cell>
          <cell r="BE144">
            <v>1431.81765</v>
          </cell>
          <cell r="BF144">
            <v>1431.81765</v>
          </cell>
          <cell r="BG144">
            <v>1431.81765</v>
          </cell>
          <cell r="BJ144">
            <v>1431.81765</v>
          </cell>
          <cell r="BK144">
            <v>1431.81765</v>
          </cell>
          <cell r="BL144">
            <v>1431.81765</v>
          </cell>
          <cell r="BM144">
            <v>1431.81765</v>
          </cell>
          <cell r="BP144">
            <v>1431.81765</v>
          </cell>
          <cell r="BQ144">
            <v>1431.81765</v>
          </cell>
          <cell r="BR144">
            <v>1431.81765</v>
          </cell>
          <cell r="BS144">
            <v>1431.81765</v>
          </cell>
          <cell r="BV144">
            <v>1431.81765</v>
          </cell>
          <cell r="BW144">
            <v>1431.81765</v>
          </cell>
          <cell r="BX144">
            <v>1431.81765</v>
          </cell>
          <cell r="BY144">
            <v>1431.81765</v>
          </cell>
          <cell r="CB144">
            <v>1431.81765</v>
          </cell>
          <cell r="CC144">
            <v>1431.81765</v>
          </cell>
          <cell r="CD144">
            <v>1431.81765</v>
          </cell>
          <cell r="CE144">
            <v>1431.81765</v>
          </cell>
          <cell r="CH144">
            <v>1431.81765</v>
          </cell>
          <cell r="CI144">
            <v>1431.81765</v>
          </cell>
          <cell r="CJ144">
            <v>1431.81765</v>
          </cell>
          <cell r="CK144">
            <v>1431.81765</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row r="1">
          <cell r="C1" t="str">
            <v>Peer</v>
          </cell>
          <cell r="E1" t="str">
            <v>Peer</v>
          </cell>
          <cell r="G1" t="str">
            <v>Peer</v>
          </cell>
          <cell r="I1" t="str">
            <v>Peer</v>
          </cell>
          <cell r="K1" t="str">
            <v>Peer</v>
          </cell>
          <cell r="M1" t="str">
            <v>Peer</v>
          </cell>
          <cell r="O1" t="str">
            <v>Peer</v>
          </cell>
          <cell r="Q1" t="str">
            <v>Peer</v>
          </cell>
          <cell r="S1" t="str">
            <v>Peer</v>
          </cell>
          <cell r="U1" t="str">
            <v>Peer</v>
          </cell>
          <cell r="W1" t="str">
            <v>Peer</v>
          </cell>
          <cell r="Y1" t="str">
            <v>Peer</v>
          </cell>
          <cell r="AA1" t="str">
            <v>Peer</v>
          </cell>
          <cell r="AC1" t="str">
            <v>Peer</v>
          </cell>
          <cell r="AE1" t="str">
            <v>Peer</v>
          </cell>
        </row>
        <row r="2">
          <cell r="C2" t="str">
            <v>Group</v>
          </cell>
          <cell r="E2" t="str">
            <v>Group</v>
          </cell>
          <cell r="G2" t="str">
            <v>Group</v>
          </cell>
          <cell r="I2" t="str">
            <v>Group</v>
          </cell>
          <cell r="K2" t="str">
            <v>Group</v>
          </cell>
          <cell r="M2" t="str">
            <v>Group</v>
          </cell>
          <cell r="O2" t="str">
            <v>Group</v>
          </cell>
          <cell r="Q2" t="str">
            <v>Group</v>
          </cell>
          <cell r="S2" t="str">
            <v>Group</v>
          </cell>
          <cell r="U2" t="str">
            <v>Group</v>
          </cell>
          <cell r="W2" t="str">
            <v>Group</v>
          </cell>
          <cell r="Y2" t="str">
            <v>Group</v>
          </cell>
          <cell r="AA2" t="str">
            <v>Group</v>
          </cell>
          <cell r="AC2" t="str">
            <v>Group</v>
          </cell>
          <cell r="AE2" t="str">
            <v>Group</v>
          </cell>
        </row>
        <row r="3">
          <cell r="A3" t="str">
            <v>Performance Measure</v>
          </cell>
          <cell r="B3" t="str">
            <v>1Q04A</v>
          </cell>
          <cell r="C3" t="str">
            <v>1Q04A</v>
          </cell>
          <cell r="D3" t="str">
            <v>2Q04A</v>
          </cell>
          <cell r="E3" t="str">
            <v>2Q04A</v>
          </cell>
          <cell r="F3" t="str">
            <v>3Q04A</v>
          </cell>
          <cell r="G3" t="str">
            <v>3Q04A</v>
          </cell>
          <cell r="H3" t="str">
            <v>4Q04A</v>
          </cell>
          <cell r="I3" t="str">
            <v>4Q04A</v>
          </cell>
          <cell r="J3" t="str">
            <v>1Q05A</v>
          </cell>
          <cell r="K3" t="str">
            <v>1Q05A</v>
          </cell>
          <cell r="L3" t="str">
            <v>2Q05A</v>
          </cell>
          <cell r="M3" t="str">
            <v>2Q05A</v>
          </cell>
          <cell r="N3" t="str">
            <v>3Q05A</v>
          </cell>
          <cell r="O3" t="str">
            <v>3Q05A</v>
          </cell>
          <cell r="P3" t="str">
            <v>4Q05A</v>
          </cell>
          <cell r="Q3" t="str">
            <v>4Q05A</v>
          </cell>
          <cell r="R3" t="str">
            <v>1Q06A</v>
          </cell>
          <cell r="S3" t="str">
            <v>1Q06A</v>
          </cell>
          <cell r="T3" t="str">
            <v>2Q06A</v>
          </cell>
          <cell r="U3" t="str">
            <v>2Q06A</v>
          </cell>
          <cell r="V3" t="str">
            <v>3Q06A</v>
          </cell>
          <cell r="W3" t="str">
            <v>3Q06A</v>
          </cell>
          <cell r="X3" t="str">
            <v>4Q06A</v>
          </cell>
          <cell r="Y3" t="str">
            <v>4Q06A</v>
          </cell>
          <cell r="Z3" t="str">
            <v>1Q07A</v>
          </cell>
          <cell r="AA3" t="str">
            <v>1Q07A</v>
          </cell>
          <cell r="AB3" t="str">
            <v>2Q07A</v>
          </cell>
          <cell r="AC3" t="str">
            <v>2Q07A</v>
          </cell>
          <cell r="AD3" t="str">
            <v>3Q07A</v>
          </cell>
          <cell r="AE3" t="str">
            <v>3Q07A</v>
          </cell>
          <cell r="AF3" t="str">
            <v>4Q07A</v>
          </cell>
          <cell r="AG3" t="str">
            <v>Comments</v>
          </cell>
        </row>
        <row r="4">
          <cell r="A4" t="str">
            <v>FFOPS</v>
          </cell>
          <cell r="B4">
            <v>0.52991684668477923</v>
          </cell>
          <cell r="D4">
            <v>0.54648417093115464</v>
          </cell>
          <cell r="F4">
            <v>0.60728195056821288</v>
          </cell>
          <cell r="H4">
            <v>0.61849396625812958</v>
          </cell>
          <cell r="J4">
            <v>0.54279592359996276</v>
          </cell>
          <cell r="L4">
            <v>0.55146518141352874</v>
          </cell>
          <cell r="N4">
            <v>0.49947322493312551</v>
          </cell>
          <cell r="P4">
            <v>1.1532817562928104</v>
          </cell>
          <cell r="R4">
            <v>0.51538749813889906</v>
          </cell>
          <cell r="T4">
            <v>0.87128909716083225</v>
          </cell>
          <cell r="V4">
            <v>0.7179113240213586</v>
          </cell>
          <cell r="X4">
            <v>1.0148742651104505</v>
          </cell>
          <cell r="Z4">
            <v>0.57000253064967543</v>
          </cell>
          <cell r="AB4">
            <v>0.74167449258610929</v>
          </cell>
          <cell r="AD4">
            <v>0.99167663306360543</v>
          </cell>
          <cell r="AF4">
            <v>1.1976600399505375</v>
          </cell>
          <cell r="AG4" t="str">
            <v xml:space="preserve">Core NOI came in shorter than our expectations, though fundamentals remain strong.    </v>
          </cell>
        </row>
        <row r="6">
          <cell r="A6" t="str">
            <v>Morgan Stanley Est.</v>
          </cell>
        </row>
        <row r="7">
          <cell r="A7" t="str">
            <v>Consensus</v>
          </cell>
        </row>
        <row r="9">
          <cell r="A9" t="str">
            <v>FFO Y/Y Growth per Share</v>
          </cell>
          <cell r="B9">
            <v>-0.10591711786414959</v>
          </cell>
          <cell r="C9" t="e">
            <v>#REF!</v>
          </cell>
          <cell r="D9">
            <v>0.18221951482924004</v>
          </cell>
          <cell r="E9">
            <v>-4.9680349947318354E-2</v>
          </cell>
          <cell r="F9">
            <v>0.27146812857158742</v>
          </cell>
          <cell r="G9">
            <v>0.1163279246993842</v>
          </cell>
          <cell r="H9">
            <v>5.3704695805683267E-2</v>
          </cell>
          <cell r="I9">
            <v>0.2624910764445873</v>
          </cell>
          <cell r="J9">
            <v>8.616849522718395E-2</v>
          </cell>
          <cell r="K9">
            <v>-3.9633410266899344E-2</v>
          </cell>
          <cell r="L9">
            <v>9.1146473170247155E-3</v>
          </cell>
          <cell r="M9">
            <v>7.1761073820375748E-2</v>
          </cell>
          <cell r="N9">
            <v>-0.17752664233510385</v>
          </cell>
          <cell r="O9">
            <v>5.9958744466047723E-2</v>
          </cell>
          <cell r="P9">
            <v>0.86466128888876836</v>
          </cell>
          <cell r="Q9">
            <v>-1.4362906251299209E-2</v>
          </cell>
          <cell r="R9">
            <v>-5.0494899223420764E-2</v>
          </cell>
          <cell r="S9">
            <v>0.2307230907151446</v>
          </cell>
          <cell r="T9">
            <v>0.57995305329617231</v>
          </cell>
          <cell r="U9">
            <v>0.40519035562970201</v>
          </cell>
          <cell r="V9">
            <v>0.43733695458346089</v>
          </cell>
          <cell r="X9">
            <v>-0.12001186217257664</v>
          </cell>
          <cell r="Z9">
            <v>0.10596887333898297</v>
          </cell>
          <cell r="AB9">
            <v>-0.14876188052517003</v>
          </cell>
          <cell r="AD9">
            <v>0.38133582781332764</v>
          </cell>
          <cell r="AF9">
            <v>0.1801068182768375</v>
          </cell>
        </row>
        <row r="11">
          <cell r="A11" t="str">
            <v>Same-Store Y/Y NOI Growth</v>
          </cell>
          <cell r="B11">
            <v>-3.1E-2</v>
          </cell>
          <cell r="C11">
            <v>-7.1300674012840914E-3</v>
          </cell>
          <cell r="D11">
            <v>-6.0999999999999999E-2</v>
          </cell>
          <cell r="E11">
            <v>-6.1835342075735929E-3</v>
          </cell>
          <cell r="F11">
            <v>4.8000000000000001E-2</v>
          </cell>
          <cell r="G11">
            <v>7.8536565450957867E-3</v>
          </cell>
          <cell r="H11">
            <v>4.0000000000000001E-3</v>
          </cell>
          <cell r="I11">
            <v>8.2781463696310221E-3</v>
          </cell>
          <cell r="J11">
            <v>-1E-3</v>
          </cell>
          <cell r="K11">
            <v>8.1966550730224359E-3</v>
          </cell>
          <cell r="L11">
            <v>6.9999999999999993E-3</v>
          </cell>
          <cell r="M11">
            <v>2.620886912642871E-2</v>
          </cell>
          <cell r="N11">
            <v>1E-3</v>
          </cell>
          <cell r="O11">
            <v>3.7907881119330091E-3</v>
          </cell>
          <cell r="P11">
            <v>3.5000000000000003E-2</v>
          </cell>
          <cell r="Q11">
            <v>8.7963672948004178E-3</v>
          </cell>
          <cell r="R11">
            <v>1.4999999999999999E-2</v>
          </cell>
          <cell r="S11">
            <v>2.0936102622939223E-2</v>
          </cell>
          <cell r="T11">
            <v>2.9000000000000001E-2</v>
          </cell>
          <cell r="U11">
            <v>2.998629530676283E-2</v>
          </cell>
          <cell r="V11">
            <v>5.5E-2</v>
          </cell>
          <cell r="W11">
            <v>3.4753941550855247E-2</v>
          </cell>
          <cell r="X11">
            <v>0.03</v>
          </cell>
          <cell r="Y11">
            <v>3.4753941550855247E-2</v>
          </cell>
          <cell r="Z11">
            <v>6.3E-2</v>
          </cell>
          <cell r="AA11">
            <v>3.4753941550855247E-2</v>
          </cell>
          <cell r="AB11">
            <v>5.8000000000000003E-2</v>
          </cell>
          <cell r="AC11">
            <v>5.2917176566918633E-2</v>
          </cell>
          <cell r="AD11">
            <v>5.0999999999999997E-2</v>
          </cell>
          <cell r="AE11">
            <v>4.8994945344579224E-2</v>
          </cell>
          <cell r="AF11">
            <v>4.8000000000000001E-2</v>
          </cell>
          <cell r="AG11" t="str">
            <v>Management expects SS NOI growth before lease term fees of 3-4% for 2007, essentially flat to the 3.2% SS NOI growth in FY2006.</v>
          </cell>
        </row>
        <row r="12">
          <cell r="A12" t="str">
            <v>Same-Store Y/Y REV Growth</v>
          </cell>
          <cell r="B12">
            <v>-2.3E-2</v>
          </cell>
          <cell r="C12">
            <v>-2.4630306984352011E-2</v>
          </cell>
          <cell r="D12">
            <v>-4.2000000000000003E-2</v>
          </cell>
          <cell r="E12">
            <v>-3.7435140443814359E-2</v>
          </cell>
          <cell r="F12">
            <v>3.7000000000000005E-2</v>
          </cell>
          <cell r="G12">
            <v>1.841450037838703E-2</v>
          </cell>
          <cell r="H12">
            <v>-6.0000000000000001E-3</v>
          </cell>
          <cell r="I12">
            <v>-4.5695625320314834E-4</v>
          </cell>
          <cell r="J12">
            <v>2E-3</v>
          </cell>
          <cell r="K12">
            <v>6.5648595561856428E-3</v>
          </cell>
          <cell r="L12">
            <v>6.0000000000000001E-3</v>
          </cell>
          <cell r="M12">
            <v>2.0188396285382628E-2</v>
          </cell>
          <cell r="N12">
            <v>-3.5000000000000003E-2</v>
          </cell>
          <cell r="O12">
            <v>1.3689551369126382E-2</v>
          </cell>
          <cell r="P12">
            <v>4.1000000000000002E-2</v>
          </cell>
          <cell r="Q12">
            <v>1.3306985783538835E-2</v>
          </cell>
          <cell r="R12">
            <v>1.4E-2</v>
          </cell>
          <cell r="S12">
            <v>2.6629654549985404E-2</v>
          </cell>
          <cell r="T12">
            <v>3.2000000000000001E-2</v>
          </cell>
          <cell r="U12">
            <v>2.4590851758871008E-2</v>
          </cell>
          <cell r="V12">
            <v>4.3999999999999997E-2</v>
          </cell>
          <cell r="W12">
            <v>3.0786568530947356E-2</v>
          </cell>
          <cell r="X12">
            <v>2.1000000000000001E-2</v>
          </cell>
          <cell r="Y12">
            <v>3.0786568530947356E-2</v>
          </cell>
          <cell r="Z12">
            <v>0.06</v>
          </cell>
          <cell r="AA12">
            <v>3.0786568530947356E-2</v>
          </cell>
          <cell r="AB12">
            <v>6.3E-2</v>
          </cell>
          <cell r="AC12">
            <v>6.6380770666568931E-2</v>
          </cell>
          <cell r="AD12">
            <v>6.3E-2</v>
          </cell>
          <cell r="AE12">
            <v>5.6064254395779924E-2</v>
          </cell>
          <cell r="AF12">
            <v>5.7000000000000002E-2</v>
          </cell>
        </row>
        <row r="13">
          <cell r="A13" t="str">
            <v>Same-Store Y/Y EXP Growth</v>
          </cell>
          <cell r="B13">
            <v>-1E-3</v>
          </cell>
          <cell r="C13">
            <v>1.1670579747908639E-3</v>
          </cell>
          <cell r="D13">
            <v>1.2E-2</v>
          </cell>
          <cell r="E13">
            <v>1.3142222553104252E-2</v>
          </cell>
          <cell r="F13">
            <v>8.0000000000000002E-3</v>
          </cell>
          <cell r="G13">
            <v>8.8934250901298566E-3</v>
          </cell>
          <cell r="H13">
            <v>-3.3000000000000002E-2</v>
          </cell>
          <cell r="I13">
            <v>-1.7222241059657105E-2</v>
          </cell>
          <cell r="J13">
            <v>8.9999999999999993E-3</v>
          </cell>
          <cell r="K13">
            <v>4.5642732580589068E-2</v>
          </cell>
          <cell r="L13">
            <v>-1.4E-2</v>
          </cell>
          <cell r="M13">
            <v>4.6238090349075979E-2</v>
          </cell>
          <cell r="N13">
            <v>-5.0000000000000001E-3</v>
          </cell>
          <cell r="O13">
            <v>4.664176387296258E-2</v>
          </cell>
          <cell r="P13">
            <v>8.9999999999999993E-3</v>
          </cell>
          <cell r="Q13">
            <v>1.4248909126507005E-2</v>
          </cell>
          <cell r="R13">
            <v>4.3999999999999997E-2</v>
          </cell>
          <cell r="S13">
            <v>4.7718221957333849E-2</v>
          </cell>
          <cell r="T13">
            <v>3.6999999999999998E-2</v>
          </cell>
          <cell r="U13">
            <v>4.7951802602341897E-3</v>
          </cell>
          <cell r="V13">
            <v>7.0000000000000001E-3</v>
          </cell>
          <cell r="W13">
            <v>4.4587693753052077E-2</v>
          </cell>
          <cell r="X13">
            <v>4.5999999999999999E-2</v>
          </cell>
          <cell r="Y13">
            <v>4.4587693753052077E-2</v>
          </cell>
          <cell r="Z13">
            <v>0.05</v>
          </cell>
          <cell r="AA13">
            <v>4.4587693753052077E-2</v>
          </cell>
          <cell r="AB13">
            <v>9.3000000000000013E-2</v>
          </cell>
          <cell r="AC13">
            <v>0.10949977267404969</v>
          </cell>
          <cell r="AD13">
            <v>9.3000000000000013E-2</v>
          </cell>
          <cell r="AE13">
            <v>7.607152782575094E-2</v>
          </cell>
          <cell r="AF13">
            <v>7.9000000000000001E-2</v>
          </cell>
        </row>
        <row r="14">
          <cell r="A14" t="str">
            <v>Same-Store Occupancy</v>
          </cell>
          <cell r="B14">
            <v>0.92600000000000005</v>
          </cell>
          <cell r="D14">
            <v>0.93500000000000005</v>
          </cell>
          <cell r="F14">
            <v>0.94799999999999995</v>
          </cell>
          <cell r="H14">
            <v>0.95299999999999996</v>
          </cell>
          <cell r="J14">
            <v>0.94899999999999995</v>
          </cell>
          <cell r="L14">
            <v>0.94399999999999995</v>
          </cell>
          <cell r="N14">
            <v>0.94399999999999995</v>
          </cell>
          <cell r="O14">
            <v>0.91297841130589363</v>
          </cell>
          <cell r="P14">
            <v>0.95599999999999996</v>
          </cell>
          <cell r="Q14">
            <v>0.93460541028918864</v>
          </cell>
          <cell r="R14">
            <v>0.94899999999999995</v>
          </cell>
          <cell r="S14">
            <v>0.92965096601433961</v>
          </cell>
          <cell r="T14">
            <v>0.95599999999999996</v>
          </cell>
          <cell r="U14">
            <v>0.93925520157985098</v>
          </cell>
          <cell r="V14">
            <v>0.96099999999999997</v>
          </cell>
          <cell r="W14">
            <v>0.94904835860510717</v>
          </cell>
          <cell r="X14">
            <v>0.97</v>
          </cell>
          <cell r="Y14">
            <v>0.94904835860510717</v>
          </cell>
          <cell r="Z14">
            <v>0.95899999999999996</v>
          </cell>
          <cell r="AA14">
            <v>0.94904835860510717</v>
          </cell>
          <cell r="AB14">
            <v>0.96399999999999997</v>
          </cell>
          <cell r="AC14">
            <v>0.95280255385179702</v>
          </cell>
          <cell r="AD14">
            <v>0.96200000000000008</v>
          </cell>
          <cell r="AE14">
            <v>0.95728171406405815</v>
          </cell>
          <cell r="AF14">
            <v>0.96399999999999997</v>
          </cell>
          <cell r="AG14" t="str">
            <v>Mgmt guided to an avg 2007 occupancy of 95% and expects slightly lower occupancy in 1H07 and slightly higher in 2H07.</v>
          </cell>
        </row>
        <row r="15">
          <cell r="A15" t="str">
            <v>Rent Growth</v>
          </cell>
          <cell r="B15">
            <v>-0.14699999999999999</v>
          </cell>
          <cell r="D15">
            <v>-0.13700000000000001</v>
          </cell>
          <cell r="F15">
            <v>-0.13200000000000001</v>
          </cell>
          <cell r="H15">
            <v>-0.124</v>
          </cell>
          <cell r="J15">
            <v>-8.5999999999999993E-2</v>
          </cell>
          <cell r="L15">
            <v>-0.14599999999999999</v>
          </cell>
          <cell r="N15">
            <v>-7.5999999999999998E-2</v>
          </cell>
          <cell r="O15">
            <v>-8.8285487336452161E-3</v>
          </cell>
          <cell r="P15">
            <v>-4.2999999999999997E-2</v>
          </cell>
          <cell r="Q15">
            <v>-1.8240923781743058E-2</v>
          </cell>
          <cell r="R15">
            <v>-0.115</v>
          </cell>
          <cell r="S15">
            <v>-1.2204640415813987E-2</v>
          </cell>
          <cell r="T15">
            <v>-8.9999999999999993E-3</v>
          </cell>
          <cell r="U15">
            <v>9.1677813019672861E-3</v>
          </cell>
          <cell r="V15">
            <v>9.9000000000000005E-2</v>
          </cell>
          <cell r="W15">
            <v>4.3756794075541595E-2</v>
          </cell>
          <cell r="X15">
            <v>4.1000000000000002E-2</v>
          </cell>
          <cell r="Y15">
            <v>4.3756794075541595E-2</v>
          </cell>
          <cell r="Z15">
            <v>2.8000000000000001E-2</v>
          </cell>
          <cell r="AA15">
            <v>4.3756794075541595E-2</v>
          </cell>
          <cell r="AB15">
            <v>0.02</v>
          </cell>
          <cell r="AC15">
            <v>6.2788188992966162E-2</v>
          </cell>
          <cell r="AD15">
            <v>8.900000000000001E-2</v>
          </cell>
          <cell r="AE15">
            <v>9.9751752196506685E-2</v>
          </cell>
          <cell r="AF15">
            <v>4.9000000000000002E-2</v>
          </cell>
        </row>
        <row r="17">
          <cell r="A17" t="str">
            <v>Development Starts (MM)</v>
          </cell>
          <cell r="B17">
            <v>152</v>
          </cell>
          <cell r="D17">
            <v>0</v>
          </cell>
          <cell r="F17">
            <v>345.7</v>
          </cell>
          <cell r="H17">
            <v>150.80000000000001</v>
          </cell>
          <cell r="J17">
            <v>90</v>
          </cell>
          <cell r="L17">
            <v>82.1</v>
          </cell>
          <cell r="N17">
            <v>162.9</v>
          </cell>
          <cell r="P17">
            <v>187</v>
          </cell>
          <cell r="R17">
            <v>218</v>
          </cell>
          <cell r="T17">
            <v>134.6</v>
          </cell>
          <cell r="V17">
            <v>251</v>
          </cell>
          <cell r="X17">
            <v>309.7</v>
          </cell>
          <cell r="Z17">
            <v>190.744</v>
          </cell>
          <cell r="AB17">
            <v>265.13400000000001</v>
          </cell>
          <cell r="AD17">
            <v>232.99700000000001</v>
          </cell>
          <cell r="AF17">
            <v>396.47299999999996</v>
          </cell>
          <cell r="AG17" t="str">
            <v>AMB expects $1.1B of development starts in 2007, evenly split between Europe/Asia and North America.</v>
          </cell>
        </row>
        <row r="18">
          <cell r="A18" t="str">
            <v>Development Margins</v>
          </cell>
          <cell r="N18">
            <v>9.5690284879474063E-2</v>
          </cell>
          <cell r="P18">
            <v>0.4122642685922997</v>
          </cell>
          <cell r="R18">
            <v>0.16795414901569897</v>
          </cell>
          <cell r="T18">
            <v>0.25523432459705214</v>
          </cell>
          <cell r="V18">
            <v>0.25537909852800678</v>
          </cell>
          <cell r="X18">
            <v>0.19169212518326384</v>
          </cell>
          <cell r="Z18">
            <v>0.22</v>
          </cell>
          <cell r="AB18">
            <v>0.30499999999999999</v>
          </cell>
          <cell r="AD18">
            <v>0.34699999999999998</v>
          </cell>
          <cell r="AF18">
            <v>0.65500000000000003</v>
          </cell>
          <cell r="AG18" t="str">
            <v>Development margins remain very strong despite the lack of assets sales in Asia.  Mgmt stated that undewritten margins on new starts are in the 12-15% range, and margins in the current pipeline are ~20%.</v>
          </cell>
        </row>
        <row r="19">
          <cell r="A19" t="str">
            <v>Acquisitions (MM)</v>
          </cell>
          <cell r="B19">
            <v>134.19999999999999</v>
          </cell>
          <cell r="D19">
            <v>305</v>
          </cell>
          <cell r="F19">
            <v>51.597000000000001</v>
          </cell>
          <cell r="H19">
            <v>199.5</v>
          </cell>
          <cell r="J19">
            <v>77.8</v>
          </cell>
          <cell r="L19">
            <v>139.80000000000001</v>
          </cell>
          <cell r="N19">
            <v>158.5</v>
          </cell>
          <cell r="P19">
            <v>178</v>
          </cell>
          <cell r="R19">
            <v>153.35599999999999</v>
          </cell>
          <cell r="T19">
            <v>133.26444000000001</v>
          </cell>
          <cell r="V19">
            <v>115.595</v>
          </cell>
          <cell r="X19">
            <v>318.45400000000001</v>
          </cell>
          <cell r="Z19">
            <v>45.36224</v>
          </cell>
          <cell r="AB19">
            <v>108.8142</v>
          </cell>
          <cell r="AD19">
            <v>37.20288</v>
          </cell>
          <cell r="AF19">
            <v>59.29871</v>
          </cell>
          <cell r="AG19" t="str">
            <v>AMB did not chance expectations of $800MM of acquisitions in 2007, evenly split between Europe/Asia and North America.</v>
          </cell>
        </row>
        <row r="20">
          <cell r="A20" t="str">
            <v>Dispositions (MM)</v>
          </cell>
          <cell r="B20">
            <v>5</v>
          </cell>
          <cell r="D20">
            <v>12.9</v>
          </cell>
          <cell r="F20">
            <v>62.841000000000001</v>
          </cell>
          <cell r="H20">
            <v>119.5</v>
          </cell>
          <cell r="J20">
            <v>142</v>
          </cell>
          <cell r="L20">
            <v>33.200000000000003</v>
          </cell>
          <cell r="N20">
            <v>76.778999999999996</v>
          </cell>
          <cell r="P20">
            <v>76.778999999999996</v>
          </cell>
          <cell r="R20">
            <v>16.8</v>
          </cell>
          <cell r="T20">
            <v>37.140999999999998</v>
          </cell>
          <cell r="V20">
            <v>5.17</v>
          </cell>
          <cell r="X20">
            <v>-124.17660000000001</v>
          </cell>
          <cell r="Z20">
            <v>0</v>
          </cell>
          <cell r="AB20">
            <v>0</v>
          </cell>
          <cell r="AD20">
            <v>-7.55</v>
          </cell>
          <cell r="AF20">
            <v>-8.7880000000000003</v>
          </cell>
          <cell r="AG20" t="str">
            <v>AMB still expects $150MM of dispositions in 2007, as stated in previous guidance.</v>
          </cell>
        </row>
        <row r="22">
          <cell r="A22" t="str">
            <v xml:space="preserve">   Debt/Market Cap</v>
          </cell>
          <cell r="B22">
            <v>0.371</v>
          </cell>
          <cell r="D22">
            <v>0.41099999999999998</v>
          </cell>
          <cell r="F22">
            <v>0.41499999999999998</v>
          </cell>
          <cell r="H22">
            <v>0.378</v>
          </cell>
          <cell r="J22">
            <v>0.40400000000000003</v>
          </cell>
          <cell r="L22">
            <v>0.377</v>
          </cell>
          <cell r="N22">
            <v>0.374</v>
          </cell>
          <cell r="P22">
            <v>0.34699999999999998</v>
          </cell>
          <cell r="R22">
            <v>0.34399999999999997</v>
          </cell>
          <cell r="T22">
            <v>0.37067570923768217</v>
          </cell>
          <cell r="V22">
            <v>0.35599712397671968</v>
          </cell>
          <cell r="X22">
            <v>0.34576777194386304</v>
          </cell>
          <cell r="Z22">
            <v>0.30758183640481163</v>
          </cell>
          <cell r="AB22">
            <v>0.32152523946394762</v>
          </cell>
          <cell r="AD22">
            <v>0.33789122026260038</v>
          </cell>
          <cell r="AF22">
            <v>0.33554529206726197</v>
          </cell>
          <cell r="AG22" t="str">
            <v>AMB issued 8.4MM shares in 1Q07.</v>
          </cell>
        </row>
        <row r="23">
          <cell r="A23" t="str">
            <v xml:space="preserve">   Fixed Charge Coverage</v>
          </cell>
          <cell r="B23" t="str">
            <v>2.4x</v>
          </cell>
          <cell r="D23" t="str">
            <v>2.4x</v>
          </cell>
          <cell r="F23">
            <v>2.4</v>
          </cell>
          <cell r="H23">
            <v>2.4</v>
          </cell>
          <cell r="J23">
            <v>2.5</v>
          </cell>
          <cell r="L23">
            <v>2.2999999999999998</v>
          </cell>
          <cell r="N23">
            <v>2.2000000000000002</v>
          </cell>
          <cell r="P23">
            <v>3.3</v>
          </cell>
          <cell r="R23">
            <v>2.2999999999999998</v>
          </cell>
          <cell r="T23">
            <v>2.6631121475514097</v>
          </cell>
          <cell r="V23">
            <v>2.2227201667535175</v>
          </cell>
          <cell r="X23">
            <v>3.3534941339357283</v>
          </cell>
          <cell r="Z23">
            <v>2.4596874421556443</v>
          </cell>
          <cell r="AB23">
            <v>3.0530532408027651</v>
          </cell>
          <cell r="AD23">
            <v>4.0692584023380416</v>
          </cell>
          <cell r="AF23">
            <v>4.5544766818353093</v>
          </cell>
        </row>
        <row r="25">
          <cell r="A25" t="str">
            <v>Mgt FFOPS Guidance - Next Quarter</v>
          </cell>
          <cell r="B25" t="str">
            <v>na</v>
          </cell>
          <cell r="D25" t="str">
            <v>na</v>
          </cell>
          <cell r="F25" t="str">
            <v>na</v>
          </cell>
          <cell r="H25" t="str">
            <v>na</v>
          </cell>
          <cell r="J25" t="str">
            <v>$0.50-0.53</v>
          </cell>
          <cell r="L25" t="str">
            <v>$0.48-0.50</v>
          </cell>
          <cell r="N25" t="str">
            <v>$0.96-1.11</v>
          </cell>
          <cell r="P25" t="str">
            <v>$$0.47-0.49</v>
          </cell>
          <cell r="R25" t="str">
            <v>$0.70-0.73</v>
          </cell>
          <cell r="T25" t="str">
            <v>$0.62-0.64</v>
          </cell>
          <cell r="V25" t="str">
            <v>$0.98-1.03</v>
          </cell>
          <cell r="Z25" t="str">
            <v>$0.65-0.67</v>
          </cell>
          <cell r="AG25" t="str">
            <v>Mgmt expects 1Q07 of $0.65-0.67, including $0.23-0.25 of development profits and $0.03 in preferred redemption charges.</v>
          </cell>
        </row>
        <row r="26">
          <cell r="A26" t="str">
            <v>Mgt FFOPS Guidance - 2006</v>
          </cell>
          <cell r="B26" t="str">
            <v>na</v>
          </cell>
          <cell r="D26" t="str">
            <v>na</v>
          </cell>
          <cell r="F26" t="str">
            <v>na</v>
          </cell>
          <cell r="H26" t="str">
            <v>na</v>
          </cell>
          <cell r="J26" t="str">
            <v>na</v>
          </cell>
          <cell r="L26" t="str">
            <v>na</v>
          </cell>
          <cell r="N26" t="str">
            <v>$2.80-3.10</v>
          </cell>
          <cell r="P26" t="str">
            <v>$2.80-3.10</v>
          </cell>
          <cell r="R26" t="str">
            <v>$2.85-3.10</v>
          </cell>
          <cell r="T26" t="str">
            <v>$3.00-3.10</v>
          </cell>
          <cell r="V26" t="str">
            <v>$3.08-3.13</v>
          </cell>
          <cell r="X26" t="str">
            <v>N/A</v>
          </cell>
          <cell r="Z26" t="str">
            <v>N/A</v>
          </cell>
          <cell r="AB26" t="str">
            <v>N/A</v>
          </cell>
        </row>
        <row r="27">
          <cell r="A27" t="str">
            <v>Mgt FFOPS Guidance - 2007</v>
          </cell>
          <cell r="X27" t="str">
            <v>$3.20-3.40</v>
          </cell>
          <cell r="Z27" t="str">
            <v>$3.20-3.40</v>
          </cell>
          <cell r="AB27" t="str">
            <v>$3.20-3.40</v>
          </cell>
          <cell r="AD27" t="str">
            <v>$3.47-3.52</v>
          </cell>
          <cell r="AG27" t="str">
            <v>Management assumes SS NOIT at the high-end of its previous 3-4% guidance.</v>
          </cell>
        </row>
        <row r="28">
          <cell r="AD28" t="str">
            <v>$3.85-4.05</v>
          </cell>
        </row>
      </sheetData>
      <sheetData sheetId="18" refreshError="1"/>
      <sheetData sheetId="19" refreshError="1">
        <row r="1">
          <cell r="A1" t="str">
            <v>AMB Property Corp</v>
          </cell>
          <cell r="H1" t="str">
            <v>Matthew Ostrower</v>
          </cell>
        </row>
        <row r="2">
          <cell r="A2" t="str">
            <v>Quarterly Earnings Variance Analysis</v>
          </cell>
          <cell r="H2" t="str">
            <v>Morgan Stanley REIT Research Team</v>
          </cell>
        </row>
        <row r="3">
          <cell r="A3" t="str">
            <v>($ in Thousands, Except per Share Amounts)</v>
          </cell>
          <cell r="H3" t="str">
            <v>(212) 761-6284  Matthew.Ostrower@morganstanley.com</v>
          </cell>
        </row>
        <row r="6">
          <cell r="B6" t="str">
            <v>MS</v>
          </cell>
          <cell r="C6" t="str">
            <v>Reported</v>
          </cell>
          <cell r="E6" t="str">
            <v>Per Share</v>
          </cell>
        </row>
        <row r="7">
          <cell r="A7" t="str">
            <v>Year Ends December 31</v>
          </cell>
          <cell r="B7" t="str">
            <v>1Q08</v>
          </cell>
          <cell r="C7" t="str">
            <v>1Q08</v>
          </cell>
          <cell r="D7" t="str">
            <v>Variance</v>
          </cell>
          <cell r="E7" t="str">
            <v>Impact</v>
          </cell>
          <cell r="F7" t="str">
            <v>Comments</v>
          </cell>
          <cell r="G7" t="str">
            <v>1Q07A</v>
          </cell>
          <cell r="H7" t="str">
            <v>4Q07A</v>
          </cell>
        </row>
        <row r="9">
          <cell r="A9" t="str">
            <v>Property Operating Margin</v>
          </cell>
          <cell r="B9">
            <v>0.73323312531956697</v>
          </cell>
          <cell r="C9">
            <v>0.72580966140623837</v>
          </cell>
          <cell r="G9">
            <v>0.72700855122715669</v>
          </cell>
          <cell r="H9">
            <v>0.72269551303832114</v>
          </cell>
        </row>
        <row r="10">
          <cell r="A10" t="str">
            <v>G&amp;A / Total Revenues</v>
          </cell>
          <cell r="B10">
            <v>0.18434601858563146</v>
          </cell>
          <cell r="C10">
            <v>0.19271026614115164</v>
          </cell>
          <cell r="G10">
            <v>0.1734442177576449</v>
          </cell>
          <cell r="H10">
            <v>0.1986807524426783</v>
          </cell>
        </row>
        <row r="11">
          <cell r="A11" t="str">
            <v>Property Level Income</v>
          </cell>
        </row>
        <row r="12">
          <cell r="A12" t="str">
            <v>Rental Revenues</v>
          </cell>
          <cell r="B12">
            <v>162238.31342187501</v>
          </cell>
          <cell r="C12">
            <v>162238.31342187501</v>
          </cell>
          <cell r="D12">
            <v>0</v>
          </cell>
          <cell r="E12">
            <v>0</v>
          </cell>
          <cell r="G12">
            <v>162082</v>
          </cell>
          <cell r="H12">
            <v>161869</v>
          </cell>
        </row>
        <row r="13">
          <cell r="A13" t="str">
            <v>Lease Term Fees</v>
          </cell>
          <cell r="B13">
            <v>1000</v>
          </cell>
          <cell r="C13">
            <v>1000</v>
          </cell>
          <cell r="D13">
            <v>0</v>
          </cell>
          <cell r="E13">
            <v>0</v>
          </cell>
          <cell r="G13">
            <v>118</v>
          </cell>
          <cell r="H13">
            <v>1000</v>
          </cell>
        </row>
        <row r="14">
          <cell r="A14" t="str">
            <v>Property Operating Expenses</v>
          </cell>
          <cell r="B14">
            <v>46891.46029991073</v>
          </cell>
          <cell r="C14">
            <v>44484.178090024718</v>
          </cell>
          <cell r="D14">
            <v>2407.2822098860124</v>
          </cell>
          <cell r="E14">
            <v>2.2575922936818427E-2</v>
          </cell>
          <cell r="G14">
            <v>44247</v>
          </cell>
          <cell r="H14">
            <v>44887</v>
          </cell>
        </row>
        <row r="15">
          <cell r="A15" t="str">
            <v>Acquisitions &amp; Development NOI</v>
          </cell>
          <cell r="B15">
            <v>6025.6207924999999</v>
          </cell>
          <cell r="C15">
            <v>6025.6207924999999</v>
          </cell>
          <cell r="D15">
            <v>0</v>
          </cell>
          <cell r="E15">
            <v>0</v>
          </cell>
          <cell r="G15">
            <v>0</v>
          </cell>
          <cell r="H15">
            <v>0</v>
          </cell>
        </row>
        <row r="16">
          <cell r="A16" t="str">
            <v xml:space="preserve">   Consolidated Property NOI</v>
          </cell>
          <cell r="B16">
            <v>121372.47391446428</v>
          </cell>
          <cell r="C16">
            <v>123779.7561243503</v>
          </cell>
          <cell r="D16">
            <v>2407.2822098860197</v>
          </cell>
          <cell r="E16">
            <v>2.2575922936818493E-2</v>
          </cell>
          <cell r="G16">
            <v>117835</v>
          </cell>
          <cell r="H16">
            <v>116982</v>
          </cell>
        </row>
        <row r="18">
          <cell r="A18" t="str">
            <v>AMB Share of Unconsolidated NOI</v>
          </cell>
          <cell r="B18">
            <v>19251.75</v>
          </cell>
          <cell r="C18">
            <v>19251.75</v>
          </cell>
          <cell r="D18">
            <v>0</v>
          </cell>
          <cell r="E18">
            <v>0</v>
          </cell>
          <cell r="G18">
            <v>11046</v>
          </cell>
          <cell r="H18">
            <v>18335</v>
          </cell>
        </row>
        <row r="19">
          <cell r="A19" t="str">
            <v>Consolidated JV Interest in NOI</v>
          </cell>
          <cell r="B19">
            <v>-29276.017647539265</v>
          </cell>
          <cell r="C19">
            <v>-29856.673493022794</v>
          </cell>
          <cell r="D19">
            <v>-580.65584548352854</v>
          </cell>
          <cell r="E19">
            <v>-5.4454943282574277E-3</v>
          </cell>
          <cell r="G19">
            <v>-26754</v>
          </cell>
          <cell r="H19">
            <v>-28217</v>
          </cell>
        </row>
        <row r="20">
          <cell r="A20" t="str">
            <v>Discontinued Operations EBITDA</v>
          </cell>
          <cell r="B20">
            <v>0</v>
          </cell>
          <cell r="C20">
            <v>0</v>
          </cell>
          <cell r="D20">
            <v>0</v>
          </cell>
          <cell r="E20">
            <v>0</v>
          </cell>
          <cell r="G20">
            <v>12</v>
          </cell>
          <cell r="H20">
            <v>2282</v>
          </cell>
        </row>
        <row r="21">
          <cell r="A21" t="str">
            <v xml:space="preserve">   AMB Pro-Rata Share of NOI</v>
          </cell>
          <cell r="B21">
            <v>111348.20626692503</v>
          </cell>
          <cell r="C21">
            <v>113174.8326313275</v>
          </cell>
          <cell r="D21">
            <v>1826.626364402473</v>
          </cell>
          <cell r="E21">
            <v>1.7130428608560896E-2</v>
          </cell>
          <cell r="G21">
            <v>102139</v>
          </cell>
          <cell r="H21">
            <v>109382</v>
          </cell>
        </row>
        <row r="23">
          <cell r="A23" t="str">
            <v>Development Gains and Asset Management</v>
          </cell>
        </row>
        <row r="24">
          <cell r="A24" t="str">
            <v>Development Profits</v>
          </cell>
          <cell r="B24">
            <v>23000</v>
          </cell>
          <cell r="C24">
            <v>16557.263999999996</v>
          </cell>
          <cell r="D24">
            <v>-6442.7360000000044</v>
          </cell>
          <cell r="E24">
            <v>-6.0421130036578952E-2</v>
          </cell>
          <cell r="G24">
            <v>12192</v>
          </cell>
          <cell r="H24">
            <v>84707</v>
          </cell>
        </row>
        <row r="25">
          <cell r="A25" t="str">
            <v>Development Profits - Unconsolidated JVs</v>
          </cell>
          <cell r="B25">
            <v>0</v>
          </cell>
          <cell r="C25">
            <v>0</v>
          </cell>
          <cell r="D25">
            <v>0</v>
          </cell>
          <cell r="E25">
            <v>0</v>
          </cell>
          <cell r="G25">
            <v>0</v>
          </cell>
          <cell r="H25">
            <v>0</v>
          </cell>
        </row>
        <row r="26">
          <cell r="A26" t="str">
            <v>JV Partner Share of Dev Profits (non-LP)</v>
          </cell>
          <cell r="B26">
            <v>-1480.0783878546047</v>
          </cell>
          <cell r="C26">
            <v>-1065.4803742783947</v>
          </cell>
          <cell r="D26">
            <v>414.59801357620995</v>
          </cell>
          <cell r="E26">
            <v>3.8881742929083992E-3</v>
          </cell>
          <cell r="G26">
            <v>-12</v>
          </cell>
          <cell r="H26">
            <v>-5451</v>
          </cell>
        </row>
        <row r="27">
          <cell r="A27" t="str">
            <v>Net Development Profits</v>
          </cell>
          <cell r="B27">
            <v>21519.921612145394</v>
          </cell>
          <cell r="C27">
            <v>15491.7836257216</v>
          </cell>
          <cell r="D27">
            <v>-6028.1379864237933</v>
          </cell>
          <cell r="E27">
            <v>-5.6532955743670538E-2</v>
          </cell>
          <cell r="G27">
            <v>12180</v>
          </cell>
          <cell r="H27">
            <v>79256</v>
          </cell>
        </row>
        <row r="29">
          <cell r="A29" t="str">
            <v>Private Capital Income</v>
          </cell>
          <cell r="B29">
            <v>5935.0349894088158</v>
          </cell>
          <cell r="C29">
            <v>5935.0349894088158</v>
          </cell>
          <cell r="D29">
            <v>0</v>
          </cell>
          <cell r="E29">
            <v>0</v>
          </cell>
          <cell r="G29">
            <v>5925</v>
          </cell>
          <cell r="H29">
            <v>9700</v>
          </cell>
        </row>
        <row r="31">
          <cell r="A31" t="str">
            <v>Other Income / Expenses</v>
          </cell>
        </row>
        <row r="32">
          <cell r="A32" t="str">
            <v>G&amp;A Expenses</v>
          </cell>
          <cell r="B32">
            <v>34454.758663986671</v>
          </cell>
          <cell r="C32">
            <v>33346.680386921762</v>
          </cell>
          <cell r="D32">
            <v>-1108.0782770649093</v>
          </cell>
          <cell r="E32">
            <v>-1.039175618390187E-2</v>
          </cell>
          <cell r="G32">
            <v>30095</v>
          </cell>
          <cell r="H32">
            <v>34548</v>
          </cell>
        </row>
        <row r="33">
          <cell r="A33" t="str">
            <v>Other Income</v>
          </cell>
          <cell r="B33">
            <v>4867.1494026562495</v>
          </cell>
          <cell r="C33">
            <v>4867.1494026562495</v>
          </cell>
          <cell r="D33">
            <v>0</v>
          </cell>
          <cell r="E33">
            <v>0</v>
          </cell>
          <cell r="G33">
            <v>5507</v>
          </cell>
          <cell r="H33">
            <v>2318</v>
          </cell>
        </row>
        <row r="34">
          <cell r="A34" t="str">
            <v>Other Expenses</v>
          </cell>
          <cell r="B34">
            <v>-973.42988053124998</v>
          </cell>
          <cell r="C34">
            <v>-973.42988053124998</v>
          </cell>
          <cell r="D34">
            <v>0</v>
          </cell>
          <cell r="E34">
            <v>0</v>
          </cell>
          <cell r="G34">
            <v>-912</v>
          </cell>
          <cell r="H34">
            <v>-2117</v>
          </cell>
        </row>
        <row r="35">
          <cell r="A35" t="str">
            <v>AMB Share of Other Unconsolidated JV Expenses</v>
          </cell>
          <cell r="B35">
            <v>-2573.1696579557984</v>
          </cell>
          <cell r="C35">
            <v>-2573.1696579557984</v>
          </cell>
          <cell r="D35">
            <v>0</v>
          </cell>
          <cell r="E35">
            <v>0</v>
          </cell>
          <cell r="G35">
            <v>-1303</v>
          </cell>
          <cell r="H35">
            <v>-6857</v>
          </cell>
        </row>
        <row r="36">
          <cell r="A36" t="str">
            <v>Cons. JV Partner Share of Other Expense</v>
          </cell>
          <cell r="B36">
            <v>0</v>
          </cell>
          <cell r="C36">
            <v>0</v>
          </cell>
          <cell r="D36">
            <v>0</v>
          </cell>
          <cell r="E36">
            <v>0</v>
          </cell>
          <cell r="G36">
            <v>-423</v>
          </cell>
          <cell r="H36">
            <v>0</v>
          </cell>
        </row>
        <row r="38">
          <cell r="A38" t="str">
            <v>EBITDA</v>
          </cell>
          <cell r="B38">
            <v>105668.95406866177</v>
          </cell>
          <cell r="C38">
            <v>102575.52072370534</v>
          </cell>
          <cell r="D38">
            <v>-3093.4333449564292</v>
          </cell>
          <cell r="E38">
            <v>-2.9010770951207944E-2</v>
          </cell>
          <cell r="G38">
            <v>93018</v>
          </cell>
          <cell r="H38">
            <v>157134</v>
          </cell>
        </row>
        <row r="40">
          <cell r="A40" t="str">
            <v>Consolidated Interest Expense</v>
          </cell>
          <cell r="B40">
            <v>35993.866384877358</v>
          </cell>
          <cell r="C40">
            <v>36138.72631474783</v>
          </cell>
          <cell r="D40">
            <v>144.85992987047211</v>
          </cell>
          <cell r="E40">
            <v>1.3585223202989378E-3</v>
          </cell>
          <cell r="G40">
            <v>33865</v>
          </cell>
          <cell r="H40">
            <v>30551</v>
          </cell>
        </row>
        <row r="41">
          <cell r="A41" t="str">
            <v>AMB Share of Unconsolidated Int Exp</v>
          </cell>
          <cell r="B41">
            <v>6951.8874574530564</v>
          </cell>
          <cell r="C41">
            <v>6951.8874574530564</v>
          </cell>
          <cell r="D41">
            <v>0</v>
          </cell>
          <cell r="E41">
            <v>0</v>
          </cell>
          <cell r="G41">
            <v>4068</v>
          </cell>
          <cell r="H41">
            <v>5395</v>
          </cell>
        </row>
        <row r="42">
          <cell r="A42" t="str">
            <v>Consolidated JV Share of Int Exp</v>
          </cell>
          <cell r="B42">
            <v>-14917.82056774957</v>
          </cell>
          <cell r="C42">
            <v>-14977.858420259141</v>
          </cell>
          <cell r="D42">
            <v>-60.037852509571167</v>
          </cell>
          <cell r="E42">
            <v>-5.6304571436696226E-4</v>
          </cell>
          <cell r="G42">
            <v>-10873</v>
          </cell>
          <cell r="H42">
            <v>-12662</v>
          </cell>
        </row>
        <row r="43">
          <cell r="A43" t="str">
            <v>AMB Pro-Rata Share of Interest Expense</v>
          </cell>
          <cell r="B43">
            <v>28027.933274580842</v>
          </cell>
          <cell r="C43">
            <v>28112.755351941745</v>
          </cell>
          <cell r="D43">
            <v>84.822077360902767</v>
          </cell>
          <cell r="E43">
            <v>7.9547660593199255E-4</v>
          </cell>
          <cell r="G43">
            <v>27060</v>
          </cell>
          <cell r="H43">
            <v>23284</v>
          </cell>
        </row>
        <row r="45">
          <cell r="A45" t="str">
            <v>Non Real Estate Depreciation</v>
          </cell>
          <cell r="B45">
            <v>1981.9495313626533</v>
          </cell>
          <cell r="C45">
            <v>1680.1067715064153</v>
          </cell>
          <cell r="D45">
            <v>-301.84275985623799</v>
          </cell>
          <cell r="E45">
            <v>-2.8307353652041018E-3</v>
          </cell>
          <cell r="G45">
            <v>1177</v>
          </cell>
          <cell r="H45">
            <v>1658</v>
          </cell>
        </row>
        <row r="46">
          <cell r="A46" t="str">
            <v>Impairment Charges</v>
          </cell>
          <cell r="B46">
            <v>0</v>
          </cell>
          <cell r="C46">
            <v>0</v>
          </cell>
          <cell r="D46">
            <v>0</v>
          </cell>
          <cell r="E46">
            <v>0</v>
          </cell>
          <cell r="G46">
            <v>-257</v>
          </cell>
          <cell r="H46">
            <v>-900</v>
          </cell>
        </row>
        <row r="47">
          <cell r="A47" t="str">
            <v xml:space="preserve">   Loss on Investments in other companies</v>
          </cell>
          <cell r="B47">
            <v>0</v>
          </cell>
          <cell r="C47">
            <v>0</v>
          </cell>
          <cell r="D47">
            <v>0</v>
          </cell>
          <cell r="E47">
            <v>0</v>
          </cell>
          <cell r="G47">
            <v>0</v>
          </cell>
          <cell r="H47">
            <v>0</v>
          </cell>
        </row>
        <row r="48">
          <cell r="A48" t="str">
            <v xml:space="preserve">   Preferred Dividend</v>
          </cell>
          <cell r="B48">
            <v>-3951.5625</v>
          </cell>
          <cell r="C48">
            <v>-3951.5625</v>
          </cell>
          <cell r="D48">
            <v>0</v>
          </cell>
          <cell r="E48">
            <v>0</v>
          </cell>
          <cell r="G48">
            <v>-3952</v>
          </cell>
          <cell r="H48">
            <v>-3950</v>
          </cell>
        </row>
        <row r="49">
          <cell r="A49" t="str">
            <v xml:space="preserve">   Preferred Unit Redemption Premium</v>
          </cell>
          <cell r="B49">
            <v>0</v>
          </cell>
          <cell r="C49">
            <v>0</v>
          </cell>
          <cell r="D49">
            <v>0</v>
          </cell>
          <cell r="E49">
            <v>0</v>
          </cell>
          <cell r="G49">
            <v>0</v>
          </cell>
          <cell r="H49">
            <v>0</v>
          </cell>
        </row>
        <row r="50">
          <cell r="A50" t="str">
            <v>Preferred Unit holders</v>
          </cell>
          <cell r="B50">
            <v>-1431.81765</v>
          </cell>
          <cell r="C50">
            <v>-1431.81765</v>
          </cell>
          <cell r="D50">
            <v>0</v>
          </cell>
          <cell r="E50">
            <v>0</v>
          </cell>
          <cell r="G50">
            <v>-3699</v>
          </cell>
          <cell r="H50">
            <v>-1432</v>
          </cell>
        </row>
        <row r="52">
          <cell r="A52" t="str">
            <v>Funds from Operations</v>
          </cell>
          <cell r="B52">
            <v>70275.691112718268</v>
          </cell>
          <cell r="C52">
            <v>67399.278450257189</v>
          </cell>
          <cell r="D52">
            <v>-2876.4126624610799</v>
          </cell>
          <cell r="E52">
            <v>-2.6975512191935704E-2</v>
          </cell>
          <cell r="G52">
            <v>56873</v>
          </cell>
          <cell r="H52">
            <v>125910</v>
          </cell>
        </row>
        <row r="54">
          <cell r="A54" t="str">
            <v>- Tenant Improvements &amp; Lease Commissions</v>
          </cell>
          <cell r="B54">
            <v>7794.3744386847529</v>
          </cell>
          <cell r="C54">
            <v>7922.2382841929257</v>
          </cell>
          <cell r="D54">
            <v>127.86384550817274</v>
          </cell>
          <cell r="E54">
            <v>1.1991300025992592E-3</v>
          </cell>
          <cell r="G54">
            <v>10695</v>
          </cell>
          <cell r="H54">
            <v>12217</v>
          </cell>
        </row>
        <row r="55">
          <cell r="A55" t="str">
            <v>- Capital Expenditures</v>
          </cell>
          <cell r="B55">
            <v>12080.350385577767</v>
          </cell>
          <cell r="C55">
            <v>10474.016115329106</v>
          </cell>
          <cell r="D55">
            <v>-1606.3342702486607</v>
          </cell>
          <cell r="E55">
            <v>-1.5064489965894523E-2</v>
          </cell>
          <cell r="G55">
            <v>2998</v>
          </cell>
          <cell r="H55">
            <v>10123</v>
          </cell>
        </row>
        <row r="56">
          <cell r="A56" t="str">
            <v>- Adjustment For Straight-lining</v>
          </cell>
          <cell r="B56">
            <v>3552.9190467228191</v>
          </cell>
          <cell r="C56">
            <v>4634.3098074245845</v>
          </cell>
          <cell r="D56">
            <v>1081.3907607017654</v>
          </cell>
          <cell r="E56">
            <v>1.0141475884269719E-2</v>
          </cell>
          <cell r="G56">
            <v>4619</v>
          </cell>
          <cell r="H56">
            <v>4479</v>
          </cell>
        </row>
        <row r="57">
          <cell r="A57" t="str">
            <v>+ JV Partners' share of capex</v>
          </cell>
          <cell r="B57">
            <v>-6589.7656952244442</v>
          </cell>
          <cell r="C57">
            <v>-4906.4293607518148</v>
          </cell>
          <cell r="D57">
            <v>1683.3363344726295</v>
          </cell>
          <cell r="E57">
            <v>1.5786629090570967E-2</v>
          </cell>
          <cell r="G57">
            <v>-5046</v>
          </cell>
          <cell r="H57">
            <v>-4742</v>
          </cell>
        </row>
        <row r="58">
          <cell r="A58" t="str">
            <v xml:space="preserve">   Adjusted Funds From Operations</v>
          </cell>
          <cell r="B58">
            <v>53437.812936957373</v>
          </cell>
          <cell r="C58">
            <v>49275.143604062381</v>
          </cell>
          <cell r="D58">
            <v>-4162.6693328949914</v>
          </cell>
          <cell r="E58">
            <v>-3.9038257203481169E-2</v>
          </cell>
          <cell r="G58">
            <v>43607</v>
          </cell>
          <cell r="H58">
            <v>103833</v>
          </cell>
        </row>
        <row r="60">
          <cell r="A60" t="str">
            <v>FFO Per Share</v>
          </cell>
          <cell r="B60">
            <v>0.6590579951020813</v>
          </cell>
          <cell r="C60">
            <v>0.63208248291014568</v>
          </cell>
          <cell r="D60">
            <v>-2.6975512191935613E-2</v>
          </cell>
          <cell r="G60">
            <v>0.57000253064967543</v>
          </cell>
          <cell r="H60">
            <v>1.1976600399505375</v>
          </cell>
        </row>
        <row r="62">
          <cell r="A62" t="str">
            <v>AFFO Per Share</v>
          </cell>
          <cell r="B62">
            <v>0.50114936330377036</v>
          </cell>
          <cell r="C62">
            <v>0.46211110610028916</v>
          </cell>
          <cell r="D62">
            <v>-3.9038257203481197E-2</v>
          </cell>
          <cell r="G62">
            <v>0.43704570453537522</v>
          </cell>
          <cell r="H62">
            <v>0.98766289356035386</v>
          </cell>
        </row>
        <row r="63">
          <cell r="A63" t="str">
            <v>Dividends Per Share</v>
          </cell>
          <cell r="B63">
            <v>0.5</v>
          </cell>
          <cell r="C63">
            <v>0.5</v>
          </cell>
          <cell r="D63">
            <v>0</v>
          </cell>
          <cell r="G63">
            <v>0.5</v>
          </cell>
          <cell r="H63">
            <v>0.5</v>
          </cell>
        </row>
        <row r="64">
          <cell r="A64" t="str">
            <v>NOI Per Share</v>
          </cell>
          <cell r="B64">
            <v>1.0442433851385013</v>
          </cell>
          <cell r="C64">
            <v>1.0613738137470623</v>
          </cell>
          <cell r="D64">
            <v>-1.7130428608560955E-2</v>
          </cell>
          <cell r="G64">
            <v>1.0236753552305522</v>
          </cell>
          <cell r="H64">
            <v>1.0404451631313612</v>
          </cell>
        </row>
        <row r="66">
          <cell r="A66" t="str">
            <v>Weighted Average Basic Common Shares</v>
          </cell>
          <cell r="B66">
            <v>99335.508000000002</v>
          </cell>
          <cell r="C66">
            <v>99335.508000000002</v>
          </cell>
          <cell r="G66">
            <v>92265.001999999993</v>
          </cell>
          <cell r="H66">
            <v>99035.418999999994</v>
          </cell>
        </row>
        <row r="67">
          <cell r="A67" t="str">
            <v>Weighted Average Diluted Common Shares</v>
          </cell>
          <cell r="B67">
            <v>102638.00448</v>
          </cell>
          <cell r="C67">
            <v>102638.00448</v>
          </cell>
          <cell r="G67">
            <v>95098.710999999996</v>
          </cell>
          <cell r="H67">
            <v>101121</v>
          </cell>
        </row>
        <row r="68">
          <cell r="A68" t="str">
            <v>Weighted Average Shares and Units Outstanding (diluted)</v>
          </cell>
          <cell r="B68">
            <v>106630.51148</v>
          </cell>
          <cell r="C68">
            <v>106630.51148</v>
          </cell>
          <cell r="G68">
            <v>99776.75</v>
          </cell>
          <cell r="H68">
            <v>105130</v>
          </cell>
        </row>
        <row r="69">
          <cell r="A69" t="str">
            <v>Common Shares Outstanding (End)</v>
          </cell>
          <cell r="B69">
            <v>99460.508000000002</v>
          </cell>
          <cell r="C69">
            <v>99460.508000000002</v>
          </cell>
          <cell r="G69">
            <v>99319.252999999997</v>
          </cell>
          <cell r="H69">
            <v>99210.508000000002</v>
          </cell>
        </row>
        <row r="70">
          <cell r="A70" t="str">
            <v>Units (End)</v>
          </cell>
          <cell r="B70">
            <v>3992.5070000000001</v>
          </cell>
          <cell r="C70">
            <v>3992.5070000000001</v>
          </cell>
          <cell r="G70">
            <v>4666.0730000000003</v>
          </cell>
          <cell r="H70">
            <v>3992.5070000000001</v>
          </cell>
        </row>
        <row r="71">
          <cell r="A71" t="str">
            <v>Common and Units (Ending)</v>
          </cell>
          <cell r="B71">
            <v>103453.015</v>
          </cell>
          <cell r="C71">
            <v>103453.015</v>
          </cell>
          <cell r="G71">
            <v>103985.326</v>
          </cell>
          <cell r="H71">
            <v>103203.015</v>
          </cell>
        </row>
        <row r="72">
          <cell r="A72" t="str">
            <v>E = Morgan Stanley Research Estimates</v>
          </cell>
        </row>
        <row r="74">
          <cell r="A74" t="str">
            <v>Equity in Earnings of Unconsolidated Joint Ventures</v>
          </cell>
        </row>
        <row r="493">
          <cell r="B493" t="str">
            <v xml:space="preserve">                                                                                                                                                                                                                           </v>
          </cell>
        </row>
      </sheetData>
      <sheetData sheetId="20" refreshError="1"/>
      <sheetData sheetId="21" refreshError="1"/>
      <sheetData sheetId="2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Sheet1 (2)"/>
      <sheetName val="Sheet1"/>
      <sheetName val="Synergies"/>
      <sheetName val="Unemploy"/>
      <sheetName val="Sheet2"/>
    </sheetNames>
    <sheetDataSet>
      <sheetData sheetId="0"/>
      <sheetData sheetId="1"/>
      <sheetData sheetId="2">
        <row r="3">
          <cell r="C3" t="str">
            <v>EMBARQ</v>
          </cell>
          <cell r="H3" t="str">
            <v>CTL</v>
          </cell>
          <cell r="L3" t="str">
            <v>CTL + EQ</v>
          </cell>
          <cell r="R3" t="str">
            <v>Y/Y Change in Unemployment (bps)</v>
          </cell>
          <cell r="X3" t="str">
            <v>Y/Y Change in Business Bankruptcies (%)</v>
          </cell>
        </row>
        <row r="4">
          <cell r="C4" t="str">
            <v>Employees</v>
          </cell>
          <cell r="D4" t="str">
            <v>Retirees</v>
          </cell>
          <cell r="E4" t="str">
            <v>Access lines</v>
          </cell>
          <cell r="F4" t="str">
            <v>DSL enabled</v>
          </cell>
          <cell r="G4" t="str">
            <v>2006 bkdw</v>
          </cell>
          <cell r="H4" t="str">
            <v>Employees</v>
          </cell>
          <cell r="I4" t="str">
            <v>Retirees</v>
          </cell>
          <cell r="J4" t="str">
            <v>Access lines</v>
          </cell>
          <cell r="K4" t="str">
            <v>DSL enabled</v>
          </cell>
          <cell r="Q4" t="str">
            <v>% of 
access lines</v>
          </cell>
          <cell r="R4" t="str">
            <v>4Q07</v>
          </cell>
          <cell r="S4" t="str">
            <v>1Q08</v>
          </cell>
          <cell r="T4" t="str">
            <v>2Q08</v>
          </cell>
          <cell r="U4" t="str">
            <v>3Q08</v>
          </cell>
          <cell r="V4" t="str">
            <v>4Q08</v>
          </cell>
          <cell r="W4" t="str">
            <v>1Q09</v>
          </cell>
          <cell r="X4" t="str">
            <v>4Q07</v>
          </cell>
          <cell r="Y4" t="str">
            <v>1Q08</v>
          </cell>
          <cell r="Z4" t="str">
            <v>2Q08</v>
          </cell>
          <cell r="AA4" t="str">
            <v>3Q08</v>
          </cell>
          <cell r="AB4" t="str">
            <v>4Q08</v>
          </cell>
          <cell r="AC4" t="str">
            <v>1Q09</v>
          </cell>
          <cell r="AD4" t="str">
            <v>2Q09</v>
          </cell>
          <cell r="AN4">
            <v>39747</v>
          </cell>
          <cell r="AO4">
            <v>39813</v>
          </cell>
          <cell r="AP4">
            <v>39903</v>
          </cell>
          <cell r="AQ4">
            <v>39957</v>
          </cell>
          <cell r="AR4">
            <v>39988</v>
          </cell>
        </row>
        <row r="5">
          <cell r="A5">
            <v>1</v>
          </cell>
          <cell r="B5" t="str">
            <v>Florida</v>
          </cell>
          <cell r="C5">
            <v>4451</v>
          </cell>
          <cell r="D5">
            <v>3583</v>
          </cell>
          <cell r="E5">
            <v>1532907.2</v>
          </cell>
          <cell r="F5" t="str">
            <v>na</v>
          </cell>
          <cell r="G5">
            <v>0.27610000000000001</v>
          </cell>
          <cell r="L5">
            <v>1532907.2</v>
          </cell>
          <cell r="M5">
            <v>0.20389840642352119</v>
          </cell>
          <cell r="P5" t="str">
            <v>Florida</v>
          </cell>
          <cell r="Q5">
            <v>0.20389840642352119</v>
          </cell>
          <cell r="W5">
            <v>420.00000000000011</v>
          </cell>
          <cell r="AB5">
            <v>0.68524096385542177</v>
          </cell>
          <cell r="AC5">
            <v>0.42312579415501905</v>
          </cell>
          <cell r="AD5">
            <v>0.65272496831432192</v>
          </cell>
          <cell r="AM5" t="str">
            <v>CTL</v>
          </cell>
          <cell r="AN5">
            <v>29.5</v>
          </cell>
          <cell r="AO5">
            <v>27.330000000000002</v>
          </cell>
          <cell r="AP5">
            <v>28.12</v>
          </cell>
          <cell r="AQ5">
            <v>29.400000000000002</v>
          </cell>
          <cell r="AR5">
            <v>31.51</v>
          </cell>
        </row>
        <row r="6">
          <cell r="A6">
            <v>2</v>
          </cell>
          <cell r="B6" t="str">
            <v>North Carolina</v>
          </cell>
          <cell r="C6">
            <v>2913</v>
          </cell>
          <cell r="D6">
            <v>3826</v>
          </cell>
          <cell r="E6">
            <v>1032672</v>
          </cell>
          <cell r="F6" t="str">
            <v>na</v>
          </cell>
          <cell r="G6">
            <v>0.186</v>
          </cell>
          <cell r="H6">
            <v>35</v>
          </cell>
          <cell r="J6">
            <v>12621</v>
          </cell>
          <cell r="K6">
            <v>0.94640000000000002</v>
          </cell>
          <cell r="L6">
            <v>1045293</v>
          </cell>
          <cell r="M6">
            <v>0.13903879957355653</v>
          </cell>
          <cell r="P6" t="str">
            <v>North Carolina</v>
          </cell>
          <cell r="Q6">
            <v>0.13903879957355653</v>
          </cell>
          <cell r="W6">
            <v>309.99999999999989</v>
          </cell>
          <cell r="AB6">
            <v>0.40677966101694918</v>
          </cell>
          <cell r="AC6">
            <v>0.68306010928961758</v>
          </cell>
          <cell r="AD6">
            <v>0.54672897196261672</v>
          </cell>
          <cell r="AM6" t="str">
            <v>WIN</v>
          </cell>
          <cell r="AN6">
            <v>7.66</v>
          </cell>
          <cell r="AO6">
            <v>9.2000000000000011</v>
          </cell>
          <cell r="AP6">
            <v>8.06</v>
          </cell>
          <cell r="AQ6">
            <v>8.1300000000000008</v>
          </cell>
          <cell r="AR6">
            <v>8.51</v>
          </cell>
        </row>
        <row r="7">
          <cell r="A7">
            <v>3</v>
          </cell>
          <cell r="B7" t="str">
            <v>Nevada</v>
          </cell>
          <cell r="C7">
            <v>1123</v>
          </cell>
          <cell r="D7">
            <v>906</v>
          </cell>
          <cell r="E7">
            <v>577408</v>
          </cell>
          <cell r="F7" t="str">
            <v>na</v>
          </cell>
          <cell r="G7">
            <v>0.104</v>
          </cell>
          <cell r="L7">
            <v>577408</v>
          </cell>
          <cell r="M7">
            <v>7.6803456240659915E-2</v>
          </cell>
          <cell r="P7" t="str">
            <v>Nevada</v>
          </cell>
          <cell r="Q7">
            <v>7.6803456240659915E-2</v>
          </cell>
          <cell r="W7">
            <v>460</v>
          </cell>
          <cell r="AB7">
            <v>0.78651685393258419</v>
          </cell>
          <cell r="AC7">
            <v>1.2735849056603774</v>
          </cell>
          <cell r="AD7">
            <v>1.0849056603773586</v>
          </cell>
          <cell r="AM7" t="str">
            <v>FTR</v>
          </cell>
          <cell r="AN7">
            <v>7.71</v>
          </cell>
          <cell r="AO7">
            <v>8.74</v>
          </cell>
          <cell r="AP7">
            <v>7.18</v>
          </cell>
          <cell r="AQ7">
            <v>7.01</v>
          </cell>
          <cell r="AR7">
            <v>7.01</v>
          </cell>
        </row>
        <row r="8">
          <cell r="A8">
            <v>4</v>
          </cell>
          <cell r="B8" t="str">
            <v>Missouri</v>
          </cell>
          <cell r="C8">
            <v>485</v>
          </cell>
          <cell r="D8">
            <v>780</v>
          </cell>
          <cell r="E8">
            <v>177108.8</v>
          </cell>
          <cell r="F8" t="str">
            <v>na</v>
          </cell>
          <cell r="G8">
            <v>3.1899999999999998E-2</v>
          </cell>
          <cell r="H8">
            <v>794</v>
          </cell>
          <cell r="J8">
            <v>381706</v>
          </cell>
          <cell r="K8">
            <v>0.86760000000000004</v>
          </cell>
          <cell r="L8">
            <v>558814.80000000005</v>
          </cell>
          <cell r="M8">
            <v>7.4330296841112573E-2</v>
          </cell>
          <cell r="P8" t="str">
            <v>Missouri</v>
          </cell>
          <cell r="Q8">
            <v>7.4330296841112573E-2</v>
          </cell>
          <cell r="W8">
            <v>250.00000000000009</v>
          </cell>
          <cell r="AB8">
            <v>0.33333333333333326</v>
          </cell>
          <cell r="AC8">
            <v>0.20408163265306123</v>
          </cell>
          <cell r="AD8">
            <v>0.35294117647058831</v>
          </cell>
          <cell r="AM8" t="str">
            <v>Q</v>
          </cell>
          <cell r="AN8">
            <v>2.29</v>
          </cell>
          <cell r="AO8">
            <v>3.64</v>
          </cell>
          <cell r="AP8">
            <v>3.42</v>
          </cell>
          <cell r="AQ8">
            <v>4.01</v>
          </cell>
          <cell r="AR8">
            <v>3.96</v>
          </cell>
        </row>
        <row r="9">
          <cell r="A9">
            <v>5</v>
          </cell>
          <cell r="B9" t="str">
            <v>Ohio</v>
          </cell>
          <cell r="C9">
            <v>1086</v>
          </cell>
          <cell r="D9">
            <v>1829</v>
          </cell>
          <cell r="E9">
            <v>388084.80000000005</v>
          </cell>
          <cell r="F9" t="str">
            <v>na</v>
          </cell>
          <cell r="G9">
            <v>6.9900000000000004E-2</v>
          </cell>
          <cell r="H9">
            <v>126</v>
          </cell>
          <cell r="J9">
            <v>55476</v>
          </cell>
          <cell r="K9">
            <v>0.99760000000000004</v>
          </cell>
          <cell r="L9">
            <v>443560.80000000005</v>
          </cell>
          <cell r="M9">
            <v>5.8999879622159912E-2</v>
          </cell>
          <cell r="P9" t="str">
            <v>Ohio</v>
          </cell>
          <cell r="Q9">
            <v>5.8999879622159912E-2</v>
          </cell>
          <cell r="W9">
            <v>349.99999999999989</v>
          </cell>
          <cell r="AB9">
            <v>0.3267326732673268</v>
          </cell>
          <cell r="AC9">
            <v>0.39882697947214085</v>
          </cell>
          <cell r="AD9">
            <v>0.42500000000000004</v>
          </cell>
          <cell r="AM9" t="str">
            <v>T</v>
          </cell>
          <cell r="AN9">
            <v>24.68</v>
          </cell>
          <cell r="AO9">
            <v>28.5</v>
          </cell>
          <cell r="AP9">
            <v>25.200000000000003</v>
          </cell>
          <cell r="AQ9">
            <v>23.68</v>
          </cell>
          <cell r="AR9">
            <v>24.650000000000002</v>
          </cell>
        </row>
        <row r="10">
          <cell r="A10">
            <v>6</v>
          </cell>
          <cell r="B10" t="str">
            <v>Virginia</v>
          </cell>
          <cell r="C10">
            <v>472</v>
          </cell>
          <cell r="D10">
            <v>1153</v>
          </cell>
          <cell r="E10">
            <v>277600</v>
          </cell>
          <cell r="G10">
            <v>0.05</v>
          </cell>
          <cell r="H10">
            <v>372</v>
          </cell>
          <cell r="J10">
            <v>144078</v>
          </cell>
          <cell r="K10">
            <v>0.90400000000000003</v>
          </cell>
          <cell r="L10">
            <v>421678</v>
          </cell>
          <cell r="M10">
            <v>5.6089156749904737E-2</v>
          </cell>
          <cell r="P10" t="str">
            <v>Virginia</v>
          </cell>
          <cell r="Q10">
            <v>5.6089156749904737E-2</v>
          </cell>
          <cell r="W10">
            <v>190.00000000000003</v>
          </cell>
          <cell r="AB10">
            <v>0.35532994923857864</v>
          </cell>
          <cell r="AC10">
            <v>0.43497757847533625</v>
          </cell>
          <cell r="AD10">
            <v>0.15481171548117145</v>
          </cell>
          <cell r="AM10" t="str">
            <v>VZ</v>
          </cell>
          <cell r="AN10">
            <v>25.080000000000002</v>
          </cell>
          <cell r="AO10">
            <v>33.9</v>
          </cell>
          <cell r="AP10">
            <v>30.200000000000003</v>
          </cell>
          <cell r="AQ10">
            <v>28.810000000000002</v>
          </cell>
          <cell r="AR10">
            <v>30.8</v>
          </cell>
        </row>
        <row r="11">
          <cell r="A11">
            <v>7</v>
          </cell>
          <cell r="B11" t="str">
            <v>Wisconsin</v>
          </cell>
          <cell r="E11">
            <v>0</v>
          </cell>
          <cell r="H11">
            <v>1255</v>
          </cell>
          <cell r="J11">
            <v>355597</v>
          </cell>
          <cell r="K11">
            <v>0.88959999999999995</v>
          </cell>
          <cell r="L11">
            <v>355597</v>
          </cell>
          <cell r="M11">
            <v>4.7299446195428439E-2</v>
          </cell>
          <cell r="P11" t="str">
            <v>Wisconsin</v>
          </cell>
          <cell r="Q11">
            <v>4.7299446195428439E-2</v>
          </cell>
          <cell r="W11">
            <v>279.99999999999989</v>
          </cell>
          <cell r="AB11">
            <v>0.50387596899224807</v>
          </cell>
          <cell r="AC11">
            <v>0.68503937007874005</v>
          </cell>
          <cell r="AD11">
            <v>0.32515337423312873</v>
          </cell>
          <cell r="AM11" t="str">
            <v>IWA</v>
          </cell>
          <cell r="AN11">
            <v>14.88</v>
          </cell>
          <cell r="AO11">
            <v>14.280000000000001</v>
          </cell>
          <cell r="AP11">
            <v>11.46</v>
          </cell>
          <cell r="AQ11">
            <v>11.43</v>
          </cell>
          <cell r="AR11">
            <v>12.92</v>
          </cell>
        </row>
        <row r="12">
          <cell r="A12">
            <v>8</v>
          </cell>
          <cell r="B12" t="str">
            <v>Texas</v>
          </cell>
          <cell r="C12">
            <v>668</v>
          </cell>
          <cell r="D12">
            <v>803</v>
          </cell>
          <cell r="E12">
            <v>266496</v>
          </cell>
          <cell r="G12">
            <v>4.8000000000000001E-2</v>
          </cell>
          <cell r="H12">
            <v>139</v>
          </cell>
          <cell r="J12">
            <v>30374</v>
          </cell>
          <cell r="K12">
            <v>0.99929999999999997</v>
          </cell>
          <cell r="L12">
            <v>296870</v>
          </cell>
          <cell r="M12">
            <v>3.9487921979197919E-2</v>
          </cell>
          <cell r="P12" t="str">
            <v>Texas</v>
          </cell>
          <cell r="Q12">
            <v>3.9487921979197919E-2</v>
          </cell>
          <cell r="W12">
            <v>270.00000000000011</v>
          </cell>
          <cell r="AB12">
            <v>0.39221556886227549</v>
          </cell>
          <cell r="AC12">
            <v>0.58513931888544901</v>
          </cell>
          <cell r="AD12">
            <v>0.7009602194787381</v>
          </cell>
          <cell r="AM12" t="str">
            <v>EQ</v>
          </cell>
          <cell r="AN12">
            <v>29.740000000000002</v>
          </cell>
          <cell r="AO12">
            <v>35.96</v>
          </cell>
          <cell r="AP12">
            <v>37.85</v>
          </cell>
          <cell r="AQ12">
            <v>39.93</v>
          </cell>
          <cell r="AR12">
            <v>43.02</v>
          </cell>
        </row>
        <row r="13">
          <cell r="A13">
            <v>9</v>
          </cell>
          <cell r="B13" t="str">
            <v>Pennsylvania</v>
          </cell>
          <cell r="C13">
            <v>750</v>
          </cell>
          <cell r="D13">
            <v>1047</v>
          </cell>
          <cell r="E13">
            <v>288704</v>
          </cell>
          <cell r="G13">
            <v>5.1999999999999998E-2</v>
          </cell>
          <cell r="L13">
            <v>288704</v>
          </cell>
          <cell r="M13">
            <v>3.8401728120329957E-2</v>
          </cell>
          <cell r="P13" t="str">
            <v>Pennsylvania</v>
          </cell>
          <cell r="Q13">
            <v>3.8401728120329957E-2</v>
          </cell>
          <cell r="W13">
            <v>250.00000000000009</v>
          </cell>
          <cell r="AB13">
            <v>0.15916955017301038</v>
          </cell>
          <cell r="AC13">
            <v>0.67543859649122817</v>
          </cell>
          <cell r="AD13">
            <v>0.41964285714285721</v>
          </cell>
          <cell r="AM13" t="str">
            <v>CBB</v>
          </cell>
          <cell r="AN13">
            <v>1.94</v>
          </cell>
          <cell r="AO13">
            <v>1.93</v>
          </cell>
          <cell r="AP13">
            <v>2.3000000000000003</v>
          </cell>
          <cell r="AQ13">
            <v>2.5300000000000002</v>
          </cell>
          <cell r="AR13">
            <v>2.95</v>
          </cell>
        </row>
        <row r="14">
          <cell r="A14">
            <v>10</v>
          </cell>
          <cell r="B14" t="str">
            <v>Alabama</v>
          </cell>
          <cell r="E14">
            <v>0</v>
          </cell>
          <cell r="H14">
            <v>539</v>
          </cell>
          <cell r="J14">
            <v>263480</v>
          </cell>
          <cell r="K14">
            <v>0.91349999999999998</v>
          </cell>
          <cell r="L14">
            <v>263480</v>
          </cell>
          <cell r="M14">
            <v>3.5046578243268324E-2</v>
          </cell>
          <cell r="P14" t="str">
            <v>Alabama</v>
          </cell>
          <cell r="Q14">
            <v>3.5046578243268324E-2</v>
          </cell>
          <cell r="W14">
            <v>450</v>
          </cell>
          <cell r="AB14">
            <v>0.71428571428571419</v>
          </cell>
          <cell r="AC14">
            <v>0.67543859649122817</v>
          </cell>
          <cell r="AD14">
            <v>0.61417322834645671</v>
          </cell>
        </row>
        <row r="15">
          <cell r="A15">
            <v>11</v>
          </cell>
          <cell r="B15" t="str">
            <v>Arkansas</v>
          </cell>
          <cell r="E15">
            <v>0</v>
          </cell>
          <cell r="H15">
            <v>430</v>
          </cell>
          <cell r="J15">
            <v>194652</v>
          </cell>
          <cell r="K15">
            <v>0.8901</v>
          </cell>
          <cell r="L15">
            <v>194652</v>
          </cell>
          <cell r="M15">
            <v>2.5891477714470416E-2</v>
          </cell>
          <cell r="P15" t="str">
            <v>Arkansas</v>
          </cell>
          <cell r="Q15">
            <v>2.5891477714470416E-2</v>
          </cell>
          <cell r="W15">
            <v>199.99999999999997</v>
          </cell>
          <cell r="AB15">
            <v>0.375</v>
          </cell>
          <cell r="AC15">
            <v>0.42452830188679247</v>
          </cell>
          <cell r="AD15">
            <v>0.41964285714285721</v>
          </cell>
          <cell r="AN15" t="str">
            <v>Since announcement</v>
          </cell>
          <cell r="AO15" t="str">
            <v>YTD</v>
          </cell>
          <cell r="AP15" t="str">
            <v>QTD</v>
          </cell>
          <cell r="AQ15" t="str">
            <v>MTD</v>
          </cell>
        </row>
        <row r="16">
          <cell r="A16">
            <v>12</v>
          </cell>
          <cell r="B16" t="str">
            <v>Indiana</v>
          </cell>
          <cell r="C16">
            <v>427</v>
          </cell>
          <cell r="D16">
            <v>675</v>
          </cell>
          <cell r="E16">
            <v>185436.79999999999</v>
          </cell>
          <cell r="F16" t="str">
            <v>na</v>
          </cell>
          <cell r="G16">
            <v>3.3399999999999999E-2</v>
          </cell>
          <cell r="H16">
            <v>11</v>
          </cell>
          <cell r="J16">
            <v>4014</v>
          </cell>
          <cell r="K16">
            <v>0.75509999999999999</v>
          </cell>
          <cell r="L16">
            <v>189450.8</v>
          </cell>
          <cell r="M16">
            <v>2.5199644320061401E-2</v>
          </cell>
          <cell r="P16" t="str">
            <v>Indiana</v>
          </cell>
          <cell r="Q16">
            <v>2.5199644320061401E-2</v>
          </cell>
          <cell r="W16">
            <v>210.00000000000006</v>
          </cell>
          <cell r="AB16">
            <v>0.30813953488372103</v>
          </cell>
          <cell r="AC16">
            <v>9.4444444444444553E-2</v>
          </cell>
          <cell r="AD16">
            <v>0.20304568527918776</v>
          </cell>
          <cell r="AM16" t="str">
            <v>CTL</v>
          </cell>
          <cell r="AN16">
            <v>6.813559322033913E-2</v>
          </cell>
          <cell r="AO16">
            <v>0.15294548115623852</v>
          </cell>
          <cell r="AP16">
            <v>0.12055476529160747</v>
          </cell>
          <cell r="AQ16">
            <v>7.1768707482993133E-2</v>
          </cell>
        </row>
        <row r="17">
          <cell r="A17">
            <v>13</v>
          </cell>
          <cell r="B17" t="str">
            <v>Tennessee</v>
          </cell>
          <cell r="C17">
            <v>738</v>
          </cell>
          <cell r="D17">
            <v>878</v>
          </cell>
          <cell r="E17">
            <v>163228.79999999999</v>
          </cell>
          <cell r="G17">
            <v>2.9399999999999999E-2</v>
          </cell>
          <cell r="H17">
            <v>44</v>
          </cell>
          <cell r="J17">
            <v>21128</v>
          </cell>
          <cell r="K17">
            <v>0.90910000000000002</v>
          </cell>
          <cell r="L17">
            <v>184356.8</v>
          </cell>
          <cell r="M17">
            <v>2.4522070046601521E-2</v>
          </cell>
          <cell r="P17" t="str">
            <v>Tennessee</v>
          </cell>
          <cell r="Q17">
            <v>2.4522070046601521E-2</v>
          </cell>
          <cell r="W17">
            <v>330</v>
          </cell>
          <cell r="AB17">
            <v>1.0499999999999998</v>
          </cell>
          <cell r="AC17">
            <v>0.63276836158192085</v>
          </cell>
          <cell r="AD17">
            <v>0.61650485436893199</v>
          </cell>
          <cell r="AM17" t="str">
            <v>WIN</v>
          </cell>
          <cell r="AN17">
            <v>0.11096605744125321</v>
          </cell>
          <cell r="AO17">
            <v>-7.5000000000000178E-2</v>
          </cell>
          <cell r="AP17">
            <v>5.583126550868478E-2</v>
          </cell>
          <cell r="AQ17">
            <v>4.6740467404673858E-2</v>
          </cell>
        </row>
        <row r="18">
          <cell r="A18">
            <v>14</v>
          </cell>
          <cell r="B18" t="str">
            <v>Minnesota</v>
          </cell>
          <cell r="C18">
            <v>149</v>
          </cell>
          <cell r="D18">
            <v>201</v>
          </cell>
          <cell r="E18">
            <v>144352</v>
          </cell>
          <cell r="F18" t="str">
            <v>na</v>
          </cell>
          <cell r="G18">
            <v>2.5999999999999999E-2</v>
          </cell>
          <cell r="H18">
            <v>40</v>
          </cell>
          <cell r="J18">
            <v>24921</v>
          </cell>
          <cell r="K18">
            <v>0.80640000000000001</v>
          </cell>
          <cell r="L18">
            <v>169273</v>
          </cell>
          <cell r="M18">
            <v>2.2515710638275236E-2</v>
          </cell>
          <cell r="P18" t="str">
            <v>Minnesota</v>
          </cell>
          <cell r="Q18">
            <v>2.2515710638275236E-2</v>
          </cell>
          <cell r="W18">
            <v>80.000000000000071</v>
          </cell>
          <cell r="AB18">
            <v>0.79411764705882359</v>
          </cell>
          <cell r="AC18">
            <v>0.10000000000000009</v>
          </cell>
          <cell r="AD18">
            <v>0.17346938775510212</v>
          </cell>
          <cell r="AM18" t="str">
            <v>FTR</v>
          </cell>
          <cell r="AN18">
            <v>-9.079118028534372E-2</v>
          </cell>
          <cell r="AO18">
            <v>-0.19794050343249436</v>
          </cell>
          <cell r="AP18">
            <v>-2.3676880222841201E-2</v>
          </cell>
          <cell r="AQ18">
            <v>0</v>
          </cell>
        </row>
        <row r="19">
          <cell r="A19">
            <v>15</v>
          </cell>
          <cell r="B19" t="str">
            <v>New Jersey</v>
          </cell>
          <cell r="C19">
            <v>216</v>
          </cell>
          <cell r="D19">
            <v>190</v>
          </cell>
          <cell r="E19">
            <v>152680</v>
          </cell>
          <cell r="F19" t="str">
            <v>na</v>
          </cell>
          <cell r="G19">
            <v>2.75E-2</v>
          </cell>
          <cell r="L19">
            <v>152680</v>
          </cell>
          <cell r="M19">
            <v>2.0308606217482192E-2</v>
          </cell>
          <cell r="P19" t="str">
            <v>New Jersey</v>
          </cell>
          <cell r="Q19">
            <v>2.0308606217482192E-2</v>
          </cell>
          <cell r="W19">
            <v>329.99999999999989</v>
          </cell>
          <cell r="AB19">
            <v>0.34347826086956523</v>
          </cell>
          <cell r="AC19">
            <v>0.67226890756302526</v>
          </cell>
          <cell r="AD19">
            <v>0.54393305439330542</v>
          </cell>
          <cell r="AM19" t="str">
            <v>Q</v>
          </cell>
          <cell r="AN19">
            <v>0.72925764192139741</v>
          </cell>
          <cell r="AO19">
            <v>8.7912087912087822E-2</v>
          </cell>
          <cell r="AP19">
            <v>0.15789473684210531</v>
          </cell>
          <cell r="AQ19">
            <v>-1.2468827930174564E-2</v>
          </cell>
        </row>
        <row r="20">
          <cell r="A20">
            <v>16</v>
          </cell>
          <cell r="B20" t="str">
            <v>Oregon</v>
          </cell>
          <cell r="C20">
            <v>419</v>
          </cell>
          <cell r="D20">
            <v>251</v>
          </cell>
          <cell r="E20">
            <v>53854.400000000001</v>
          </cell>
          <cell r="G20">
            <v>9.7000000000000003E-3</v>
          </cell>
          <cell r="H20">
            <v>96</v>
          </cell>
          <cell r="J20">
            <v>61098</v>
          </cell>
          <cell r="K20">
            <v>0.86260000000000003</v>
          </cell>
          <cell r="L20">
            <v>114952.4</v>
          </cell>
          <cell r="M20">
            <v>1.529030013986442E-2</v>
          </cell>
          <cell r="P20" t="str">
            <v>Oregon</v>
          </cell>
          <cell r="Q20">
            <v>1.529030013986442E-2</v>
          </cell>
          <cell r="W20">
            <v>269.99999999999994</v>
          </cell>
          <cell r="AB20">
            <v>1.3134328358208953</v>
          </cell>
          <cell r="AC20">
            <v>1.1129032258064515</v>
          </cell>
          <cell r="AD20">
            <v>0.84782608695652173</v>
          </cell>
          <cell r="AM20" t="str">
            <v>T</v>
          </cell>
          <cell r="AN20">
            <v>-1.2155591572121649E-3</v>
          </cell>
          <cell r="AO20">
            <v>-0.13508771929824559</v>
          </cell>
          <cell r="AP20">
            <v>-2.1825396825396859E-2</v>
          </cell>
          <cell r="AQ20">
            <v>4.096283783783794E-2</v>
          </cell>
        </row>
        <row r="21">
          <cell r="A21">
            <v>17</v>
          </cell>
          <cell r="B21" t="str">
            <v>Michigan</v>
          </cell>
          <cell r="E21">
            <v>0</v>
          </cell>
          <cell r="H21">
            <v>118</v>
          </cell>
          <cell r="J21">
            <v>85065</v>
          </cell>
          <cell r="K21">
            <v>0.83440000000000003</v>
          </cell>
          <cell r="L21">
            <v>85065</v>
          </cell>
          <cell r="M21">
            <v>1.1314851898677774E-2</v>
          </cell>
          <cell r="P21" t="str">
            <v>Michigan</v>
          </cell>
          <cell r="Q21">
            <v>1.1314851898677774E-2</v>
          </cell>
          <cell r="W21">
            <v>440</v>
          </cell>
          <cell r="AB21">
            <v>0.34441087613293053</v>
          </cell>
          <cell r="AC21">
            <v>0.32352941176470584</v>
          </cell>
          <cell r="AD21">
            <v>0.4688279301745637</v>
          </cell>
          <cell r="AM21" t="str">
            <v>VZ</v>
          </cell>
          <cell r="AN21">
            <v>0.22807017543859653</v>
          </cell>
          <cell r="AO21">
            <v>-9.1445427728613526E-2</v>
          </cell>
          <cell r="AP21">
            <v>1.9867549668874052E-2</v>
          </cell>
          <cell r="AQ21">
            <v>6.9073238458868369E-2</v>
          </cell>
        </row>
        <row r="22">
          <cell r="A22">
            <v>18</v>
          </cell>
          <cell r="B22" t="str">
            <v>Colorado</v>
          </cell>
          <cell r="E22">
            <v>0</v>
          </cell>
          <cell r="H22">
            <v>137</v>
          </cell>
          <cell r="J22">
            <v>80611</v>
          </cell>
          <cell r="K22">
            <v>0.76910000000000001</v>
          </cell>
          <cell r="L22">
            <v>80611</v>
          </cell>
          <cell r="M22">
            <v>1.0722406705511245E-2</v>
          </cell>
          <cell r="P22" t="str">
            <v>Colorado</v>
          </cell>
          <cell r="Q22">
            <v>1.0722406705511245E-2</v>
          </cell>
          <cell r="W22">
            <v>170</v>
          </cell>
          <cell r="AB22">
            <v>0.71597633136094685</v>
          </cell>
          <cell r="AC22">
            <v>0.58045977011494254</v>
          </cell>
          <cell r="AD22">
            <v>0.66666666666666674</v>
          </cell>
          <cell r="AM22" t="str">
            <v>IWA</v>
          </cell>
          <cell r="AN22">
            <v>-0.13172043010752699</v>
          </cell>
          <cell r="AO22">
            <v>-9.5238095238095344E-2</v>
          </cell>
          <cell r="AP22">
            <v>0.12739965095986028</v>
          </cell>
          <cell r="AQ22">
            <v>0.13035870516185488</v>
          </cell>
        </row>
        <row r="23">
          <cell r="A23">
            <v>19</v>
          </cell>
          <cell r="B23" t="str">
            <v>Kansas</v>
          </cell>
          <cell r="C23">
            <v>3804</v>
          </cell>
          <cell r="D23">
            <v>677</v>
          </cell>
          <cell r="E23">
            <v>80504</v>
          </cell>
          <cell r="F23" t="str">
            <v>na</v>
          </cell>
          <cell r="G23">
            <v>1.4500000000000001E-2</v>
          </cell>
          <cell r="L23">
            <v>80504</v>
          </cell>
          <cell r="M23">
            <v>1.0708174187399701E-2</v>
          </cell>
          <cell r="P23" t="str">
            <v>Kansas</v>
          </cell>
          <cell r="Q23">
            <v>1.0708174187399701E-2</v>
          </cell>
          <cell r="W23">
            <v>160</v>
          </cell>
          <cell r="AB23">
            <v>9.0909090909090828E-2</v>
          </cell>
          <cell r="AC23">
            <v>0.52542372881355925</v>
          </cell>
          <cell r="AD23">
            <v>0.33823529411764697</v>
          </cell>
          <cell r="AM23" t="str">
            <v>EQ</v>
          </cell>
          <cell r="AN23">
            <v>0.44653665097511763</v>
          </cell>
          <cell r="AO23">
            <v>0.19632925472747509</v>
          </cell>
          <cell r="AP23">
            <v>0.13659180977542928</v>
          </cell>
          <cell r="AQ23">
            <v>7.7385424492862676E-2</v>
          </cell>
        </row>
        <row r="24">
          <cell r="A24">
            <v>20</v>
          </cell>
          <cell r="B24" t="str">
            <v>South Carolina</v>
          </cell>
          <cell r="C24">
            <v>151</v>
          </cell>
          <cell r="D24">
            <v>251</v>
          </cell>
          <cell r="E24">
            <v>79948.800000000003</v>
          </cell>
          <cell r="G24">
            <v>1.44E-2</v>
          </cell>
          <cell r="L24">
            <v>79948.800000000003</v>
          </cell>
          <cell r="M24">
            <v>1.0634324710245221E-2</v>
          </cell>
          <cell r="P24" t="str">
            <v>South Carolina</v>
          </cell>
          <cell r="Q24">
            <v>1.0634324710245221E-2</v>
          </cell>
          <cell r="W24">
            <v>379.99999999999994</v>
          </cell>
          <cell r="AB24">
            <v>1.2051282051282053</v>
          </cell>
          <cell r="AC24">
            <v>1.54</v>
          </cell>
          <cell r="AD24">
            <v>0.47222222222222232</v>
          </cell>
          <cell r="AM24" t="str">
            <v>CBB</v>
          </cell>
          <cell r="AN24">
            <v>0.52061855670103108</v>
          </cell>
          <cell r="AO24">
            <v>0.52849740932642497</v>
          </cell>
          <cell r="AP24">
            <v>0.28260869565217384</v>
          </cell>
          <cell r="AQ24">
            <v>0.16600790513833985</v>
          </cell>
        </row>
        <row r="25">
          <cell r="A25">
            <v>21</v>
          </cell>
          <cell r="B25" t="str">
            <v>Louisiana</v>
          </cell>
          <cell r="E25">
            <v>0</v>
          </cell>
          <cell r="H25">
            <v>1834</v>
          </cell>
          <cell r="J25">
            <v>79006</v>
          </cell>
          <cell r="K25">
            <v>0.88829999999999998</v>
          </cell>
          <cell r="L25">
            <v>79006</v>
          </cell>
          <cell r="M25">
            <v>1.0508918933838079E-2</v>
          </cell>
          <cell r="P25" t="str">
            <v>Louisiana</v>
          </cell>
          <cell r="Q25">
            <v>1.0508918933838079E-2</v>
          </cell>
          <cell r="W25">
            <v>199.99999999999997</v>
          </cell>
          <cell r="AB25">
            <v>-2.515723270440251E-2</v>
          </cell>
          <cell r="AC25">
            <v>0.37037037037037046</v>
          </cell>
          <cell r="AD25">
            <v>0.47972972972972983</v>
          </cell>
        </row>
        <row r="26">
          <cell r="A26">
            <v>22</v>
          </cell>
          <cell r="B26" t="str">
            <v>Washington</v>
          </cell>
          <cell r="C26">
            <v>80</v>
          </cell>
          <cell r="D26">
            <v>162</v>
          </cell>
          <cell r="E26">
            <v>72176</v>
          </cell>
          <cell r="G26">
            <v>1.2999999999999999E-2</v>
          </cell>
          <cell r="L26">
            <v>72176</v>
          </cell>
          <cell r="M26">
            <v>9.6004320300824893E-3</v>
          </cell>
          <cell r="P26" t="str">
            <v>Washington</v>
          </cell>
          <cell r="Q26">
            <v>9.6004320300824893E-3</v>
          </cell>
          <cell r="W26">
            <v>300</v>
          </cell>
          <cell r="AB26">
            <v>0.51677852348993292</v>
          </cell>
          <cell r="AC26">
            <v>0.59459459459459452</v>
          </cell>
          <cell r="AD26">
            <v>1.2550335570469797</v>
          </cell>
          <cell r="AM26" t="str">
            <v>MAX</v>
          </cell>
          <cell r="AN26">
            <v>0.72925764192139741</v>
          </cell>
          <cell r="AO26">
            <v>0.19632925472747509</v>
          </cell>
          <cell r="AP26">
            <v>0.15789473684210531</v>
          </cell>
          <cell r="AQ26">
            <v>0.13035870516185488</v>
          </cell>
        </row>
        <row r="27">
          <cell r="A27">
            <v>23</v>
          </cell>
          <cell r="B27" t="str">
            <v>Nebraska</v>
          </cell>
          <cell r="C27">
            <v>29</v>
          </cell>
          <cell r="D27">
            <v>216</v>
          </cell>
          <cell r="E27">
            <v>71065.600000000006</v>
          </cell>
          <cell r="F27" t="str">
            <v>na</v>
          </cell>
          <cell r="G27">
            <v>1.2800000000000001E-2</v>
          </cell>
          <cell r="L27">
            <v>71065.600000000006</v>
          </cell>
          <cell r="M27">
            <v>9.4527330757735294E-3</v>
          </cell>
          <cell r="P27" t="str">
            <v>Nebraska</v>
          </cell>
          <cell r="Q27">
            <v>9.4527330757735294E-3</v>
          </cell>
          <cell r="W27">
            <v>80</v>
          </cell>
          <cell r="AB27">
            <v>0.2407407407407407</v>
          </cell>
          <cell r="AC27">
            <v>0.11475409836065564</v>
          </cell>
          <cell r="AD27">
            <v>0.7407407407407407</v>
          </cell>
        </row>
        <row r="28">
          <cell r="A28">
            <v>24</v>
          </cell>
          <cell r="B28" t="str">
            <v>Montana</v>
          </cell>
          <cell r="E28">
            <v>0</v>
          </cell>
          <cell r="H28">
            <v>90</v>
          </cell>
          <cell r="J28">
            <v>52107</v>
          </cell>
          <cell r="K28">
            <v>0.93030000000000002</v>
          </cell>
          <cell r="L28">
            <v>52107</v>
          </cell>
          <cell r="M28">
            <v>6.930970291946191E-3</v>
          </cell>
          <cell r="P28" t="str">
            <v>Montana</v>
          </cell>
          <cell r="Q28">
            <v>6.930970291946191E-3</v>
          </cell>
          <cell r="W28">
            <v>170</v>
          </cell>
          <cell r="AB28">
            <v>0.61538461538461542</v>
          </cell>
          <cell r="AC28">
            <v>0.68421052631578938</v>
          </cell>
          <cell r="AD28">
            <v>0.75</v>
          </cell>
          <cell r="AO28">
            <v>-7.22E-2</v>
          </cell>
        </row>
        <row r="29">
          <cell r="A29">
            <v>25</v>
          </cell>
          <cell r="B29" t="str">
            <v>Illinois</v>
          </cell>
          <cell r="E29">
            <v>0</v>
          </cell>
          <cell r="H29">
            <v>138</v>
          </cell>
          <cell r="J29">
            <v>51968</v>
          </cell>
          <cell r="K29">
            <v>0.94750000000000001</v>
          </cell>
          <cell r="L29">
            <v>51968</v>
          </cell>
          <cell r="M29">
            <v>6.9124813198199794E-3</v>
          </cell>
          <cell r="P29" t="str">
            <v>Illinois</v>
          </cell>
          <cell r="Q29">
            <v>6.9124813198199794E-3</v>
          </cell>
          <cell r="W29">
            <v>389.99999999999994</v>
          </cell>
          <cell r="AB29">
            <v>0.73239436619718301</v>
          </cell>
          <cell r="AC29">
            <v>1.2807692307692307</v>
          </cell>
          <cell r="AD29">
            <v>0.55585831062670299</v>
          </cell>
          <cell r="AO29">
            <v>2251.4548115623852</v>
          </cell>
        </row>
        <row r="30">
          <cell r="A30">
            <v>26</v>
          </cell>
          <cell r="B30" t="str">
            <v>Georgia</v>
          </cell>
          <cell r="E30">
            <v>0</v>
          </cell>
          <cell r="H30">
            <v>68</v>
          </cell>
          <cell r="J30">
            <v>29787</v>
          </cell>
          <cell r="K30">
            <v>1</v>
          </cell>
          <cell r="L30">
            <v>29787</v>
          </cell>
          <cell r="M30">
            <v>3.9620936167156272E-3</v>
          </cell>
          <cell r="P30" t="str">
            <v>Georgia</v>
          </cell>
          <cell r="Q30">
            <v>3.9620936167156272E-3</v>
          </cell>
          <cell r="W30">
            <v>280.00000000000011</v>
          </cell>
          <cell r="AB30">
            <v>0.81155778894472363</v>
          </cell>
          <cell r="AC30">
            <v>0.76957494407158844</v>
          </cell>
          <cell r="AD30">
            <v>0.63168724279835398</v>
          </cell>
        </row>
        <row r="31">
          <cell r="A31">
            <v>27</v>
          </cell>
          <cell r="B31" t="str">
            <v>Mississippi</v>
          </cell>
          <cell r="E31">
            <v>0</v>
          </cell>
          <cell r="H31">
            <v>30</v>
          </cell>
          <cell r="J31">
            <v>19998</v>
          </cell>
          <cell r="K31">
            <v>0.97050000000000003</v>
          </cell>
          <cell r="L31">
            <v>19998</v>
          </cell>
          <cell r="M31">
            <v>2.660017730791255E-3</v>
          </cell>
          <cell r="P31" t="str">
            <v>Mississippi</v>
          </cell>
          <cell r="Q31">
            <v>2.660017730791255E-3</v>
          </cell>
          <cell r="W31">
            <v>279.99999999999994</v>
          </cell>
          <cell r="AB31">
            <v>0.37681159420289845</v>
          </cell>
          <cell r="AC31">
            <v>0.29487179487179493</v>
          </cell>
          <cell r="AD31">
            <v>0.45121951219512191</v>
          </cell>
        </row>
        <row r="32">
          <cell r="A32">
            <v>28</v>
          </cell>
          <cell r="B32" t="str">
            <v>Wyoming</v>
          </cell>
          <cell r="C32">
            <v>5</v>
          </cell>
          <cell r="D32">
            <v>13</v>
          </cell>
          <cell r="E32">
            <v>7772.8</v>
          </cell>
          <cell r="G32">
            <v>1.4E-3</v>
          </cell>
          <cell r="H32">
            <v>11</v>
          </cell>
          <cell r="J32">
            <v>6388</v>
          </cell>
          <cell r="K32">
            <v>0.76129999999999998</v>
          </cell>
          <cell r="L32">
            <v>14160.8</v>
          </cell>
          <cell r="M32">
            <v>1.8835873128407244E-3</v>
          </cell>
          <cell r="P32" t="str">
            <v>Wyoming</v>
          </cell>
          <cell r="Q32">
            <v>1.8835873128407244E-3</v>
          </cell>
          <cell r="W32">
            <v>429.99999999999994</v>
          </cell>
          <cell r="AB32">
            <v>1.2000000000000002</v>
          </cell>
          <cell r="AC32">
            <v>3.4000000000000004</v>
          </cell>
          <cell r="AD32">
            <v>0.11764705882352944</v>
          </cell>
        </row>
        <row r="33">
          <cell r="A33">
            <v>29</v>
          </cell>
          <cell r="B33" t="str">
            <v>New Mexico</v>
          </cell>
          <cell r="E33">
            <v>0</v>
          </cell>
          <cell r="H33">
            <v>12</v>
          </cell>
          <cell r="J33">
            <v>5188</v>
          </cell>
          <cell r="K33" t="str">
            <v>na</v>
          </cell>
          <cell r="L33">
            <v>5188</v>
          </cell>
          <cell r="M33">
            <v>6.9007760712796443E-4</v>
          </cell>
          <cell r="P33" t="str">
            <v>New Mexico</v>
          </cell>
          <cell r="Q33">
            <v>6.9007760712796443E-4</v>
          </cell>
          <cell r="W33">
            <v>360.00000000000006</v>
          </cell>
          <cell r="AB33">
            <v>0.11904761904761907</v>
          </cell>
          <cell r="AC33">
            <v>0.95121951219512191</v>
          </cell>
          <cell r="AD33">
            <v>0.58490566037735858</v>
          </cell>
        </row>
        <row r="34">
          <cell r="A34">
            <v>30</v>
          </cell>
          <cell r="B34" t="str">
            <v>Idaho</v>
          </cell>
          <cell r="E34">
            <v>0</v>
          </cell>
          <cell r="H34">
            <v>7</v>
          </cell>
          <cell r="J34">
            <v>5129</v>
          </cell>
          <cell r="K34">
            <v>0.66500000000000004</v>
          </cell>
          <cell r="L34">
            <v>5129</v>
          </cell>
          <cell r="M34">
            <v>6.8222977003842128E-4</v>
          </cell>
          <cell r="P34" t="str">
            <v>Idaho</v>
          </cell>
          <cell r="Q34">
            <v>6.8222977003842128E-4</v>
          </cell>
          <cell r="W34">
            <v>300</v>
          </cell>
          <cell r="AB34">
            <v>0.96666666666666656</v>
          </cell>
          <cell r="AC34">
            <v>0.5</v>
          </cell>
          <cell r="AD34">
            <v>0.68421052631578938</v>
          </cell>
        </row>
        <row r="35">
          <cell r="A35">
            <v>31</v>
          </cell>
          <cell r="B35" t="str">
            <v>Iowa</v>
          </cell>
          <cell r="E35">
            <v>0</v>
          </cell>
          <cell r="H35">
            <v>5</v>
          </cell>
          <cell r="J35">
            <v>1603</v>
          </cell>
          <cell r="K35">
            <v>0.83909999999999996</v>
          </cell>
          <cell r="L35">
            <v>1603</v>
          </cell>
          <cell r="M35">
            <v>2.1322174329724882E-4</v>
          </cell>
          <cell r="P35" t="str">
            <v>Iowa</v>
          </cell>
          <cell r="Q35">
            <v>2.1322174329724882E-4</v>
          </cell>
          <cell r="W35">
            <v>220</v>
          </cell>
          <cell r="AB35">
            <v>0.77192982456140347</v>
          </cell>
          <cell r="AC35">
            <v>0.625</v>
          </cell>
          <cell r="AD35">
            <v>0.39473684210526305</v>
          </cell>
        </row>
        <row r="36">
          <cell r="A36">
            <v>32</v>
          </cell>
          <cell r="B36" t="str">
            <v>California</v>
          </cell>
          <cell r="E36">
            <v>0</v>
          </cell>
          <cell r="L36">
            <v>0</v>
          </cell>
          <cell r="M36">
            <v>0</v>
          </cell>
          <cell r="P36" t="str">
            <v>California</v>
          </cell>
          <cell r="Q36">
            <v>0</v>
          </cell>
          <cell r="W36">
            <v>370.00000000000006</v>
          </cell>
          <cell r="AB36">
            <v>0.77268292682926831</v>
          </cell>
          <cell r="AC36">
            <v>0.71050454921422657</v>
          </cell>
          <cell r="AD36">
            <v>0.46477052359405291</v>
          </cell>
        </row>
        <row r="37">
          <cell r="A37">
            <v>33</v>
          </cell>
          <cell r="B37" t="str">
            <v>Oklahoma</v>
          </cell>
          <cell r="E37">
            <v>0</v>
          </cell>
          <cell r="L37">
            <v>0</v>
          </cell>
          <cell r="M37">
            <v>0</v>
          </cell>
          <cell r="P37" t="str">
            <v>Oklahoma</v>
          </cell>
          <cell r="Q37">
            <v>0</v>
          </cell>
          <cell r="W37">
            <v>200.00000000000003</v>
          </cell>
          <cell r="AB37">
            <v>0.56470588235294117</v>
          </cell>
          <cell r="AC37">
            <v>0.54545454545454541</v>
          </cell>
          <cell r="AD37">
            <v>0.31192660550458706</v>
          </cell>
        </row>
        <row r="38">
          <cell r="E38">
            <v>5552000</v>
          </cell>
          <cell r="G38">
            <v>1.0000000000000002</v>
          </cell>
          <cell r="J38">
            <v>1965995</v>
          </cell>
          <cell r="L38">
            <v>7517994.9999999991</v>
          </cell>
          <cell r="M38">
            <v>1.0000000000000004</v>
          </cell>
          <cell r="P38" t="str">
            <v>US avg</v>
          </cell>
          <cell r="Q38">
            <v>0</v>
          </cell>
          <cell r="W38">
            <v>279.99999999999994</v>
          </cell>
          <cell r="AB38">
            <v>0.61164010931478929</v>
          </cell>
          <cell r="AC38">
            <v>0.72105324841913565</v>
          </cell>
          <cell r="AD38">
            <v>0.6441012822565777</v>
          </cell>
        </row>
        <row r="40">
          <cell r="B40" t="str">
            <v>* Two thirds</v>
          </cell>
          <cell r="E40">
            <v>5551999.9999999991</v>
          </cell>
          <cell r="L40">
            <v>0.73849477154480692</v>
          </cell>
        </row>
        <row r="42">
          <cell r="X42">
            <v>25.76</v>
          </cell>
          <cell r="Y42">
            <v>31.51</v>
          </cell>
        </row>
        <row r="43">
          <cell r="Y43">
            <v>0.22321428571428581</v>
          </cell>
        </row>
        <row r="44">
          <cell r="A44">
            <v>1</v>
          </cell>
          <cell r="B44" t="str">
            <v>Florida</v>
          </cell>
          <cell r="M44">
            <v>0.20389840642352119</v>
          </cell>
        </row>
        <row r="45">
          <cell r="A45">
            <v>2</v>
          </cell>
          <cell r="B45" t="str">
            <v>North Carolina</v>
          </cell>
          <cell r="M45">
            <v>0.13903879957355653</v>
          </cell>
        </row>
        <row r="46">
          <cell r="A46">
            <v>3</v>
          </cell>
          <cell r="B46" t="str">
            <v>Nevada</v>
          </cell>
          <cell r="M46">
            <v>7.6803456240659915E-2</v>
          </cell>
        </row>
        <row r="47">
          <cell r="A47">
            <v>4</v>
          </cell>
          <cell r="B47" t="str">
            <v>Missouri</v>
          </cell>
          <cell r="M47">
            <v>7.4330296841112573E-2</v>
          </cell>
        </row>
        <row r="48">
          <cell r="A48">
            <v>5</v>
          </cell>
          <cell r="B48" t="str">
            <v>Ohio</v>
          </cell>
          <cell r="M48">
            <v>5.8999879622159912E-2</v>
          </cell>
          <cell r="U48">
            <v>0.36619513580416063</v>
          </cell>
          <cell r="V48">
            <v>0.29145305363996654</v>
          </cell>
          <cell r="W48">
            <v>5.3609479655147431E-2</v>
          </cell>
          <cell r="X48">
            <v>0.28852910915742841</v>
          </cell>
        </row>
        <row r="49">
          <cell r="B49" t="str">
            <v>28 Other States</v>
          </cell>
          <cell r="M49">
            <v>0.44692916129898985</v>
          </cell>
          <cell r="P49" t="str">
            <v>FL</v>
          </cell>
          <cell r="Q49" t="str">
            <v>Florida</v>
          </cell>
          <cell r="R49">
            <v>420.00000000000011</v>
          </cell>
          <cell r="S49">
            <v>0.65272496831432192</v>
          </cell>
          <cell r="T49">
            <v>0.20389840642352119</v>
          </cell>
          <cell r="U49">
            <v>0.20389840642352119</v>
          </cell>
        </row>
        <row r="50">
          <cell r="P50" t="str">
            <v>NC</v>
          </cell>
          <cell r="Q50" t="str">
            <v>North Carolina</v>
          </cell>
          <cell r="R50">
            <v>309.99999999999989</v>
          </cell>
          <cell r="S50">
            <v>0.54672897196261672</v>
          </cell>
          <cell r="T50">
            <v>0.13903879957355653</v>
          </cell>
          <cell r="V50">
            <v>0.13903879957355653</v>
          </cell>
        </row>
        <row r="51">
          <cell r="P51" t="str">
            <v>NV</v>
          </cell>
          <cell r="Q51" t="str">
            <v>Nevada</v>
          </cell>
          <cell r="R51">
            <v>460</v>
          </cell>
          <cell r="S51">
            <v>1.0849056603773586</v>
          </cell>
          <cell r="T51">
            <v>7.6803456240659915E-2</v>
          </cell>
          <cell r="U51">
            <v>7.6803456240659915E-2</v>
          </cell>
        </row>
        <row r="52">
          <cell r="P52" t="str">
            <v>MO</v>
          </cell>
          <cell r="Q52" t="str">
            <v>Missouri</v>
          </cell>
          <cell r="R52">
            <v>250.00000000000009</v>
          </cell>
          <cell r="S52">
            <v>0.35294117647058831</v>
          </cell>
          <cell r="T52">
            <v>7.4330296841112573E-2</v>
          </cell>
          <cell r="X52">
            <v>7.4330296841112573E-2</v>
          </cell>
        </row>
        <row r="53">
          <cell r="P53" t="str">
            <v>OH</v>
          </cell>
          <cell r="Q53" t="str">
            <v>Ohio</v>
          </cell>
          <cell r="R53">
            <v>349.99999999999989</v>
          </cell>
          <cell r="S53">
            <v>0.42500000000000004</v>
          </cell>
          <cell r="T53">
            <v>5.8999879622159912E-2</v>
          </cell>
          <cell r="V53">
            <v>5.8999879622159912E-2</v>
          </cell>
        </row>
        <row r="54">
          <cell r="P54" t="str">
            <v>VA</v>
          </cell>
          <cell r="Q54" t="str">
            <v>Virginia</v>
          </cell>
          <cell r="R54">
            <v>190.00000000000003</v>
          </cell>
          <cell r="S54">
            <v>0.15481171548117145</v>
          </cell>
          <cell r="T54">
            <v>5.6089156749904737E-2</v>
          </cell>
          <cell r="X54">
            <v>5.6089156749904737E-2</v>
          </cell>
        </row>
        <row r="55">
          <cell r="P55" t="str">
            <v>WI</v>
          </cell>
          <cell r="Q55" t="str">
            <v>Wisconsin</v>
          </cell>
          <cell r="R55">
            <v>279.99999999999989</v>
          </cell>
          <cell r="S55">
            <v>0.32515337423312873</v>
          </cell>
          <cell r="T55">
            <v>4.7299446195428439E-2</v>
          </cell>
          <cell r="V55">
            <v>4.7299446195428439E-2</v>
          </cell>
        </row>
        <row r="56">
          <cell r="P56" t="str">
            <v>TX</v>
          </cell>
          <cell r="Q56" t="str">
            <v>Texas</v>
          </cell>
          <cell r="R56">
            <v>270.00000000000011</v>
          </cell>
          <cell r="S56">
            <v>0.7009602194787381</v>
          </cell>
          <cell r="T56">
            <v>3.9487921979197919E-2</v>
          </cell>
          <cell r="X56">
            <v>3.9487921979197919E-2</v>
          </cell>
        </row>
        <row r="57">
          <cell r="P57" t="str">
            <v>PA</v>
          </cell>
          <cell r="Q57" t="str">
            <v>Pennsylvania</v>
          </cell>
          <cell r="R57">
            <v>250.00000000000009</v>
          </cell>
          <cell r="S57">
            <v>0.41964285714285721</v>
          </cell>
          <cell r="T57">
            <v>3.8401728120329957E-2</v>
          </cell>
          <cell r="X57">
            <v>3.8401728120329957E-2</v>
          </cell>
        </row>
        <row r="58">
          <cell r="P58" t="str">
            <v>AL</v>
          </cell>
          <cell r="Q58" t="str">
            <v>Alabama</v>
          </cell>
          <cell r="R58">
            <v>450</v>
          </cell>
          <cell r="S58">
            <v>0.61417322834645671</v>
          </cell>
          <cell r="T58">
            <v>3.5046578243268324E-2</v>
          </cell>
          <cell r="U58">
            <v>3.5046578243268324E-2</v>
          </cell>
        </row>
        <row r="59">
          <cell r="P59" t="str">
            <v>AK</v>
          </cell>
          <cell r="Q59" t="str">
            <v>Arkansas</v>
          </cell>
          <cell r="R59">
            <v>199.99999999999997</v>
          </cell>
          <cell r="S59">
            <v>0.41964285714285721</v>
          </cell>
          <cell r="T59">
            <v>2.5891477714470416E-2</v>
          </cell>
          <cell r="X59">
            <v>2.5891477714470416E-2</v>
          </cell>
        </row>
        <row r="60">
          <cell r="P60" t="str">
            <v>IN</v>
          </cell>
          <cell r="Q60" t="str">
            <v>Indiana</v>
          </cell>
          <cell r="R60">
            <v>210.00000000000006</v>
          </cell>
          <cell r="S60">
            <v>0.20304568527918776</v>
          </cell>
          <cell r="T60">
            <v>2.5199644320061401E-2</v>
          </cell>
          <cell r="V60">
            <v>2.5199644320061401E-2</v>
          </cell>
        </row>
        <row r="61">
          <cell r="P61" t="str">
            <v>TN</v>
          </cell>
          <cell r="Q61" t="str">
            <v>Tennessee</v>
          </cell>
          <cell r="R61">
            <v>330</v>
          </cell>
          <cell r="S61">
            <v>0.61650485436893199</v>
          </cell>
          <cell r="T61">
            <v>2.4522070046601521E-2</v>
          </cell>
          <cell r="U61">
            <v>2.4522070046601521E-2</v>
          </cell>
        </row>
        <row r="62">
          <cell r="P62" t="str">
            <v>MN</v>
          </cell>
          <cell r="Q62" t="str">
            <v>Minnesota</v>
          </cell>
          <cell r="R62">
            <v>80.000000000000071</v>
          </cell>
          <cell r="S62">
            <v>0.17346938775510212</v>
          </cell>
          <cell r="T62">
            <v>2.2515710638275236E-2</v>
          </cell>
          <cell r="W62">
            <v>2.2515710638275236E-2</v>
          </cell>
        </row>
        <row r="63">
          <cell r="P63" t="str">
            <v>NJ</v>
          </cell>
          <cell r="Q63" t="str">
            <v>New Jersey</v>
          </cell>
          <cell r="R63">
            <v>329.99999999999989</v>
          </cell>
          <cell r="S63">
            <v>0.54393305439330542</v>
          </cell>
          <cell r="T63">
            <v>2.0308606217482192E-2</v>
          </cell>
          <cell r="X63">
            <v>2.0308606217482192E-2</v>
          </cell>
        </row>
        <row r="64">
          <cell r="P64" t="str">
            <v>OR</v>
          </cell>
          <cell r="Q64" t="str">
            <v>Oregon</v>
          </cell>
          <cell r="R64">
            <v>269.99999999999994</v>
          </cell>
          <cell r="S64">
            <v>0.84782608695652173</v>
          </cell>
          <cell r="T64">
            <v>1.529030013986442E-2</v>
          </cell>
          <cell r="U64">
            <v>1.529030013986442E-2</v>
          </cell>
        </row>
        <row r="65">
          <cell r="P65" t="str">
            <v>MI</v>
          </cell>
          <cell r="Q65" t="str">
            <v>Michigan</v>
          </cell>
          <cell r="R65">
            <v>440</v>
          </cell>
          <cell r="S65">
            <v>0.4688279301745637</v>
          </cell>
          <cell r="T65">
            <v>1.1314851898677774E-2</v>
          </cell>
          <cell r="V65">
            <v>1.1314851898677774E-2</v>
          </cell>
        </row>
        <row r="66">
          <cell r="P66" t="str">
            <v>CO</v>
          </cell>
          <cell r="Q66" t="str">
            <v>Colorado</v>
          </cell>
          <cell r="R66">
            <v>170</v>
          </cell>
          <cell r="S66">
            <v>0.66666666666666674</v>
          </cell>
          <cell r="T66">
            <v>1.0722406705511245E-2</v>
          </cell>
          <cell r="W66">
            <v>1.0722406705511245E-2</v>
          </cell>
        </row>
        <row r="67">
          <cell r="P67" t="str">
            <v>KS</v>
          </cell>
          <cell r="Q67" t="str">
            <v>Kansas</v>
          </cell>
          <cell r="R67">
            <v>160</v>
          </cell>
          <cell r="S67">
            <v>0.33823529411764697</v>
          </cell>
          <cell r="T67">
            <v>1.0708174187399701E-2</v>
          </cell>
          <cell r="X67">
            <v>1.0708174187399701E-2</v>
          </cell>
        </row>
        <row r="68">
          <cell r="P68" t="str">
            <v>SC</v>
          </cell>
          <cell r="Q68" t="str">
            <v>South Carolina</v>
          </cell>
          <cell r="R68">
            <v>379.99999999999994</v>
          </cell>
          <cell r="S68">
            <v>0.47222222222222232</v>
          </cell>
          <cell r="T68">
            <v>1.0634324710245221E-2</v>
          </cell>
          <cell r="U68">
            <v>1.0634324710245221E-2</v>
          </cell>
        </row>
        <row r="69">
          <cell r="P69" t="str">
            <v>LA</v>
          </cell>
          <cell r="Q69" t="str">
            <v>Louisiana</v>
          </cell>
          <cell r="R69">
            <v>199.99999999999997</v>
          </cell>
          <cell r="S69">
            <v>0.47972972972972983</v>
          </cell>
          <cell r="T69">
            <v>1.0508918933838079E-2</v>
          </cell>
          <cell r="X69">
            <v>1.0508918933838079E-2</v>
          </cell>
        </row>
        <row r="70">
          <cell r="P70" t="str">
            <v>WA</v>
          </cell>
          <cell r="Q70" t="str">
            <v>Washington</v>
          </cell>
          <cell r="R70">
            <v>300</v>
          </cell>
          <cell r="S70">
            <v>1.2550335570469797</v>
          </cell>
          <cell r="T70">
            <v>9.6004320300824893E-3</v>
          </cell>
          <cell r="V70">
            <v>9.6004320300824893E-3</v>
          </cell>
        </row>
        <row r="71">
          <cell r="E71" t="str">
            <v>Access lines</v>
          </cell>
          <cell r="F71">
            <v>2041</v>
          </cell>
          <cell r="G71">
            <v>5853</v>
          </cell>
          <cell r="H71">
            <v>7894</v>
          </cell>
          <cell r="P71" t="str">
            <v>NE</v>
          </cell>
          <cell r="Q71" t="str">
            <v>Nebraska</v>
          </cell>
          <cell r="R71">
            <v>80</v>
          </cell>
          <cell r="S71">
            <v>0.7407407407407407</v>
          </cell>
          <cell r="T71">
            <v>9.4527330757735294E-3</v>
          </cell>
          <cell r="X71">
            <v>9.4527330757735294E-3</v>
          </cell>
        </row>
        <row r="72">
          <cell r="E72" t="str">
            <v>Broadband</v>
          </cell>
          <cell r="F72">
            <v>628</v>
          </cell>
          <cell r="G72">
            <v>1388</v>
          </cell>
          <cell r="H72">
            <v>2016</v>
          </cell>
          <cell r="P72" t="str">
            <v>MT</v>
          </cell>
          <cell r="Q72" t="str">
            <v>Montana</v>
          </cell>
          <cell r="R72">
            <v>170</v>
          </cell>
          <cell r="S72">
            <v>0.75</v>
          </cell>
          <cell r="T72">
            <v>6.930970291946191E-3</v>
          </cell>
          <cell r="W72">
            <v>6.930970291946191E-3</v>
          </cell>
        </row>
        <row r="73">
          <cell r="E73" t="str">
            <v>Revenue</v>
          </cell>
          <cell r="F73">
            <v>2613</v>
          </cell>
          <cell r="G73">
            <v>6222</v>
          </cell>
          <cell r="H73">
            <v>8835</v>
          </cell>
          <cell r="P73" t="str">
            <v>IL</v>
          </cell>
          <cell r="Q73" t="str">
            <v>Illinois</v>
          </cell>
          <cell r="R73">
            <v>389.99999999999994</v>
          </cell>
          <cell r="S73">
            <v>0.55585831062670299</v>
          </cell>
          <cell r="T73">
            <v>6.9124813198199794E-3</v>
          </cell>
          <cell r="W73">
            <v>6.9124813198199794E-3</v>
          </cell>
        </row>
        <row r="74">
          <cell r="E74" t="str">
            <v>EBITDA</v>
          </cell>
          <cell r="F74">
            <v>1246</v>
          </cell>
          <cell r="G74">
            <v>2598</v>
          </cell>
          <cell r="H74">
            <v>3844</v>
          </cell>
          <cell r="P74" t="str">
            <v>GA</v>
          </cell>
          <cell r="Q74" t="str">
            <v>Georgia</v>
          </cell>
          <cell r="R74">
            <v>280.00000000000011</v>
          </cell>
          <cell r="S74">
            <v>0.63168724279835398</v>
          </cell>
          <cell r="T74">
            <v>3.9620936167156272E-3</v>
          </cell>
          <cell r="W74">
            <v>3.9620936167156272E-3</v>
          </cell>
        </row>
        <row r="75">
          <cell r="E75" t="str">
            <v>Net Debt</v>
          </cell>
          <cell r="F75">
            <v>3086</v>
          </cell>
          <cell r="G75">
            <v>5757</v>
          </cell>
          <cell r="H75">
            <v>8843</v>
          </cell>
          <cell r="P75" t="str">
            <v>MS</v>
          </cell>
          <cell r="Q75" t="str">
            <v>Mississippi</v>
          </cell>
          <cell r="R75">
            <v>279.99999999999994</v>
          </cell>
          <cell r="S75">
            <v>0.45121951219512191</v>
          </cell>
          <cell r="T75">
            <v>2.660017730791255E-3</v>
          </cell>
          <cell r="X75">
            <v>2.660017730791255E-3</v>
          </cell>
        </row>
        <row r="76">
          <cell r="P76" t="str">
            <v>WY</v>
          </cell>
          <cell r="Q76" t="str">
            <v>Wyoming</v>
          </cell>
          <cell r="R76">
            <v>429.99999999999994</v>
          </cell>
          <cell r="S76">
            <v>0.11764705882352944</v>
          </cell>
          <cell r="T76">
            <v>1.8835873128407244E-3</v>
          </cell>
          <cell r="W76">
            <v>1.8835873128407244E-3</v>
          </cell>
        </row>
        <row r="77">
          <cell r="F77" t="str">
            <v>CenturyTel</v>
          </cell>
          <cell r="G77" t="str">
            <v>Embarq</v>
          </cell>
          <cell r="P77" t="str">
            <v>NM</v>
          </cell>
          <cell r="Q77" t="str">
            <v>New Mexico</v>
          </cell>
          <cell r="R77">
            <v>360.00000000000006</v>
          </cell>
          <cell r="S77">
            <v>0.58490566037735858</v>
          </cell>
          <cell r="T77">
            <v>6.9007760712796443E-4</v>
          </cell>
          <cell r="X77">
            <v>6.9007760712796443E-4</v>
          </cell>
        </row>
        <row r="78">
          <cell r="E78" t="str">
            <v>Access lines</v>
          </cell>
          <cell r="F78">
            <v>0.25855079807448694</v>
          </cell>
          <cell r="G78">
            <v>0.741449201925513</v>
          </cell>
          <cell r="P78" t="str">
            <v>ID</v>
          </cell>
          <cell r="Q78" t="str">
            <v>Idaho</v>
          </cell>
          <cell r="R78">
            <v>300</v>
          </cell>
          <cell r="S78">
            <v>0.68421052631578938</v>
          </cell>
          <cell r="T78">
            <v>6.8222977003842128E-4</v>
          </cell>
          <cell r="W78">
            <v>6.8222977003842128E-4</v>
          </cell>
        </row>
        <row r="79">
          <cell r="E79" t="str">
            <v>Broadband</v>
          </cell>
          <cell r="F79">
            <v>0.31150793650793651</v>
          </cell>
          <cell r="G79">
            <v>0.68849206349206349</v>
          </cell>
          <cell r="P79" t="str">
            <v>IA</v>
          </cell>
          <cell r="Q79" t="str">
            <v>Iowa</v>
          </cell>
          <cell r="R79">
            <v>220</v>
          </cell>
          <cell r="S79">
            <v>0.39473684210526305</v>
          </cell>
          <cell r="T79">
            <v>2.1322174329724882E-4</v>
          </cell>
        </row>
        <row r="80">
          <cell r="E80" t="str">
            <v>Revenue</v>
          </cell>
          <cell r="F80">
            <v>0.29575551782682513</v>
          </cell>
          <cell r="G80">
            <v>0.70424448217317492</v>
          </cell>
          <cell r="P80" t="str">
            <v>CA</v>
          </cell>
          <cell r="Q80" t="str">
            <v>California</v>
          </cell>
          <cell r="R80">
            <v>370.00000000000006</v>
          </cell>
          <cell r="S80">
            <v>0.46477052359405291</v>
          </cell>
          <cell r="T80">
            <v>0</v>
          </cell>
        </row>
        <row r="81">
          <cell r="E81" t="str">
            <v>EBITDA</v>
          </cell>
          <cell r="F81">
            <v>0.32414151925078044</v>
          </cell>
          <cell r="G81">
            <v>0.67585848074921961</v>
          </cell>
          <cell r="P81" t="str">
            <v>OK</v>
          </cell>
          <cell r="Q81" t="str">
            <v>Oklahoma</v>
          </cell>
          <cell r="R81">
            <v>200.00000000000003</v>
          </cell>
          <cell r="S81">
            <v>0.31192660550458706</v>
          </cell>
          <cell r="T81">
            <v>0</v>
          </cell>
        </row>
        <row r="82">
          <cell r="E82" t="str">
            <v>Net Debt</v>
          </cell>
          <cell r="F82">
            <v>0.34897659165441591</v>
          </cell>
          <cell r="G82">
            <v>0.65102340834558403</v>
          </cell>
          <cell r="P82" t="str">
            <v>US AVG</v>
          </cell>
          <cell r="Q82" t="str">
            <v>US avg</v>
          </cell>
          <cell r="R82">
            <v>279.99999999999994</v>
          </cell>
          <cell r="S82">
            <v>0.6441012822565777</v>
          </cell>
          <cell r="T82">
            <v>0</v>
          </cell>
        </row>
      </sheetData>
      <sheetData sheetId="3"/>
      <sheetData sheetId="4"/>
      <sheetData sheetId="5">
        <row r="4">
          <cell r="B4" t="str">
            <v>Access Lines</v>
          </cell>
          <cell r="C4" t="str">
            <v>Broadband</v>
          </cell>
          <cell r="D4" t="str">
            <v>LTM</v>
          </cell>
        </row>
        <row r="5">
          <cell r="B5" t="str">
            <v>Access 
Lines</v>
          </cell>
          <cell r="C5" t="str">
            <v>Broadband</v>
          </cell>
          <cell r="D5" t="str">
            <v>LTM 
Revenue</v>
          </cell>
          <cell r="E5" t="str">
            <v>LTM 
EBITDA</v>
          </cell>
          <cell r="F5" t="str">
            <v>LTM 
FCF</v>
          </cell>
          <cell r="G5" t="str">
            <v>Net 
Debt</v>
          </cell>
          <cell r="H5" t="str">
            <v>LTM Cash Opex</v>
          </cell>
        </row>
        <row r="6">
          <cell r="A6" t="str">
            <v>Embarq</v>
          </cell>
          <cell r="B6">
            <v>5552</v>
          </cell>
          <cell r="C6">
            <v>1452</v>
          </cell>
          <cell r="D6">
            <v>5579</v>
          </cell>
          <cell r="E6">
            <v>2605</v>
          </cell>
          <cell r="F6">
            <v>1186</v>
          </cell>
          <cell r="G6">
            <v>5195</v>
          </cell>
          <cell r="H6">
            <v>2974</v>
          </cell>
          <cell r="J6">
            <v>0.46692955726832763</v>
          </cell>
        </row>
        <row r="7">
          <cell r="A7" t="str">
            <v>CenturyTel</v>
          </cell>
          <cell r="B7">
            <v>1967</v>
          </cell>
          <cell r="C7">
            <v>665</v>
          </cell>
          <cell r="D7">
            <v>2587.4488675051889</v>
          </cell>
          <cell r="E7">
            <v>1247.108867505189</v>
          </cell>
          <cell r="F7">
            <v>0</v>
          </cell>
          <cell r="G7">
            <v>0</v>
          </cell>
          <cell r="H7">
            <v>1340.34</v>
          </cell>
          <cell r="J7">
            <v>0.48198396620206369</v>
          </cell>
        </row>
        <row r="8">
          <cell r="A8" t="str">
            <v>Century Link</v>
          </cell>
          <cell r="B8">
            <v>7519</v>
          </cell>
          <cell r="C8">
            <v>2117</v>
          </cell>
          <cell r="D8">
            <v>8166.4488675051889</v>
          </cell>
          <cell r="E8">
            <v>3852.1088675051888</v>
          </cell>
          <cell r="F8">
            <v>1186</v>
          </cell>
          <cell r="G8">
            <v>5195</v>
          </cell>
          <cell r="H8">
            <v>4314.34</v>
          </cell>
        </row>
        <row r="11">
          <cell r="A11" t="str">
            <v>Embarq</v>
          </cell>
          <cell r="B11">
            <v>0.73839606330629071</v>
          </cell>
          <cell r="C11">
            <v>0.6858762399622107</v>
          </cell>
          <cell r="D11">
            <v>0.68316107656036273</v>
          </cell>
          <cell r="E11">
            <v>0.67625295379751904</v>
          </cell>
          <cell r="F11">
            <v>1</v>
          </cell>
          <cell r="G11">
            <v>1</v>
          </cell>
          <cell r="H11">
            <v>0.68932907466727233</v>
          </cell>
        </row>
        <row r="12">
          <cell r="A12" t="str">
            <v>CenturyTel</v>
          </cell>
          <cell r="B12">
            <v>0.26160393669370929</v>
          </cell>
          <cell r="C12">
            <v>0.3141237600377893</v>
          </cell>
          <cell r="D12">
            <v>0.31683892343963727</v>
          </cell>
          <cell r="E12">
            <v>0.32374704620248096</v>
          </cell>
          <cell r="F12">
            <v>0</v>
          </cell>
          <cell r="G12">
            <v>0</v>
          </cell>
          <cell r="H12">
            <v>0.31067092533272755</v>
          </cell>
        </row>
        <row r="19">
          <cell r="B19" t="str">
            <v>LTM OCF</v>
          </cell>
          <cell r="C19" t="str">
            <v>LTM Capex</v>
          </cell>
          <cell r="D19" t="str">
            <v>LTM FCF</v>
          </cell>
        </row>
        <row r="20">
          <cell r="A20" t="str">
            <v>Embarq</v>
          </cell>
          <cell r="B20">
            <v>1789</v>
          </cell>
          <cell r="C20">
            <v>-603</v>
          </cell>
          <cell r="D20">
            <v>1186</v>
          </cell>
        </row>
        <row r="21">
          <cell r="A21" t="str">
            <v>CenturyTel</v>
          </cell>
          <cell r="B21">
            <v>0</v>
          </cell>
          <cell r="C21">
            <v>0</v>
          </cell>
          <cell r="D21">
            <v>0</v>
          </cell>
        </row>
        <row r="22">
          <cell r="A22" t="str">
            <v>Century Link</v>
          </cell>
          <cell r="B22">
            <v>1789</v>
          </cell>
          <cell r="C22">
            <v>-603</v>
          </cell>
          <cell r="D22">
            <v>1186</v>
          </cell>
        </row>
        <row r="27">
          <cell r="B27" t="str">
            <v>Cash</v>
          </cell>
          <cell r="C27" t="str">
            <v>Debt</v>
          </cell>
          <cell r="D27" t="str">
            <v>Net Debt</v>
          </cell>
        </row>
        <row r="28">
          <cell r="A28" t="str">
            <v>Embarq</v>
          </cell>
          <cell r="B28">
            <v>5195</v>
          </cell>
          <cell r="D28">
            <v>5195</v>
          </cell>
        </row>
        <row r="29">
          <cell r="A29" t="str">
            <v>CenturyTel</v>
          </cell>
          <cell r="D29">
            <v>0</v>
          </cell>
        </row>
        <row r="30">
          <cell r="A30" t="str">
            <v>Century Link</v>
          </cell>
          <cell r="D30">
            <v>5195</v>
          </cell>
        </row>
        <row r="56">
          <cell r="B56" t="str">
            <v>1Q06</v>
          </cell>
          <cell r="C56" t="str">
            <v>2Q06</v>
          </cell>
          <cell r="D56" t="str">
            <v>3Q06</v>
          </cell>
          <cell r="E56" t="str">
            <v>4Q06</v>
          </cell>
          <cell r="F56" t="str">
            <v>1Q07</v>
          </cell>
          <cell r="G56" t="str">
            <v>2Q07</v>
          </cell>
          <cell r="H56" t="str">
            <v>3Q07</v>
          </cell>
          <cell r="I56" t="str">
            <v>4Q07</v>
          </cell>
          <cell r="J56" t="str">
            <v>1Q08</v>
          </cell>
          <cell r="K56" t="str">
            <v>2Q08</v>
          </cell>
          <cell r="L56" t="str">
            <v>3Q08</v>
          </cell>
          <cell r="M56" t="str">
            <v>4Q08</v>
          </cell>
          <cell r="N56" t="str">
            <v>1Q09</v>
          </cell>
          <cell r="O56" t="str">
            <v>2Q09E</v>
          </cell>
        </row>
        <row r="57">
          <cell r="A57" t="str">
            <v>Total capital expenditures</v>
          </cell>
          <cell r="B57">
            <v>264.08800000000002</v>
          </cell>
          <cell r="C57">
            <v>382.36700000000002</v>
          </cell>
          <cell r="D57">
            <v>342.57900000000001</v>
          </cell>
          <cell r="E57">
            <v>315.03699999999998</v>
          </cell>
          <cell r="F57">
            <v>231.88</v>
          </cell>
          <cell r="G57">
            <v>245.976</v>
          </cell>
          <cell r="H57">
            <v>272.44499999999999</v>
          </cell>
          <cell r="I57">
            <v>404.74400000000003</v>
          </cell>
          <cell r="J57">
            <v>231.739</v>
          </cell>
          <cell r="K57">
            <v>238.65899999999999</v>
          </cell>
          <cell r="L57">
            <v>240.60599999999999</v>
          </cell>
          <cell r="M57">
            <v>250.81299999999999</v>
          </cell>
          <cell r="N57">
            <v>150.49600000000001</v>
          </cell>
          <cell r="O57">
            <v>232.30500000000001</v>
          </cell>
        </row>
        <row r="58">
          <cell r="A58" t="str">
            <v xml:space="preserve">   % growth</v>
          </cell>
          <cell r="B58">
            <v>2.525733281711013</v>
          </cell>
          <cell r="C58">
            <v>2.748291850878827</v>
          </cell>
          <cell r="D58">
            <v>2.2612905068352309</v>
          </cell>
          <cell r="E58">
            <v>1.3702318792602735</v>
          </cell>
          <cell r="F58">
            <v>-0.12195934688437193</v>
          </cell>
          <cell r="G58">
            <v>-0.35670180742585011</v>
          </cell>
          <cell r="H58">
            <v>-0.20472358200590235</v>
          </cell>
          <cell r="I58">
            <v>0.28475068007884796</v>
          </cell>
          <cell r="J58">
            <v>-6.0807314127997447E-4</v>
          </cell>
          <cell r="K58">
            <v>-2.974680456629919E-2</v>
          </cell>
          <cell r="L58">
            <v>-0.11686395419258933</v>
          </cell>
          <cell r="M58">
            <v>-0.38031694107880543</v>
          </cell>
          <cell r="N58">
            <v>-0.35057974704300954</v>
          </cell>
          <cell r="O58">
            <v>-2.6623760260455209E-2</v>
          </cell>
        </row>
        <row r="59">
          <cell r="A59" t="str">
            <v xml:space="preserve">   % revenues</v>
          </cell>
          <cell r="B59">
            <v>0.1243740395424749</v>
          </cell>
          <cell r="C59">
            <v>0.18198151376568142</v>
          </cell>
          <cell r="D59">
            <v>0.1630993052857698</v>
          </cell>
          <cell r="E59">
            <v>0.14932822042996738</v>
          </cell>
          <cell r="F59">
            <v>0.1114349630320229</v>
          </cell>
          <cell r="G59">
            <v>0.11596504114331944</v>
          </cell>
          <cell r="H59">
            <v>0.12489994526215029</v>
          </cell>
          <cell r="I59">
            <v>0.1907508839001511</v>
          </cell>
          <cell r="J59">
            <v>0.11010997741153485</v>
          </cell>
          <cell r="K59">
            <v>0.11386006117153361</v>
          </cell>
          <cell r="L59">
            <v>0.11690838954692084</v>
          </cell>
          <cell r="M59">
            <v>0.12363560540596762</v>
          </cell>
          <cell r="N59">
            <v>7.5956024078447246E-2</v>
          </cell>
          <cell r="O59">
            <v>0.11855507793182744</v>
          </cell>
        </row>
        <row r="117">
          <cell r="A117" t="str">
            <v>25% of CTL are unionized</v>
          </cell>
        </row>
        <row r="120">
          <cell r="A120" t="str">
            <v>CTL</v>
          </cell>
        </row>
        <row r="122">
          <cell r="C122">
            <v>2008</v>
          </cell>
          <cell r="E122">
            <v>2007</v>
          </cell>
        </row>
        <row r="123">
          <cell r="B123" t="str">
            <v>USF</v>
          </cell>
          <cell r="C123">
            <v>151.69999999999999</v>
          </cell>
          <cell r="D123">
            <v>5.8000000000000003E-2</v>
          </cell>
          <cell r="E123">
            <v>166.5</v>
          </cell>
          <cell r="F123">
            <v>6.3E-2</v>
          </cell>
        </row>
        <row r="124">
          <cell r="B124" t="str">
            <v>other federal</v>
          </cell>
          <cell r="C124">
            <v>128.5</v>
          </cell>
          <cell r="D124">
            <v>0.05</v>
          </cell>
          <cell r="E124">
            <v>133.9</v>
          </cell>
          <cell r="F124">
            <v>0.05</v>
          </cell>
        </row>
        <row r="125">
          <cell r="C125">
            <v>280.2</v>
          </cell>
          <cell r="D125">
            <v>0.10800000000000001</v>
          </cell>
          <cell r="E125">
            <v>300.39999999999998</v>
          </cell>
          <cell r="F125">
            <v>0.113</v>
          </cell>
        </row>
        <row r="127">
          <cell r="B127" t="str">
            <v>state support</v>
          </cell>
          <cell r="C127">
            <v>39.700000000000003</v>
          </cell>
          <cell r="D127">
            <v>1.4999999999999999E-2</v>
          </cell>
          <cell r="E127">
            <v>35.6</v>
          </cell>
          <cell r="F127">
            <v>1.2999999999999999E-2</v>
          </cell>
        </row>
        <row r="129">
          <cell r="C129">
            <v>319.89999999999998</v>
          </cell>
          <cell r="D129">
            <v>0.12300000000000001</v>
          </cell>
          <cell r="E129">
            <v>336</v>
          </cell>
          <cell r="F129">
            <v>0.126</v>
          </cell>
        </row>
        <row r="132">
          <cell r="A132" t="str">
            <v>CTL</v>
          </cell>
          <cell r="B132" t="str">
            <v>CTL</v>
          </cell>
          <cell r="C132" t="str">
            <v>EQ</v>
          </cell>
        </row>
        <row r="133">
          <cell r="A133" t="str">
            <v>Consumer</v>
          </cell>
          <cell r="B133">
            <v>0.73</v>
          </cell>
          <cell r="C133">
            <v>0.66228386167146969</v>
          </cell>
          <cell r="D133">
            <v>0.67999198589517551</v>
          </cell>
        </row>
        <row r="134">
          <cell r="A134" t="str">
            <v>Business</v>
          </cell>
          <cell r="B134">
            <v>0.27</v>
          </cell>
          <cell r="C134">
            <v>0.33771613832853026</v>
          </cell>
          <cell r="D134">
            <v>0.32000801410482449</v>
          </cell>
        </row>
        <row r="136">
          <cell r="B136">
            <v>1435.17635</v>
          </cell>
          <cell r="C136">
            <v>3677</v>
          </cell>
          <cell r="D136">
            <v>5112.1763499999997</v>
          </cell>
        </row>
        <row r="137">
          <cell r="B137">
            <v>530.81865000000005</v>
          </cell>
          <cell r="C137">
            <v>1875</v>
          </cell>
          <cell r="D137">
            <v>2405.8186500000002</v>
          </cell>
        </row>
        <row r="138">
          <cell r="B138">
            <v>1965.9949999999999</v>
          </cell>
          <cell r="C138">
            <v>5552</v>
          </cell>
          <cell r="D138">
            <v>7517.9949999999999</v>
          </cell>
        </row>
        <row r="145">
          <cell r="D145" t="str">
            <v>2006</v>
          </cell>
          <cell r="E145" t="str">
            <v>2007</v>
          </cell>
          <cell r="F145">
            <v>2008</v>
          </cell>
          <cell r="G145" t="str">
            <v>2009E</v>
          </cell>
          <cell r="H145" t="str">
            <v>2010E</v>
          </cell>
          <cell r="I145" t="str">
            <v>2011E</v>
          </cell>
          <cell r="J145" t="str">
            <v>2012E</v>
          </cell>
          <cell r="K145" t="str">
            <v>2013E</v>
          </cell>
          <cell r="L145" t="str">
            <v>2014E</v>
          </cell>
          <cell r="M145" t="str">
            <v>2015E</v>
          </cell>
        </row>
        <row r="146">
          <cell r="A146" t="str">
            <v>Total access lines</v>
          </cell>
          <cell r="D146">
            <v>9017000</v>
          </cell>
          <cell r="E146">
            <v>8447000</v>
          </cell>
          <cell r="F146">
            <v>7694000</v>
          </cell>
          <cell r="G146">
            <v>6947682</v>
          </cell>
          <cell r="H146">
            <v>6322390.6200000001</v>
          </cell>
          <cell r="I146">
            <v>5784987.4173000008</v>
          </cell>
          <cell r="J146">
            <v>5310618.4490814013</v>
          </cell>
          <cell r="K146">
            <v>4907011.4469512152</v>
          </cell>
          <cell r="L146">
            <v>4553706.6227707276</v>
          </cell>
          <cell r="M146">
            <v>4244054.5724223182</v>
          </cell>
        </row>
        <row r="147">
          <cell r="A147" t="str">
            <v xml:space="preserve">   % Y/Y growth</v>
          </cell>
          <cell r="D147">
            <v>-7.4269945532638992E-2</v>
          </cell>
          <cell r="E147">
            <v>-6.3213929244759881E-2</v>
          </cell>
          <cell r="F147">
            <v>-8.9144074819462515E-2</v>
          </cell>
          <cell r="G147">
            <v>-9.6999999999999975E-2</v>
          </cell>
          <cell r="H147">
            <v>-0.09</v>
          </cell>
          <cell r="I147">
            <v>-8.5000000000000006E-2</v>
          </cell>
          <cell r="J147">
            <v>-8.2000000000000003E-2</v>
          </cell>
          <cell r="K147">
            <v>-7.5999999999999998E-2</v>
          </cell>
          <cell r="L147">
            <v>-7.1999999999999995E-2</v>
          </cell>
          <cell r="M147">
            <v>-6.8000000000000005E-2</v>
          </cell>
        </row>
        <row r="148">
          <cell r="A148" t="str">
            <v>Total DSL subscribers</v>
          </cell>
          <cell r="D148">
            <v>1439710.409679878</v>
          </cell>
          <cell r="E148">
            <v>1832000</v>
          </cell>
          <cell r="F148">
            <v>2053000</v>
          </cell>
          <cell r="G148">
            <v>2201829.7872340423</v>
          </cell>
          <cell r="H148">
            <v>2306010.6382978722</v>
          </cell>
          <cell r="I148">
            <v>2384146.2765957443</v>
          </cell>
          <cell r="J148">
            <v>2443529.3617021274</v>
          </cell>
          <cell r="K148">
            <v>2489254.3372340421</v>
          </cell>
          <cell r="L148">
            <v>2524919.8181489357</v>
          </cell>
          <cell r="M148">
            <v>2553095.5480717015</v>
          </cell>
        </row>
        <row r="149">
          <cell r="A149" t="str">
            <v xml:space="preserve">   % growth</v>
          </cell>
          <cell r="D149">
            <v>0.45826685541503442</v>
          </cell>
          <cell r="E149">
            <v>0.27247812315766207</v>
          </cell>
          <cell r="F149">
            <v>0.12063318777292587</v>
          </cell>
          <cell r="G149">
            <v>7.2493807712636249E-2</v>
          </cell>
          <cell r="H149">
            <v>4.7315578918887713E-2</v>
          </cell>
          <cell r="I149">
            <v>3.3883468272091877E-2</v>
          </cell>
          <cell r="J149">
            <v>2.490748394480824E-2</v>
          </cell>
          <cell r="K149">
            <v>1.8712676937126416E-2</v>
          </cell>
          <cell r="L149">
            <v>1.4327776949672133E-2</v>
          </cell>
          <cell r="M149">
            <v>1.1159059277938477E-2</v>
          </cell>
        </row>
        <row r="151">
          <cell r="A151" t="str">
            <v>RGUs</v>
          </cell>
          <cell r="D151">
            <v>10456710.409679879</v>
          </cell>
          <cell r="E151">
            <v>10279000</v>
          </cell>
          <cell r="F151">
            <v>9747000</v>
          </cell>
          <cell r="G151">
            <v>9149511.7872340418</v>
          </cell>
          <cell r="H151">
            <v>8628401.2582978718</v>
          </cell>
          <cell r="I151">
            <v>8169133.6938957451</v>
          </cell>
          <cell r="J151">
            <v>7754147.8107835287</v>
          </cell>
          <cell r="K151">
            <v>7396265.7841852568</v>
          </cell>
          <cell r="L151">
            <v>7078626.4409196638</v>
          </cell>
          <cell r="M151">
            <v>6797150.1204940192</v>
          </cell>
        </row>
        <row r="152">
          <cell r="E152">
            <v>-1.6994867670368952E-2</v>
          </cell>
          <cell r="F152">
            <v>-5.1756007393715331E-2</v>
          </cell>
          <cell r="G152">
            <v>-6.1299703782287662E-2</v>
          </cell>
          <cell r="H152">
            <v>-5.6955009300414861E-2</v>
          </cell>
          <cell r="I152">
            <v>-5.3227423094220683E-2</v>
          </cell>
          <cell r="J152">
            <v>-5.0799252241679915E-2</v>
          </cell>
          <cell r="K152">
            <v>-4.6153624528613268E-2</v>
          </cell>
          <cell r="L152">
            <v>-4.2945907101495928E-2</v>
          </cell>
          <cell r="M152">
            <v>-3.9764256918334406E-2</v>
          </cell>
        </row>
        <row r="156">
          <cell r="D156" t="str">
            <v>2006</v>
          </cell>
          <cell r="E156" t="str">
            <v>2007</v>
          </cell>
          <cell r="F156" t="str">
            <v>2008</v>
          </cell>
          <cell r="G156" t="str">
            <v>2009E</v>
          </cell>
          <cell r="H156" t="str">
            <v>2010E</v>
          </cell>
          <cell r="I156" t="str">
            <v>2011E</v>
          </cell>
          <cell r="J156" t="str">
            <v>2012E</v>
          </cell>
          <cell r="K156" t="str">
            <v>2013E</v>
          </cell>
          <cell r="L156" t="str">
            <v>2014E</v>
          </cell>
          <cell r="M156" t="str">
            <v>2015E</v>
          </cell>
        </row>
        <row r="157">
          <cell r="A157" t="str">
            <v>Total revenues</v>
          </cell>
          <cell r="D157">
            <v>8434.5950000000012</v>
          </cell>
          <cell r="E157">
            <v>8505.128999999999</v>
          </cell>
          <cell r="F157">
            <v>8287.4069999999992</v>
          </cell>
          <cell r="G157">
            <v>7709.8521178268256</v>
          </cell>
          <cell r="H157">
            <v>7224.3624475156084</v>
          </cell>
          <cell r="I157">
            <v>6796.7692682399575</v>
          </cell>
          <cell r="J157">
            <v>6415.5305821667307</v>
          </cell>
          <cell r="K157">
            <v>6080.9489715872351</v>
          </cell>
          <cell r="L157">
            <v>5782.4025308056016</v>
          </cell>
          <cell r="M157">
            <v>5512.4651581324915</v>
          </cell>
        </row>
        <row r="158">
          <cell r="A158" t="str">
            <v>% growth</v>
          </cell>
          <cell r="D158">
            <v>2.4020724799253972</v>
          </cell>
          <cell r="E158">
            <v>8.3624643506887697E-3</v>
          </cell>
          <cell r="F158">
            <v>-2.5598906259975518E-2</v>
          </cell>
          <cell r="G158">
            <v>-6.9690662250951774E-2</v>
          </cell>
          <cell r="H158">
            <v>-6.2970036635159543E-2</v>
          </cell>
          <cell r="I158">
            <v>-5.9187669829978695E-2</v>
          </cell>
          <cell r="J158">
            <v>-5.609116199584474E-2</v>
          </cell>
          <cell r="K158">
            <v>-5.2151822252945568E-2</v>
          </cell>
          <cell r="L158">
            <v>-4.9095370176031494E-2</v>
          </cell>
          <cell r="M158">
            <v>-4.6682563386935771E-2</v>
          </cell>
        </row>
        <row r="159">
          <cell r="A159" t="str">
            <v>Total operating income</v>
          </cell>
          <cell r="D159">
            <v>2280.3963294460655</v>
          </cell>
          <cell r="E159">
            <v>2096.3149999999996</v>
          </cell>
          <cell r="F159">
            <v>2205.0133333333324</v>
          </cell>
          <cell r="G159">
            <v>2141.7830678348582</v>
          </cell>
          <cell r="H159">
            <v>2002.7831223800977</v>
          </cell>
          <cell r="I159">
            <v>1769.6752691956481</v>
          </cell>
          <cell r="J159">
            <v>1563.5786378908351</v>
          </cell>
          <cell r="K159">
            <v>1383.947512103623</v>
          </cell>
          <cell r="L159">
            <v>1224.9426552574014</v>
          </cell>
          <cell r="M159">
            <v>1082.4680427894791</v>
          </cell>
        </row>
        <row r="160">
          <cell r="A160" t="str">
            <v>% growth</v>
          </cell>
          <cell r="D160">
            <v>2.0722504492332376</v>
          </cell>
          <cell r="E160">
            <v>-8.0723393152795198E-2</v>
          </cell>
          <cell r="F160">
            <v>5.1852099199467983E-2</v>
          </cell>
          <cell r="G160">
            <v>-2.8675683970984744E-2</v>
          </cell>
          <cell r="H160">
            <v>-6.4899170948847007E-2</v>
          </cell>
          <cell r="I160">
            <v>-0.11639196005777463</v>
          </cell>
          <cell r="J160">
            <v>-0.11646014096048696</v>
          </cell>
          <cell r="K160">
            <v>-0.11488461241036307</v>
          </cell>
          <cell r="L160">
            <v>-0.1148922596092764</v>
          </cell>
          <cell r="M160">
            <v>-0.11631125086258309</v>
          </cell>
        </row>
        <row r="161">
          <cell r="A161" t="str">
            <v>% margin</v>
          </cell>
          <cell r="D161">
            <v>0.2703622793324475</v>
          </cell>
          <cell r="E161">
            <v>0.24647656725723971</v>
          </cell>
          <cell r="F161">
            <v>0.2660679430047701</v>
          </cell>
          <cell r="G161">
            <v>0.27779820353267193</v>
          </cell>
          <cell r="H161">
            <v>0.27722627940252864</v>
          </cell>
          <cell r="I161">
            <v>0.26037006691767695</v>
          </cell>
          <cell r="J161">
            <v>0.24371774366365259</v>
          </cell>
          <cell r="K161">
            <v>0.22758742403036286</v>
          </cell>
          <cell r="L161">
            <v>0.21183974113381951</v>
          </cell>
          <cell r="M161">
            <v>0.19636732600341672</v>
          </cell>
        </row>
        <row r="162">
          <cell r="A162" t="str">
            <v>EBITDA</v>
          </cell>
          <cell r="D162">
            <v>3867.9813294460655</v>
          </cell>
          <cell r="E162">
            <v>3852.5699999999997</v>
          </cell>
          <cell r="F162">
            <v>3894.465999999999</v>
          </cell>
          <cell r="G162">
            <v>3796.6270589134128</v>
          </cell>
          <cell r="H162">
            <v>3641.0786735478669</v>
          </cell>
          <cell r="I162">
            <v>3391.5878648517391</v>
          </cell>
          <cell r="J162">
            <v>3169.2721075903655</v>
          </cell>
          <cell r="K162">
            <v>2973.5840471061583</v>
          </cell>
          <cell r="L162">
            <v>2798.6828249099108</v>
          </cell>
          <cell r="M162">
            <v>2640.4708107454635</v>
          </cell>
        </row>
        <row r="163">
          <cell r="A163" t="str">
            <v>% growth</v>
          </cell>
          <cell r="D163">
            <v>2.0356465176980034</v>
          </cell>
          <cell r="E163">
            <v>-3.9843339802968503E-3</v>
          </cell>
          <cell r="F163">
            <v>1.0874818627565341E-2</v>
          </cell>
          <cell r="G163">
            <v>-2.5122556234047577E-2</v>
          </cell>
          <cell r="H163">
            <v>-4.0970151387495934E-2</v>
          </cell>
          <cell r="I163">
            <v>-6.8521125486427303E-2</v>
          </cell>
          <cell r="J163">
            <v>-6.5549166384663904E-2</v>
          </cell>
          <cell r="K163">
            <v>-6.1745427290871291E-2</v>
          </cell>
          <cell r="L163">
            <v>-5.8818321401225671E-2</v>
          </cell>
          <cell r="M163">
            <v>-5.6530884013103577E-2</v>
          </cell>
        </row>
        <row r="164">
          <cell r="D164">
            <v>0.45858530604564474</v>
          </cell>
          <cell r="E164">
            <v>0.45297020186289944</v>
          </cell>
          <cell r="F164">
            <v>0.46992575602960002</v>
          </cell>
          <cell r="G164">
            <v>0.49243837636454785</v>
          </cell>
          <cell r="H164">
            <v>0.504</v>
          </cell>
          <cell r="I164">
            <v>0.49900000000000005</v>
          </cell>
          <cell r="J164">
            <v>0.49400000000000011</v>
          </cell>
          <cell r="K164">
            <v>0.48900000000000005</v>
          </cell>
          <cell r="L164">
            <v>0.48399999999999993</v>
          </cell>
          <cell r="M164">
            <v>0.47900000000000004</v>
          </cell>
        </row>
        <row r="166">
          <cell r="D166" t="str">
            <v>2006</v>
          </cell>
          <cell r="E166" t="str">
            <v>2007</v>
          </cell>
          <cell r="F166" t="str">
            <v>2008</v>
          </cell>
          <cell r="G166" t="str">
            <v>2009E</v>
          </cell>
          <cell r="H166" t="str">
            <v>2010E</v>
          </cell>
          <cell r="I166" t="str">
            <v>2011E</v>
          </cell>
          <cell r="J166" t="str">
            <v>2012E</v>
          </cell>
          <cell r="K166" t="str">
            <v>2013E</v>
          </cell>
          <cell r="L166" t="str">
            <v>2014E</v>
          </cell>
          <cell r="M166" t="str">
            <v>2015E</v>
          </cell>
        </row>
        <row r="167">
          <cell r="A167" t="str">
            <v>Levered Free Cash Flow (OCF - capex)</v>
          </cell>
          <cell r="D167">
            <v>1143.6777069824577</v>
          </cell>
          <cell r="E167">
            <v>1498.9409999999998</v>
          </cell>
          <cell r="F167">
            <v>1639.4830000000002</v>
          </cell>
          <cell r="G167">
            <v>1905.6792362536066</v>
          </cell>
          <cell r="H167">
            <v>1571.8639253336798</v>
          </cell>
          <cell r="I167">
            <v>1454.8976818234999</v>
          </cell>
          <cell r="J167">
            <v>1347.886859811864</v>
          </cell>
          <cell r="K167">
            <v>1279.0980556319537</v>
          </cell>
          <cell r="L167">
            <v>1216.299299845417</v>
          </cell>
          <cell r="M167">
            <v>1158.9421703269045</v>
          </cell>
        </row>
        <row r="168">
          <cell r="D168" t="e">
            <v>#DIV/0!</v>
          </cell>
          <cell r="E168">
            <v>0.31063234934856632</v>
          </cell>
          <cell r="F168">
            <v>9.3760861835122444E-2</v>
          </cell>
          <cell r="G168">
            <v>0.16236596308324414</v>
          </cell>
          <cell r="H168">
            <v>-0.1751686771674007</v>
          </cell>
          <cell r="I168">
            <v>-7.4412448574611822E-2</v>
          </cell>
          <cell r="J168">
            <v>-7.3552129024986534E-2</v>
          </cell>
          <cell r="K168">
            <v>-5.1034553589692111E-2</v>
          </cell>
          <cell r="L168">
            <v>-4.9096123248745238E-2</v>
          </cell>
          <cell r="M168">
            <v>-4.7157085041323432E-2</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GWP"/>
      <sheetName val="Sheet1"/>
      <sheetName val="Scenario"/>
      <sheetName val="ImportantDisclosures"/>
      <sheetName val="IndexInformation"/>
      <sheetName val="Income"/>
      <sheetName val="Euro vs. PM"/>
      <sheetName val="Ruble"/>
      <sheetName val="MS_IRI_Methodology"/>
      <sheetName val="MARKET_SHARE ($)_RAW_DATA"/>
      <sheetName val="NEXXUS_RAW_DATA"/>
      <sheetName val="HAIR_CARE_MARKET SHARE ROLL-UP"/>
      <sheetName val="TOTAL_ACV_DOLLAR_SALES"/>
      <sheetName val="TimeSeries"/>
      <sheetName val="Valuation Analyzer"/>
      <sheetName val="Income Statement"/>
      <sheetName val="Margins"/>
      <sheetName val="Comps"/>
      <sheetName val="Switches"/>
      <sheetName val="SSB Nielsen Sales"/>
      <sheetName val="EBITDA"/>
      <sheetName val="GWP-WLine"/>
      <sheetName val="TS_Stnd_Dev_Band"/>
      <sheetName val="Print "/>
      <sheetName val="Lookup"/>
      <sheetName val="Input"/>
      <sheetName val="99 cons YTD"/>
      <sheetName val="KPN"/>
      <sheetName val="Realizations vs Average"/>
      <sheetName val="summary"/>
      <sheetName val="B"/>
      <sheetName val="Ratios"/>
      <sheetName val="C"/>
      <sheetName val="Oil Consumption – barrels"/>
      <sheetName val="rev change analysis"/>
      <sheetName val="SOP"/>
      <sheetName val="O10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PO Calculations"/>
    </sheetNames>
    <sheetDataSet>
      <sheetData sheetId="0" refreshError="1">
        <row r="9">
          <cell r="D9">
            <v>21</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Combo Box"/>
      <sheetName val="MMD"/>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Model"/>
      <sheetName val="MATQTRS"/>
      <sheetName val="UNIV-EBS DATA"/>
      <sheetName val="Ratios"/>
      <sheetName val="MATINC"/>
      <sheetName val="MATBAL"/>
      <sheetName val="Macro1"/>
      <sheetName val="Macro2"/>
      <sheetName val="Quarterly"/>
      <sheetName val="Valuation"/>
      <sheetName val="Analysis"/>
      <sheetName val="MACRS"/>
      <sheetName val="FutureAcq"/>
      <sheetName val="Credit Output"/>
      <sheetName val="CalcsMO"/>
      <sheetName val=" Capital"/>
      <sheetName val="New Business"/>
      <sheetName val="LXK"/>
      <sheetName val="yearly"/>
      <sheetName val="OnAir"/>
      <sheetName val="RELPE"/>
      <sheetName val="SALESCAT"/>
      <sheetName val="MATCASH"/>
      <sheetName val="FinSum"/>
      <sheetName val="Aladdin Macro1"/>
      <sheetName val="DATA"/>
      <sheetName val="Scenario"/>
      <sheetName val="WY"/>
      <sheetName val="Gas"/>
      <sheetName val="Off Peak"/>
      <sheetName val="Peak"/>
      <sheetName val="changes in EST"/>
      <sheetName val="US peers EBIT Margins"/>
      <sheetName val="Sheet7"/>
      <sheetName val="Model (Euro)"/>
      <sheetName val="Monthly Spot"/>
      <sheetName val="NKEBALST"/>
      <sheetName val="NKEQTRIN"/>
      <sheetName val="main"/>
      <sheetName val="Sheet1"/>
      <sheetName val="DMK"/>
      <sheetName val="Cashflow Model"/>
      <sheetName val="premium detail - P&amp;C"/>
      <sheetName val="Monthly figures"/>
      <sheetName val="Annual"/>
      <sheetName val="Sainsbury"/>
      <sheetName val="単独"/>
      <sheetName val="ｾｸﾞﾒﾝﾄ"/>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Income Exhibit_Q"/>
      <sheetName val="Income Exhibit_A"/>
      <sheetName val="__FDSCACHE__"/>
      <sheetName val="Comp Sheet"/>
      <sheetName val="Performance Review"/>
      <sheetName val="5-Year IS"/>
      <sheetName val="Quarterly IS"/>
      <sheetName val="Balance Sheet"/>
      <sheetName val="Cash Flow Statement"/>
      <sheetName val="Pricepsf"/>
      <sheetName val="Revenue Generator"/>
      <sheetName val="Variance"/>
      <sheetName val="BS_Sum"/>
      <sheetName val="mwareValPrintout"/>
      <sheetName val="mwarePreview"/>
      <sheetName val="A and D"/>
      <sheetName val="Lease Exp 1"/>
      <sheetName val="Lease Exp 2"/>
      <sheetName val="mwareTaxoPres"/>
      <sheetName val="NAV"/>
      <sheetName val="NY UPLOAD"/>
      <sheetName val="Sensitivity Analysis"/>
      <sheetName val="mwareDates"/>
      <sheetName val="mwareSettings"/>
      <sheetName val="Macros"/>
      <sheetName val="MainCode"/>
      <sheetName val="Module1"/>
    </sheetNames>
    <sheetDataSet>
      <sheetData sheetId="0" refreshError="1"/>
      <sheetData sheetId="1" refreshError="1"/>
      <sheetData sheetId="2" refreshError="1"/>
      <sheetData sheetId="3" refreshError="1"/>
      <sheetData sheetId="4" refreshError="1"/>
      <sheetData sheetId="5" refreshError="1"/>
      <sheetData sheetId="6" refreshError="1">
        <row r="1">
          <cell r="A1" t="str">
            <v>Table 3</v>
          </cell>
          <cell r="P1" t="str">
            <v>Table 2</v>
          </cell>
        </row>
        <row r="2">
          <cell r="A2" t="str">
            <v>Trizec Properties (TRZ)</v>
          </cell>
          <cell r="P2" t="str">
            <v>Trizec Properties (TRZ)</v>
          </cell>
        </row>
        <row r="3">
          <cell r="A3" t="str">
            <v>Annual Earnings Model Summary</v>
          </cell>
          <cell r="P3" t="str">
            <v>Quarterly Earnings Model</v>
          </cell>
        </row>
        <row r="4">
          <cell r="A4" t="str">
            <v>($ thousands, except per share amounts)</v>
          </cell>
          <cell r="P4" t="str">
            <v>($ thousands, except per share amounts)</v>
          </cell>
        </row>
        <row r="5">
          <cell r="N5" t="str">
            <v>CAGR</v>
          </cell>
          <cell r="R5" t="str">
            <v>1998A</v>
          </cell>
          <cell r="V5" t="str">
            <v xml:space="preserve"> </v>
          </cell>
          <cell r="X5" t="str">
            <v>1999E</v>
          </cell>
          <cell r="AB5" t="str">
            <v xml:space="preserve"> </v>
          </cell>
        </row>
        <row r="6">
          <cell r="B6" t="str">
            <v>1996PF</v>
          </cell>
          <cell r="C6" t="str">
            <v>1997A</v>
          </cell>
          <cell r="D6" t="str">
            <v>1998A</v>
          </cell>
          <cell r="E6" t="str">
            <v>1999E</v>
          </cell>
          <cell r="F6" t="str">
            <v>2000E</v>
          </cell>
          <cell r="G6" t="str">
            <v>2001E</v>
          </cell>
          <cell r="H6" t="str">
            <v>2002A</v>
          </cell>
          <cell r="I6" t="str">
            <v>2003A</v>
          </cell>
          <cell r="J6" t="str">
            <v>2004A</v>
          </cell>
          <cell r="K6" t="str">
            <v>2005E</v>
          </cell>
          <cell r="L6" t="str">
            <v>2006E</v>
          </cell>
          <cell r="N6" t="str">
            <v>02A-06E</v>
          </cell>
          <cell r="R6" t="str">
            <v>1QA</v>
          </cell>
          <cell r="S6" t="str">
            <v>2QA</v>
          </cell>
          <cell r="T6" t="str">
            <v>3QA</v>
          </cell>
          <cell r="U6" t="str">
            <v>4QA</v>
          </cell>
          <cell r="V6" t="str">
            <v>Year</v>
          </cell>
          <cell r="X6" t="str">
            <v>1QA</v>
          </cell>
          <cell r="Y6" t="str">
            <v>2QA</v>
          </cell>
          <cell r="Z6" t="str">
            <v>3QE</v>
          </cell>
          <cell r="AA6" t="str">
            <v>4QE</v>
          </cell>
          <cell r="AB6" t="str">
            <v>Year</v>
          </cell>
        </row>
        <row r="7">
          <cell r="A7" t="str">
            <v>Property Operating Income</v>
          </cell>
          <cell r="P7" t="str">
            <v>Property Operating Income</v>
          </cell>
        </row>
        <row r="8">
          <cell r="A8" t="str">
            <v>Total Revenues - Existing Portfolio</v>
          </cell>
          <cell r="B8">
            <v>597100</v>
          </cell>
          <cell r="C8">
            <v>713700</v>
          </cell>
          <cell r="D8">
            <v>963500</v>
          </cell>
          <cell r="E8">
            <v>1188800</v>
          </cell>
          <cell r="F8">
            <v>1176600</v>
          </cell>
          <cell r="G8">
            <v>2678549.7659906396</v>
          </cell>
          <cell r="H8">
            <v>931229</v>
          </cell>
          <cell r="I8">
            <v>891169</v>
          </cell>
          <cell r="J8">
            <v>750206</v>
          </cell>
          <cell r="K8">
            <v>751822.60516691022</v>
          </cell>
          <cell r="L8">
            <v>751579.51809105498</v>
          </cell>
          <cell r="P8" t="str">
            <v>Rental Revenues - Existing Portfolio</v>
          </cell>
          <cell r="R8">
            <v>205300</v>
          </cell>
          <cell r="S8">
            <v>252800</v>
          </cell>
          <cell r="T8">
            <v>263900</v>
          </cell>
          <cell r="U8">
            <v>241500</v>
          </cell>
          <cell r="V8">
            <v>963500</v>
          </cell>
          <cell r="X8">
            <v>271200</v>
          </cell>
          <cell r="Y8">
            <v>293200</v>
          </cell>
          <cell r="Z8">
            <v>302800</v>
          </cell>
          <cell r="AA8">
            <v>321600</v>
          </cell>
          <cell r="AB8">
            <v>1188800</v>
          </cell>
        </row>
        <row r="9">
          <cell r="A9" t="str">
            <v>Operating Expenses - Existing Portfolio</v>
          </cell>
          <cell r="B9">
            <v>-202300</v>
          </cell>
          <cell r="C9">
            <v>-243300</v>
          </cell>
          <cell r="D9">
            <v>-313600</v>
          </cell>
          <cell r="E9">
            <v>-392600</v>
          </cell>
          <cell r="F9">
            <v>-394800</v>
          </cell>
          <cell r="G9">
            <v>-373300</v>
          </cell>
          <cell r="H9">
            <v>-318611</v>
          </cell>
          <cell r="I9">
            <v>-323000</v>
          </cell>
          <cell r="J9">
            <v>-247211</v>
          </cell>
          <cell r="K9">
            <v>-257352.07718954995</v>
          </cell>
          <cell r="L9">
            <v>-256226.25345106362</v>
          </cell>
          <cell r="P9" t="str">
            <v>Operating Expenses - Existing Portfolio</v>
          </cell>
          <cell r="R9">
            <v>-64900</v>
          </cell>
          <cell r="S9">
            <v>-78800</v>
          </cell>
          <cell r="T9">
            <v>-87400</v>
          </cell>
          <cell r="U9">
            <v>-82500</v>
          </cell>
          <cell r="V9">
            <v>-313600</v>
          </cell>
          <cell r="X9">
            <v>-83800</v>
          </cell>
          <cell r="Y9">
            <v>-92200</v>
          </cell>
          <cell r="Z9">
            <v>-100200</v>
          </cell>
          <cell r="AA9">
            <v>-116400</v>
          </cell>
          <cell r="AB9">
            <v>-392600</v>
          </cell>
        </row>
        <row r="10">
          <cell r="A10" t="str">
            <v>Property Taxes</v>
          </cell>
          <cell r="B10">
            <v>-56200</v>
          </cell>
          <cell r="C10">
            <v>-74300</v>
          </cell>
          <cell r="D10">
            <v>-107500</v>
          </cell>
          <cell r="E10">
            <v>-143500</v>
          </cell>
          <cell r="F10">
            <v>-126100</v>
          </cell>
          <cell r="G10">
            <v>-111300</v>
          </cell>
          <cell r="H10">
            <v>-96832</v>
          </cell>
          <cell r="I10">
            <v>-97862</v>
          </cell>
          <cell r="J10">
            <v>-82742</v>
          </cell>
          <cell r="K10">
            <v>-90710.041319553202</v>
          </cell>
          <cell r="L10">
            <v>-91200.300168368645</v>
          </cell>
          <cell r="P10" t="str">
            <v>Property Taxes</v>
          </cell>
          <cell r="R10">
            <v>-22100</v>
          </cell>
          <cell r="S10">
            <v>-30800</v>
          </cell>
          <cell r="T10">
            <v>-28700</v>
          </cell>
          <cell r="U10">
            <v>-25900</v>
          </cell>
          <cell r="V10">
            <v>-107500</v>
          </cell>
          <cell r="X10">
            <v>-35100</v>
          </cell>
          <cell r="Y10">
            <v>-36500</v>
          </cell>
          <cell r="Z10">
            <v>-36700</v>
          </cell>
          <cell r="AA10">
            <v>-35200</v>
          </cell>
          <cell r="AB10">
            <v>-143500</v>
          </cell>
        </row>
        <row r="11">
          <cell r="A11" t="str">
            <v>Acquisition &amp; Development</v>
          </cell>
          <cell r="B11">
            <v>0</v>
          </cell>
          <cell r="C11">
            <v>0</v>
          </cell>
          <cell r="D11">
            <v>0</v>
          </cell>
          <cell r="E11">
            <v>0</v>
          </cell>
          <cell r="F11">
            <v>0</v>
          </cell>
          <cell r="G11">
            <v>0</v>
          </cell>
          <cell r="H11">
            <v>0</v>
          </cell>
          <cell r="I11">
            <v>0</v>
          </cell>
          <cell r="J11">
            <v>0</v>
          </cell>
          <cell r="K11">
            <v>106.02839673913013</v>
          </cell>
          <cell r="L11">
            <v>9219.4653312060182</v>
          </cell>
          <cell r="P11" t="str">
            <v>Net Acquisition &amp; Development Income</v>
          </cell>
          <cell r="Y11">
            <v>0</v>
          </cell>
          <cell r="Z11">
            <v>0</v>
          </cell>
          <cell r="AA11">
            <v>0</v>
          </cell>
          <cell r="AB11">
            <v>0</v>
          </cell>
        </row>
        <row r="12">
          <cell r="A12" t="str">
            <v>Property Operating Income</v>
          </cell>
          <cell r="B12">
            <v>53600</v>
          </cell>
          <cell r="C12">
            <v>111300</v>
          </cell>
          <cell r="D12">
            <v>176000</v>
          </cell>
          <cell r="E12">
            <v>228100</v>
          </cell>
          <cell r="F12">
            <v>206500</v>
          </cell>
          <cell r="G12">
            <v>273549.76599063957</v>
          </cell>
          <cell r="H12">
            <v>515786</v>
          </cell>
          <cell r="I12">
            <v>470307</v>
          </cell>
          <cell r="J12">
            <v>420253</v>
          </cell>
          <cell r="K12">
            <v>403866.51505454624</v>
          </cell>
          <cell r="L12">
            <v>413372.42980282876</v>
          </cell>
          <cell r="N12">
            <v>-5.3832580403727737E-2</v>
          </cell>
          <cell r="P12" t="str">
            <v>Property Operating Income</v>
          </cell>
          <cell r="R12">
            <v>38400</v>
          </cell>
          <cell r="S12">
            <v>48000</v>
          </cell>
          <cell r="T12">
            <v>47700</v>
          </cell>
          <cell r="U12">
            <v>41900</v>
          </cell>
          <cell r="V12">
            <v>176000</v>
          </cell>
          <cell r="X12">
            <v>55200</v>
          </cell>
          <cell r="Y12">
            <v>55400</v>
          </cell>
          <cell r="Z12">
            <v>58800</v>
          </cell>
          <cell r="AA12">
            <v>58700</v>
          </cell>
          <cell r="AB12">
            <v>228100</v>
          </cell>
        </row>
        <row r="14">
          <cell r="A14" t="str">
            <v>General and Administrative</v>
          </cell>
          <cell r="B14">
            <v>-28600</v>
          </cell>
          <cell r="C14">
            <v>-29400</v>
          </cell>
          <cell r="D14">
            <v>-35400</v>
          </cell>
          <cell r="E14">
            <v>-38200</v>
          </cell>
          <cell r="F14">
            <v>-39800</v>
          </cell>
          <cell r="G14">
            <v>-51200</v>
          </cell>
          <cell r="H14">
            <v>-44935</v>
          </cell>
          <cell r="I14">
            <v>-39304</v>
          </cell>
          <cell r="J14">
            <v>-38456</v>
          </cell>
          <cell r="K14">
            <v>-37147.544027717609</v>
          </cell>
          <cell r="L14">
            <v>-41890.041414880383</v>
          </cell>
          <cell r="P14" t="str">
            <v>General and Administrative</v>
          </cell>
          <cell r="R14">
            <v>-7900</v>
          </cell>
          <cell r="S14">
            <v>-8000</v>
          </cell>
          <cell r="T14">
            <v>-8500</v>
          </cell>
          <cell r="U14">
            <v>-11000</v>
          </cell>
          <cell r="V14">
            <v>-35400</v>
          </cell>
          <cell r="X14">
            <v>-9800</v>
          </cell>
          <cell r="Y14">
            <v>-9900</v>
          </cell>
          <cell r="Z14">
            <v>-9800</v>
          </cell>
          <cell r="AA14">
            <v>-8700</v>
          </cell>
          <cell r="AB14">
            <v>-38200</v>
          </cell>
        </row>
        <row r="15">
          <cell r="A15" t="str">
            <v>Interest Expense, net</v>
          </cell>
          <cell r="B15">
            <v>-180500</v>
          </cell>
          <cell r="C15">
            <v>-186100</v>
          </cell>
          <cell r="D15">
            <v>-230800</v>
          </cell>
          <cell r="E15">
            <v>-272000</v>
          </cell>
          <cell r="F15">
            <v>-271300</v>
          </cell>
          <cell r="G15">
            <v>-205600</v>
          </cell>
          <cell r="H15">
            <v>-180028</v>
          </cell>
          <cell r="I15">
            <v>-175907.31562499999</v>
          </cell>
          <cell r="J15">
            <v>-151559.96875</v>
          </cell>
          <cell r="K15">
            <v>-140443.87887233365</v>
          </cell>
          <cell r="L15">
            <v>-153246.23876654718</v>
          </cell>
          <cell r="P15" t="str">
            <v>Interest Expense, net</v>
          </cell>
          <cell r="R15">
            <v>-52900</v>
          </cell>
          <cell r="S15">
            <v>-67700</v>
          </cell>
          <cell r="T15">
            <v>-66200</v>
          </cell>
          <cell r="U15">
            <v>-44000</v>
          </cell>
          <cell r="V15">
            <v>-230800</v>
          </cell>
          <cell r="X15">
            <v>-61600</v>
          </cell>
          <cell r="Y15">
            <v>-71900</v>
          </cell>
          <cell r="Z15">
            <v>-68600</v>
          </cell>
          <cell r="AA15">
            <v>-69900</v>
          </cell>
          <cell r="AB15">
            <v>-272000</v>
          </cell>
        </row>
        <row r="16">
          <cell r="A16" t="str">
            <v>Current Taxes-Real Estate</v>
          </cell>
          <cell r="B16" t="e">
            <v>#REF!</v>
          </cell>
          <cell r="C16" t="e">
            <v>#REF!</v>
          </cell>
          <cell r="D16" t="e">
            <v>#REF!</v>
          </cell>
          <cell r="E16" t="e">
            <v>#REF!</v>
          </cell>
          <cell r="F16" t="e">
            <v>#REF!</v>
          </cell>
          <cell r="G16" t="e">
            <v>#REF!</v>
          </cell>
          <cell r="H16">
            <v>-96832</v>
          </cell>
          <cell r="I16">
            <v>-97862</v>
          </cell>
          <cell r="J16">
            <v>-82742</v>
          </cell>
          <cell r="K16">
            <v>-90710.041319553202</v>
          </cell>
          <cell r="L16">
            <v>-91200.300168368645</v>
          </cell>
          <cell r="P16" t="str">
            <v>Current Taxes-Real Estate</v>
          </cell>
          <cell r="R16" t="e">
            <v>#REF!</v>
          </cell>
          <cell r="S16" t="e">
            <v>#REF!</v>
          </cell>
          <cell r="T16" t="e">
            <v>#REF!</v>
          </cell>
          <cell r="U16" t="e">
            <v>#REF!</v>
          </cell>
          <cell r="V16" t="e">
            <v>#REF!</v>
          </cell>
          <cell r="X16" t="e">
            <v>#REF!</v>
          </cell>
          <cell r="Y16" t="e">
            <v>#REF!</v>
          </cell>
          <cell r="Z16" t="e">
            <v>#REF!</v>
          </cell>
          <cell r="AA16" t="e">
            <v>#REF!</v>
          </cell>
          <cell r="AB16" t="e">
            <v>#REF!</v>
          </cell>
        </row>
        <row r="18">
          <cell r="A18" t="str">
            <v>Real Estate Funds from Operations</v>
          </cell>
          <cell r="B18" t="e">
            <v>#REF!</v>
          </cell>
          <cell r="C18" t="e">
            <v>#REF!</v>
          </cell>
          <cell r="D18" t="e">
            <v>#REF!</v>
          </cell>
          <cell r="E18" t="e">
            <v>#REF!</v>
          </cell>
          <cell r="F18" t="e">
            <v>#REF!</v>
          </cell>
          <cell r="G18" t="e">
            <v>#REF!</v>
          </cell>
          <cell r="H18">
            <v>320457</v>
          </cell>
          <cell r="I18">
            <v>283444</v>
          </cell>
          <cell r="J18">
            <v>142383</v>
          </cell>
          <cell r="K18">
            <v>266881.69771224103</v>
          </cell>
          <cell r="L18">
            <v>260608.73393218615</v>
          </cell>
          <cell r="N18">
            <v>-5.0369180329695284E-2</v>
          </cell>
          <cell r="P18" t="str">
            <v>Real Estate Funds from Operations</v>
          </cell>
          <cell r="R18" t="e">
            <v>#REF!</v>
          </cell>
          <cell r="S18" t="e">
            <v>#REF!</v>
          </cell>
          <cell r="T18" t="e">
            <v>#REF!</v>
          </cell>
          <cell r="U18" t="e">
            <v>#REF!</v>
          </cell>
          <cell r="V18" t="e">
            <v>#REF!</v>
          </cell>
          <cell r="X18" t="e">
            <v>#REF!</v>
          </cell>
          <cell r="Y18" t="e">
            <v>#REF!</v>
          </cell>
          <cell r="Z18" t="e">
            <v>#REF!</v>
          </cell>
          <cell r="AA18" t="e">
            <v>#REF!</v>
          </cell>
          <cell r="AB18" t="e">
            <v>#REF!</v>
          </cell>
        </row>
        <row r="20">
          <cell r="A20" t="str">
            <v>Non-Revenue Generating Capital Expenditures</v>
          </cell>
          <cell r="B20">
            <v>-57300</v>
          </cell>
          <cell r="C20">
            <v>-35804.387221838377</v>
          </cell>
          <cell r="D20">
            <v>-105002.4514793696</v>
          </cell>
          <cell r="E20">
            <v>-11711.849999999999</v>
          </cell>
          <cell r="F20">
            <v>-79349.677877399983</v>
          </cell>
          <cell r="G20">
            <v>-111387.33592065626</v>
          </cell>
          <cell r="H20">
            <v>-65023.25</v>
          </cell>
          <cell r="I20">
            <v>-111792</v>
          </cell>
          <cell r="J20">
            <v>-138701</v>
          </cell>
          <cell r="K20">
            <v>-100621.18049324716</v>
          </cell>
          <cell r="L20">
            <v>-104228.91447813562</v>
          </cell>
          <cell r="P20" t="str">
            <v>Capital Expenditures</v>
          </cell>
          <cell r="R20">
            <v>-25470.190369842399</v>
          </cell>
          <cell r="S20">
            <v>-25470.190369842399</v>
          </cell>
          <cell r="T20">
            <v>-25470.190369842399</v>
          </cell>
          <cell r="U20">
            <v>-28591.880369842402</v>
          </cell>
          <cell r="V20">
            <v>-105002.4514793696</v>
          </cell>
          <cell r="X20">
            <v>-2836.2000000000003</v>
          </cell>
          <cell r="Y20">
            <v>-2958.55</v>
          </cell>
          <cell r="Z20">
            <v>-2958.55</v>
          </cell>
          <cell r="AA20">
            <v>-2958.55</v>
          </cell>
          <cell r="AB20">
            <v>-11711.849999999999</v>
          </cell>
        </row>
        <row r="21">
          <cell r="P21" t="str">
            <v>Straight-line rent adjustment</v>
          </cell>
        </row>
        <row r="22">
          <cell r="A22" t="str">
            <v>Adjusted Funds from Operations</v>
          </cell>
          <cell r="B22">
            <v>-57300</v>
          </cell>
          <cell r="C22">
            <v>-35804.387221838377</v>
          </cell>
          <cell r="D22">
            <v>-105002.4514793696</v>
          </cell>
          <cell r="E22">
            <v>-11711.849999999999</v>
          </cell>
          <cell r="F22">
            <v>-109349.67787739998</v>
          </cell>
          <cell r="G22">
            <v>451350.92449588032</v>
          </cell>
          <cell r="H22">
            <v>219968.75</v>
          </cell>
          <cell r="I22">
            <v>143878</v>
          </cell>
          <cell r="J22">
            <v>-16167</v>
          </cell>
          <cell r="K22">
            <v>154245.78721899388</v>
          </cell>
          <cell r="L22">
            <v>145449.28658315758</v>
          </cell>
          <cell r="N22">
            <v>-9.8246883091080317E-2</v>
          </cell>
          <cell r="P22" t="str">
            <v>Adjusted Funds from Operations</v>
          </cell>
          <cell r="R22">
            <v>-25470.190369842399</v>
          </cell>
          <cell r="S22">
            <v>-25470.190369842399</v>
          </cell>
          <cell r="T22">
            <v>-25470.190369842399</v>
          </cell>
          <cell r="U22">
            <v>-28591.880369842402</v>
          </cell>
          <cell r="V22">
            <v>-105002.4514793696</v>
          </cell>
          <cell r="X22">
            <v>-2836.2000000000003</v>
          </cell>
          <cell r="Y22">
            <v>-2958.55</v>
          </cell>
          <cell r="Z22">
            <v>-2958.55</v>
          </cell>
          <cell r="AA22">
            <v>-2958.55</v>
          </cell>
          <cell r="AB22">
            <v>-11711.849999999999</v>
          </cell>
        </row>
        <row r="24">
          <cell r="A24" t="str">
            <v>Net Income</v>
          </cell>
          <cell r="B24">
            <v>36000</v>
          </cell>
          <cell r="C24">
            <v>19200</v>
          </cell>
          <cell r="D24">
            <v>26400</v>
          </cell>
          <cell r="E24">
            <v>15700</v>
          </cell>
          <cell r="F24">
            <v>23000</v>
          </cell>
          <cell r="G24">
            <v>416821.216848674</v>
          </cell>
          <cell r="H24">
            <v>-168456</v>
          </cell>
          <cell r="I24">
            <v>210426.68437500001</v>
          </cell>
          <cell r="J24">
            <v>104067.03125</v>
          </cell>
          <cell r="K24">
            <v>143333.38816989341</v>
          </cell>
          <cell r="L24">
            <v>71606.416984246462</v>
          </cell>
          <cell r="P24" t="str">
            <v>Net Income</v>
          </cell>
          <cell r="R24">
            <v>4100</v>
          </cell>
          <cell r="S24">
            <v>2600</v>
          </cell>
          <cell r="T24">
            <v>6700</v>
          </cell>
          <cell r="U24">
            <v>13000</v>
          </cell>
          <cell r="V24">
            <v>26400</v>
          </cell>
          <cell r="X24">
            <v>4200</v>
          </cell>
          <cell r="Y24">
            <v>4100</v>
          </cell>
          <cell r="Z24">
            <v>3200</v>
          </cell>
          <cell r="AA24">
            <v>4200</v>
          </cell>
          <cell r="AB24">
            <v>15700</v>
          </cell>
        </row>
        <row r="26">
          <cell r="A26" t="str">
            <v xml:space="preserve">EBITDA </v>
          </cell>
          <cell r="B26">
            <v>25000</v>
          </cell>
          <cell r="C26">
            <v>81900</v>
          </cell>
          <cell r="D26">
            <v>140600</v>
          </cell>
          <cell r="E26">
            <v>189900</v>
          </cell>
          <cell r="F26">
            <v>166700</v>
          </cell>
          <cell r="G26">
            <v>226636.81747269884</v>
          </cell>
          <cell r="H26">
            <v>414925</v>
          </cell>
          <cell r="I26">
            <v>445811</v>
          </cell>
          <cell r="J26">
            <v>391579</v>
          </cell>
          <cell r="K26">
            <v>376193.53102682863</v>
          </cell>
          <cell r="L26">
            <v>382523.21190251794</v>
          </cell>
          <cell r="N26">
            <v>-2.0121908238641129E-2</v>
          </cell>
          <cell r="P26" t="str">
            <v xml:space="preserve">EBITDA </v>
          </cell>
          <cell r="R26">
            <v>30500</v>
          </cell>
          <cell r="S26">
            <v>40000</v>
          </cell>
          <cell r="T26">
            <v>39200</v>
          </cell>
          <cell r="U26">
            <v>30900</v>
          </cell>
          <cell r="V26">
            <v>140600</v>
          </cell>
          <cell r="X26">
            <v>45400</v>
          </cell>
          <cell r="Y26">
            <v>45500</v>
          </cell>
          <cell r="Z26">
            <v>49000</v>
          </cell>
          <cell r="AA26">
            <v>50000</v>
          </cell>
          <cell r="AB26">
            <v>189900</v>
          </cell>
        </row>
        <row r="28">
          <cell r="A28" t="str">
            <v xml:space="preserve">Per Share Data-Basic </v>
          </cell>
          <cell r="P28" t="str">
            <v>Per Share Data</v>
          </cell>
        </row>
        <row r="29">
          <cell r="A29" t="str">
            <v>Funds From Operations</v>
          </cell>
          <cell r="B29">
            <v>0.92</v>
          </cell>
          <cell r="C29">
            <v>0</v>
          </cell>
          <cell r="D29">
            <v>0</v>
          </cell>
          <cell r="E29">
            <v>0</v>
          </cell>
          <cell r="F29">
            <v>0</v>
          </cell>
          <cell r="G29">
            <v>3.9383463015917672</v>
          </cell>
          <cell r="H29">
            <v>2.1325082951035883</v>
          </cell>
          <cell r="I29">
            <v>1.97607146428431</v>
          </cell>
          <cell r="J29">
            <v>0.93182732494837739</v>
          </cell>
          <cell r="K29">
            <v>1.6981963803884601</v>
          </cell>
          <cell r="L29">
            <v>1.6475569151284639</v>
          </cell>
          <cell r="N29">
            <v>-6.2465141348142517E-2</v>
          </cell>
          <cell r="P29" t="str">
            <v>Funds from Operations-Basic Shares</v>
          </cell>
          <cell r="R29">
            <v>0</v>
          </cell>
          <cell r="S29">
            <v>0</v>
          </cell>
          <cell r="T29">
            <v>0</v>
          </cell>
          <cell r="U29">
            <v>0</v>
          </cell>
          <cell r="V29">
            <v>0</v>
          </cell>
          <cell r="X29">
            <v>0</v>
          </cell>
          <cell r="Y29">
            <v>0</v>
          </cell>
          <cell r="Z29">
            <v>0</v>
          </cell>
          <cell r="AA29">
            <v>0</v>
          </cell>
          <cell r="AB29">
            <v>0</v>
          </cell>
        </row>
        <row r="30">
          <cell r="A30" t="str">
            <v>Funds From Operations Growth Rate</v>
          </cell>
          <cell r="C30">
            <v>-1</v>
          </cell>
          <cell r="D30" t="e">
            <v>#DIV/0!</v>
          </cell>
          <cell r="E30" t="e">
            <v>#DIV/0!</v>
          </cell>
          <cell r="F30" t="e">
            <v>#DIV/0!</v>
          </cell>
          <cell r="G30" t="e">
            <v>#DIV/0!</v>
          </cell>
          <cell r="H30">
            <v>-0.45852697254132035</v>
          </cell>
          <cell r="I30">
            <v>-7.335813472729269E-2</v>
          </cell>
          <cell r="J30">
            <v>-0.52844452147085441</v>
          </cell>
          <cell r="K30">
            <v>0.82243677011997796</v>
          </cell>
          <cell r="L30">
            <v>-2.9819557881999748E-2</v>
          </cell>
          <cell r="P30" t="str">
            <v>Funds from Operations Growth Rate</v>
          </cell>
          <cell r="S30" t="e">
            <v>#DIV/0!</v>
          </cell>
          <cell r="T30" t="e">
            <v>#DIV/0!</v>
          </cell>
          <cell r="U30" t="e">
            <v>#DIV/0!</v>
          </cell>
          <cell r="X30" t="e">
            <v>#DIV/0!</v>
          </cell>
          <cell r="Y30" t="e">
            <v>#DIV/0!</v>
          </cell>
          <cell r="Z30" t="e">
            <v>#DIV/0!</v>
          </cell>
          <cell r="AA30" t="e">
            <v>#DIV/0!</v>
          </cell>
          <cell r="AB30" t="e">
            <v>#DIV/0!</v>
          </cell>
        </row>
        <row r="31">
          <cell r="A31" t="str">
            <v>Adjusted Funds from Operations</v>
          </cell>
          <cell r="C31">
            <v>-0.24241291280865523</v>
          </cell>
          <cell r="D31">
            <v>-0.68629053254489936</v>
          </cell>
          <cell r="E31">
            <v>-7.5414359304571785E-2</v>
          </cell>
          <cell r="F31">
            <v>-0.69927851560287757</v>
          </cell>
          <cell r="G31">
            <v>3.0373548081822364</v>
          </cell>
          <cell r="H31">
            <v>1.4705194153344832</v>
          </cell>
          <cell r="I31">
            <v>0.96056317931764701</v>
          </cell>
          <cell r="J31">
            <v>-0.10664588693515141</v>
          </cell>
          <cell r="K31">
            <v>0.99922917789368626</v>
          </cell>
          <cell r="L31">
            <v>0.93525008210344873</v>
          </cell>
          <cell r="P31" t="str">
            <v>Adjusted Funds from Operations</v>
          </cell>
          <cell r="R31">
            <v>-0.16647183248263006</v>
          </cell>
          <cell r="S31">
            <v>-0.16647183248263006</v>
          </cell>
          <cell r="T31">
            <v>-0.16647183248263006</v>
          </cell>
          <cell r="U31">
            <v>-0.18687503509700917</v>
          </cell>
          <cell r="V31">
            <v>-0.68629053254489936</v>
          </cell>
          <cell r="X31">
            <v>-1.8622455679579777E-2</v>
          </cell>
          <cell r="Y31">
            <v>-1.950263678312459E-2</v>
          </cell>
          <cell r="Z31">
            <v>-1.9211363636363638E-2</v>
          </cell>
          <cell r="AA31">
            <v>-1.9050547327752739E-2</v>
          </cell>
          <cell r="AB31">
            <v>-7.5414359304571785E-2</v>
          </cell>
        </row>
        <row r="32">
          <cell r="A32" t="str">
            <v>Dividends</v>
          </cell>
          <cell r="C32">
            <v>0.24</v>
          </cell>
          <cell r="D32">
            <v>0.25</v>
          </cell>
          <cell r="E32">
            <v>0.35</v>
          </cell>
          <cell r="F32">
            <v>0.38500000000000001</v>
          </cell>
          <cell r="G32">
            <v>0.47250000000000003</v>
          </cell>
          <cell r="H32">
            <v>0.35</v>
          </cell>
          <cell r="I32">
            <v>0.8</v>
          </cell>
          <cell r="J32">
            <v>0.8</v>
          </cell>
          <cell r="K32">
            <v>0.8</v>
          </cell>
          <cell r="L32">
            <v>0.82400000000000007</v>
          </cell>
          <cell r="P32" t="str">
            <v>Dividends</v>
          </cell>
          <cell r="R32">
            <v>0</v>
          </cell>
          <cell r="S32">
            <v>0.125</v>
          </cell>
          <cell r="T32">
            <v>0</v>
          </cell>
          <cell r="U32">
            <v>0.125</v>
          </cell>
          <cell r="V32">
            <v>0.25</v>
          </cell>
          <cell r="X32">
            <v>0</v>
          </cell>
          <cell r="Y32">
            <v>0.17499999999999999</v>
          </cell>
          <cell r="Z32">
            <v>0</v>
          </cell>
          <cell r="AA32">
            <v>0.17499999999999999</v>
          </cell>
          <cell r="AB32">
            <v>0.35</v>
          </cell>
        </row>
        <row r="33">
          <cell r="A33" t="str">
            <v>Net Income</v>
          </cell>
          <cell r="C33">
            <v>0.12999322951929587</v>
          </cell>
          <cell r="D33">
            <v>0.17254901960784313</v>
          </cell>
          <cell r="E33">
            <v>0.10109465550547328</v>
          </cell>
          <cell r="F33">
            <v>0.14708233413269384</v>
          </cell>
          <cell r="G33">
            <v>2.8049880003275502</v>
          </cell>
          <cell r="H33">
            <v>-1.1721103093508067</v>
          </cell>
          <cell r="I33">
            <v>1.3619984467608335</v>
          </cell>
          <cell r="J33">
            <v>0.66831290549025757</v>
          </cell>
          <cell r="K33">
            <v>0.91014180563469471</v>
          </cell>
          <cell r="L33">
            <v>0.45239716403421976</v>
          </cell>
          <cell r="P33" t="str">
            <v>Net Income</v>
          </cell>
          <cell r="R33">
            <v>2.6797385620915031E-2</v>
          </cell>
          <cell r="S33">
            <v>1.699346405228758E-2</v>
          </cell>
          <cell r="T33">
            <v>4.3790849673202611E-2</v>
          </cell>
          <cell r="U33">
            <v>1.4</v>
          </cell>
          <cell r="V33">
            <v>0.17254901960784313</v>
          </cell>
          <cell r="X33">
            <v>2.757715036112935E-2</v>
          </cell>
          <cell r="Y33">
            <v>2.7027027027027029E-2</v>
          </cell>
          <cell r="Z33">
            <v>2.0779220779220779E-2</v>
          </cell>
          <cell r="AA33">
            <v>2.7044430135222151E-2</v>
          </cell>
          <cell r="AB33">
            <v>0.10109465550547328</v>
          </cell>
        </row>
        <row r="35">
          <cell r="A35" t="str">
            <v>Per Share Data-Fully Diluted</v>
          </cell>
          <cell r="P35" t="str">
            <v>Per Share Data-Fully Diluted</v>
          </cell>
        </row>
        <row r="36">
          <cell r="A36" t="str">
            <v>Funds From Operations</v>
          </cell>
          <cell r="B36">
            <v>0.89</v>
          </cell>
          <cell r="C36">
            <v>0</v>
          </cell>
          <cell r="D36">
            <v>0</v>
          </cell>
          <cell r="E36">
            <v>0</v>
          </cell>
          <cell r="F36">
            <v>0</v>
          </cell>
          <cell r="G36">
            <v>3.8938008011745615</v>
          </cell>
          <cell r="H36">
            <v>2.1325082951035883</v>
          </cell>
          <cell r="I36">
            <v>1.97607146428431</v>
          </cell>
          <cell r="J36">
            <v>0.93182732494837739</v>
          </cell>
          <cell r="K36">
            <v>1.6981963803884601</v>
          </cell>
          <cell r="L36">
            <v>1.6475569151284639</v>
          </cell>
          <cell r="N36">
            <v>-6.2465141348142517E-2</v>
          </cell>
          <cell r="P36" t="str">
            <v>Funds From Operations</v>
          </cell>
          <cell r="R36">
            <v>0</v>
          </cell>
          <cell r="S36">
            <v>0</v>
          </cell>
          <cell r="T36">
            <v>0</v>
          </cell>
          <cell r="U36">
            <v>0</v>
          </cell>
          <cell r="V36">
            <v>0</v>
          </cell>
          <cell r="X36">
            <v>0</v>
          </cell>
          <cell r="Y36">
            <v>0</v>
          </cell>
          <cell r="Z36">
            <v>0</v>
          </cell>
          <cell r="AA36">
            <v>0</v>
          </cell>
          <cell r="AB36">
            <v>0</v>
          </cell>
        </row>
        <row r="37">
          <cell r="A37" t="str">
            <v>Funds From Operations Growth Rate</v>
          </cell>
          <cell r="C37">
            <v>-1</v>
          </cell>
          <cell r="D37" t="e">
            <v>#DIV/0!</v>
          </cell>
          <cell r="E37" t="e">
            <v>#DIV/0!</v>
          </cell>
          <cell r="F37" t="e">
            <v>#DIV/0!</v>
          </cell>
          <cell r="G37" t="e">
            <v>#DIV/0!</v>
          </cell>
          <cell r="H37">
            <v>-0.45233246280592498</v>
          </cell>
          <cell r="I37">
            <v>-7.335813472729269E-2</v>
          </cell>
          <cell r="J37">
            <v>-0.52844452147085441</v>
          </cell>
          <cell r="K37">
            <v>0.82243677011997796</v>
          </cell>
          <cell r="L37">
            <v>-2.9819557881999748E-2</v>
          </cell>
          <cell r="P37" t="str">
            <v>Funds From Operations Growth Rate</v>
          </cell>
          <cell r="S37" t="e">
            <v>#DIV/0!</v>
          </cell>
          <cell r="T37" t="e">
            <v>#DIV/0!</v>
          </cell>
          <cell r="U37" t="e">
            <v>#DIV/0!</v>
          </cell>
          <cell r="Y37" t="e">
            <v>#DIV/0!</v>
          </cell>
          <cell r="Z37" t="e">
            <v>#DIV/0!</v>
          </cell>
          <cell r="AA37" t="e">
            <v>#DIV/0!</v>
          </cell>
          <cell r="AB37" t="e">
            <v>#DIV/0!</v>
          </cell>
        </row>
        <row r="38">
          <cell r="A38" t="str">
            <v>Adjusted Funds from Operations</v>
          </cell>
          <cell r="C38">
            <v>0</v>
          </cell>
          <cell r="D38">
            <v>0</v>
          </cell>
          <cell r="E38">
            <v>0</v>
          </cell>
          <cell r="F38">
            <v>-0.69927851560287757</v>
          </cell>
          <cell r="G38">
            <v>3.0079901829399889</v>
          </cell>
          <cell r="H38">
            <v>1.4643665101796499</v>
          </cell>
          <cell r="I38">
            <v>0.95577853722196249</v>
          </cell>
          <cell r="J38">
            <v>-0.10580513377608575</v>
          </cell>
          <cell r="K38">
            <v>0.98148220650145268</v>
          </cell>
          <cell r="L38">
            <v>0.91952397103060812</v>
          </cell>
          <cell r="P38" t="str">
            <v>Average Basic Shares Outstanding</v>
          </cell>
          <cell r="R38">
            <v>153000</v>
          </cell>
          <cell r="S38">
            <v>153000</v>
          </cell>
          <cell r="T38">
            <v>153000</v>
          </cell>
          <cell r="U38">
            <v>153000</v>
          </cell>
          <cell r="V38">
            <v>153000</v>
          </cell>
          <cell r="X38">
            <v>152300</v>
          </cell>
          <cell r="Y38">
            <v>151700</v>
          </cell>
          <cell r="Z38">
            <v>154000</v>
          </cell>
          <cell r="AA38">
            <v>155300</v>
          </cell>
          <cell r="AB38">
            <v>155300</v>
          </cell>
        </row>
        <row r="39">
          <cell r="A39" t="str">
            <v>Net Income</v>
          </cell>
          <cell r="C39">
            <v>0</v>
          </cell>
          <cell r="D39">
            <v>0</v>
          </cell>
          <cell r="E39">
            <v>0</v>
          </cell>
          <cell r="F39">
            <v>0.14708233413269384</v>
          </cell>
          <cell r="G39">
            <v>2.7782516091062806</v>
          </cell>
          <cell r="H39">
            <v>-1.1672059990171704</v>
          </cell>
          <cell r="I39">
            <v>1.3552142234604379</v>
          </cell>
          <cell r="J39">
            <v>0.66304419609430165</v>
          </cell>
          <cell r="K39">
            <v>0.89397708492315309</v>
          </cell>
          <cell r="L39">
            <v>0.44479016331133364</v>
          </cell>
          <cell r="P39" t="str">
            <v>Fully Diluted Shares Outstanding</v>
          </cell>
          <cell r="R39">
            <v>173800</v>
          </cell>
          <cell r="S39">
            <v>173700</v>
          </cell>
          <cell r="T39">
            <v>173100</v>
          </cell>
          <cell r="U39">
            <v>173700</v>
          </cell>
          <cell r="V39">
            <v>173725</v>
          </cell>
          <cell r="X39">
            <v>173000</v>
          </cell>
          <cell r="Y39">
            <v>173519.91879999998</v>
          </cell>
          <cell r="Z39">
            <v>173200</v>
          </cell>
          <cell r="AA39">
            <v>173100</v>
          </cell>
          <cell r="AB39">
            <v>172554.9797</v>
          </cell>
        </row>
        <row r="41">
          <cell r="A41" t="str">
            <v>Average Basic Shares Outstanding</v>
          </cell>
          <cell r="B41">
            <v>137300</v>
          </cell>
          <cell r="C41">
            <v>147700</v>
          </cell>
          <cell r="D41">
            <v>153000</v>
          </cell>
          <cell r="E41">
            <v>155300</v>
          </cell>
          <cell r="F41">
            <v>156375</v>
          </cell>
          <cell r="G41">
            <v>148600</v>
          </cell>
          <cell r="H41">
            <v>149585.75024999998</v>
          </cell>
          <cell r="I41">
            <v>149785.046</v>
          </cell>
          <cell r="J41">
            <v>151595.15725000002</v>
          </cell>
          <cell r="K41">
            <v>154364.77500000002</v>
          </cell>
          <cell r="L41">
            <v>155519.13800000001</v>
          </cell>
          <cell r="P41" t="str">
            <v xml:space="preserve">A Actual.      E Morgan Stanley estimate.      </v>
          </cell>
        </row>
        <row r="42">
          <cell r="A42" t="str">
            <v>Fully Diluted Shares Outstanding</v>
          </cell>
          <cell r="C42">
            <v>165200</v>
          </cell>
          <cell r="D42">
            <v>173725</v>
          </cell>
          <cell r="E42">
            <v>172554.9797</v>
          </cell>
          <cell r="F42">
            <v>155200</v>
          </cell>
          <cell r="G42">
            <v>150300</v>
          </cell>
          <cell r="H42">
            <v>150214.27250000002</v>
          </cell>
          <cell r="I42">
            <v>150534.87225000001</v>
          </cell>
          <cell r="J42">
            <v>152799.769</v>
          </cell>
          <cell r="K42">
            <v>157155.96899999998</v>
          </cell>
          <cell r="L42">
            <v>158178.89600000001</v>
          </cell>
          <cell r="P42" t="str">
            <v xml:space="preserve">NOI  Net operating income.      OPUs Operating partnership units.    </v>
          </cell>
        </row>
        <row r="44">
          <cell r="A44" t="str">
            <v xml:space="preserve">A Actual.      E Morgan Stanley estimate.      </v>
          </cell>
        </row>
        <row r="45">
          <cell r="A45" t="str">
            <v>NOI  Net operating income.      OPUs Operating partnership units.    CAGR - Compound Annual Growth</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4">
          <cell r="C4" t="str">
            <v>Acquired/</v>
          </cell>
          <cell r="F4" t="str">
            <v>TRZ's</v>
          </cell>
          <cell r="G4" t="str">
            <v>Fixed-Rate</v>
          </cell>
          <cell r="L4" t="str">
            <v>TRZ's</v>
          </cell>
        </row>
        <row r="5">
          <cell r="C5" t="str">
            <v>Sold/</v>
          </cell>
          <cell r="D5" t="str">
            <v>Total</v>
          </cell>
          <cell r="E5" t="str">
            <v>TRZ's %</v>
          </cell>
          <cell r="F5" t="str">
            <v>Share of</v>
          </cell>
          <cell r="G5" t="str">
            <v>Debt</v>
          </cell>
          <cell r="H5" t="str">
            <v>Initial</v>
          </cell>
          <cell r="I5" t="str">
            <v>Incremental</v>
          </cell>
          <cell r="J5" t="str">
            <v>Incremental</v>
          </cell>
          <cell r="K5" t="str">
            <v>Incremental</v>
          </cell>
          <cell r="L5" t="str">
            <v>Share of</v>
          </cell>
          <cell r="M5" t="str">
            <v>Cost</v>
          </cell>
        </row>
        <row r="6">
          <cell r="C6" t="str">
            <v>Completed</v>
          </cell>
          <cell r="D6" t="str">
            <v>Cost</v>
          </cell>
          <cell r="E6" t="str">
            <v>Interest</v>
          </cell>
          <cell r="F6" t="str">
            <v>Total Cost</v>
          </cell>
          <cell r="G6" t="str">
            <v>Financing</v>
          </cell>
          <cell r="H6" t="str">
            <v>Yield</v>
          </cell>
          <cell r="I6" t="str">
            <v>Yield Year 2</v>
          </cell>
          <cell r="J6" t="str">
            <v>Yield Year 3</v>
          </cell>
          <cell r="K6" t="str">
            <v>Yield Year 4</v>
          </cell>
          <cell r="L6" t="str">
            <v>GLA S.F.</v>
          </cell>
          <cell r="M6" t="str">
            <v>Per S.F.</v>
          </cell>
        </row>
        <row r="7">
          <cell r="G7">
            <v>0.6</v>
          </cell>
        </row>
        <row r="9">
          <cell r="C9">
            <v>35485</v>
          </cell>
          <cell r="D9">
            <v>0</v>
          </cell>
          <cell r="E9">
            <v>1</v>
          </cell>
          <cell r="F9">
            <v>0</v>
          </cell>
          <cell r="G9">
            <v>0</v>
          </cell>
          <cell r="H9">
            <v>0.108</v>
          </cell>
          <cell r="I9">
            <v>2.5000000000000001E-3</v>
          </cell>
          <cell r="J9">
            <v>2.5000000000000001E-3</v>
          </cell>
          <cell r="K9">
            <v>2.5000000000000001E-3</v>
          </cell>
          <cell r="L9">
            <v>0</v>
          </cell>
          <cell r="M9">
            <v>125</v>
          </cell>
        </row>
        <row r="10">
          <cell r="C10">
            <v>35520</v>
          </cell>
          <cell r="D10">
            <v>0</v>
          </cell>
          <cell r="E10">
            <v>1</v>
          </cell>
          <cell r="F10">
            <v>0</v>
          </cell>
          <cell r="G10">
            <v>0</v>
          </cell>
          <cell r="H10">
            <v>0.124</v>
          </cell>
          <cell r="I10">
            <v>2.5000000000000001E-3</v>
          </cell>
          <cell r="J10">
            <v>2.5000000000000001E-3</v>
          </cell>
          <cell r="K10">
            <v>2.5000000000000001E-3</v>
          </cell>
          <cell r="L10">
            <v>0</v>
          </cell>
          <cell r="M10">
            <v>125</v>
          </cell>
        </row>
        <row r="11">
          <cell r="C11">
            <v>35552</v>
          </cell>
          <cell r="D11">
            <v>0</v>
          </cell>
          <cell r="E11">
            <v>1</v>
          </cell>
          <cell r="F11">
            <v>0</v>
          </cell>
          <cell r="G11">
            <v>0</v>
          </cell>
          <cell r="H11">
            <v>0.10299999999999999</v>
          </cell>
          <cell r="I11">
            <v>2.5000000000000001E-3</v>
          </cell>
          <cell r="J11">
            <v>2.5000000000000001E-3</v>
          </cell>
          <cell r="K11">
            <v>2.5000000000000001E-3</v>
          </cell>
          <cell r="L11">
            <v>0</v>
          </cell>
          <cell r="M11">
            <v>125</v>
          </cell>
        </row>
        <row r="12">
          <cell r="C12">
            <v>35578</v>
          </cell>
          <cell r="D12">
            <v>0</v>
          </cell>
          <cell r="E12">
            <v>1</v>
          </cell>
          <cell r="F12">
            <v>0</v>
          </cell>
          <cell r="G12">
            <v>0</v>
          </cell>
          <cell r="H12">
            <v>0.124</v>
          </cell>
          <cell r="I12">
            <v>2.5000000000000001E-3</v>
          </cell>
          <cell r="J12">
            <v>2.5000000000000001E-3</v>
          </cell>
          <cell r="K12">
            <v>2.5000000000000001E-3</v>
          </cell>
          <cell r="L12">
            <v>0</v>
          </cell>
          <cell r="M12">
            <v>125</v>
          </cell>
        </row>
        <row r="13">
          <cell r="C13">
            <v>35607</v>
          </cell>
          <cell r="D13">
            <v>0</v>
          </cell>
          <cell r="E13">
            <v>1</v>
          </cell>
          <cell r="F13">
            <v>0</v>
          </cell>
          <cell r="G13">
            <v>0</v>
          </cell>
          <cell r="H13">
            <v>0.215</v>
          </cell>
          <cell r="I13">
            <v>2.5000000000000001E-3</v>
          </cell>
          <cell r="J13">
            <v>2.5000000000000001E-3</v>
          </cell>
          <cell r="K13">
            <v>2.5000000000000001E-3</v>
          </cell>
          <cell r="L13">
            <v>0</v>
          </cell>
          <cell r="M13">
            <v>125</v>
          </cell>
        </row>
        <row r="14">
          <cell r="C14">
            <v>35688</v>
          </cell>
          <cell r="D14">
            <v>0</v>
          </cell>
          <cell r="E14">
            <v>1</v>
          </cell>
          <cell r="F14">
            <v>0</v>
          </cell>
          <cell r="G14">
            <v>0</v>
          </cell>
          <cell r="H14">
            <v>6.9000000000000006E-2</v>
          </cell>
          <cell r="I14">
            <v>0.02</v>
          </cell>
          <cell r="J14">
            <v>0.03</v>
          </cell>
          <cell r="K14">
            <v>0.01</v>
          </cell>
          <cell r="L14">
            <v>0</v>
          </cell>
          <cell r="M14">
            <v>125</v>
          </cell>
        </row>
        <row r="15">
          <cell r="C15">
            <v>35739</v>
          </cell>
          <cell r="D15">
            <v>0</v>
          </cell>
          <cell r="E15">
            <v>1</v>
          </cell>
          <cell r="F15">
            <v>0</v>
          </cell>
          <cell r="G15">
            <v>0</v>
          </cell>
          <cell r="H15">
            <v>9.2999999999999999E-2</v>
          </cell>
          <cell r="I15">
            <v>5.0000000000000001E-3</v>
          </cell>
          <cell r="J15">
            <v>2.5000000000000001E-3</v>
          </cell>
          <cell r="K15">
            <v>2.5000000000000001E-3</v>
          </cell>
          <cell r="L15">
            <v>0</v>
          </cell>
          <cell r="M15">
            <v>125</v>
          </cell>
        </row>
        <row r="16">
          <cell r="C16">
            <v>35725</v>
          </cell>
          <cell r="D16">
            <v>0</v>
          </cell>
          <cell r="E16">
            <v>0.5</v>
          </cell>
          <cell r="F16">
            <v>0</v>
          </cell>
          <cell r="G16">
            <v>0</v>
          </cell>
          <cell r="H16">
            <v>0.06</v>
          </cell>
          <cell r="I16">
            <v>2.5000000000000001E-2</v>
          </cell>
          <cell r="J16">
            <v>1.4999999999999999E-2</v>
          </cell>
          <cell r="K16">
            <v>7.4999999999999997E-3</v>
          </cell>
          <cell r="L16">
            <v>0</v>
          </cell>
          <cell r="M16">
            <v>125</v>
          </cell>
        </row>
        <row r="17">
          <cell r="C17">
            <v>35739</v>
          </cell>
          <cell r="D17">
            <v>0</v>
          </cell>
          <cell r="E17">
            <v>1</v>
          </cell>
          <cell r="F17">
            <v>0</v>
          </cell>
          <cell r="G17">
            <v>0</v>
          </cell>
          <cell r="H17">
            <v>0.113</v>
          </cell>
          <cell r="I17">
            <v>0.03</v>
          </cell>
          <cell r="J17">
            <v>1.4999999999999999E-2</v>
          </cell>
          <cell r="K17">
            <v>5.0000000000000001E-3</v>
          </cell>
          <cell r="L17">
            <v>0</v>
          </cell>
          <cell r="M17">
            <v>125</v>
          </cell>
        </row>
        <row r="18">
          <cell r="C18">
            <v>35758</v>
          </cell>
          <cell r="D18">
            <v>0</v>
          </cell>
          <cell r="E18">
            <v>1</v>
          </cell>
          <cell r="F18">
            <v>0</v>
          </cell>
          <cell r="G18">
            <v>0</v>
          </cell>
          <cell r="H18">
            <v>7.0999999999999994E-2</v>
          </cell>
          <cell r="I18">
            <v>0.02</v>
          </cell>
          <cell r="J18">
            <v>0.01</v>
          </cell>
          <cell r="K18">
            <v>0.01</v>
          </cell>
          <cell r="L18">
            <v>0</v>
          </cell>
          <cell r="M18">
            <v>125</v>
          </cell>
        </row>
        <row r="19">
          <cell r="C19">
            <v>35767</v>
          </cell>
          <cell r="D19">
            <v>0</v>
          </cell>
          <cell r="E19">
            <v>1</v>
          </cell>
          <cell r="F19">
            <v>0</v>
          </cell>
          <cell r="G19">
            <v>0</v>
          </cell>
          <cell r="H19">
            <v>5.2499999999999998E-2</v>
          </cell>
          <cell r="I19">
            <v>2.5000000000000001E-3</v>
          </cell>
          <cell r="J19">
            <v>1.4999999999999999E-2</v>
          </cell>
          <cell r="K19">
            <v>0.05</v>
          </cell>
          <cell r="L19">
            <v>0</v>
          </cell>
          <cell r="M19">
            <v>125</v>
          </cell>
        </row>
        <row r="20">
          <cell r="C20">
            <v>35773</v>
          </cell>
          <cell r="D20">
            <v>0</v>
          </cell>
          <cell r="E20">
            <v>1</v>
          </cell>
          <cell r="F20">
            <v>0</v>
          </cell>
          <cell r="G20">
            <v>0</v>
          </cell>
          <cell r="H20">
            <v>9.0999999999999998E-2</v>
          </cell>
          <cell r="I20">
            <v>5.0000000000000001E-3</v>
          </cell>
          <cell r="J20">
            <v>5.0000000000000001E-3</v>
          </cell>
          <cell r="K20">
            <v>5.0000000000000001E-3</v>
          </cell>
          <cell r="L20">
            <v>0</v>
          </cell>
          <cell r="M20">
            <v>125</v>
          </cell>
        </row>
        <row r="21">
          <cell r="C21">
            <v>35826</v>
          </cell>
          <cell r="D21">
            <v>0</v>
          </cell>
          <cell r="E21">
            <v>1</v>
          </cell>
          <cell r="F21">
            <v>0</v>
          </cell>
          <cell r="G21">
            <v>0</v>
          </cell>
          <cell r="H21">
            <v>9.5000000000000001E-2</v>
          </cell>
          <cell r="I21">
            <v>2.5000000000000001E-3</v>
          </cell>
          <cell r="J21">
            <v>0.01</v>
          </cell>
          <cell r="K21">
            <v>5.0000000000000001E-3</v>
          </cell>
          <cell r="L21">
            <v>0</v>
          </cell>
          <cell r="M21">
            <v>125</v>
          </cell>
        </row>
        <row r="22">
          <cell r="C22">
            <v>35859</v>
          </cell>
          <cell r="D22">
            <v>0</v>
          </cell>
          <cell r="E22">
            <v>1</v>
          </cell>
          <cell r="F22">
            <v>0</v>
          </cell>
          <cell r="G22">
            <v>0</v>
          </cell>
          <cell r="H22">
            <v>9.5000000000000001E-2</v>
          </cell>
          <cell r="I22">
            <v>5.0000000000000001E-3</v>
          </cell>
          <cell r="J22">
            <v>5.0000000000000001E-3</v>
          </cell>
          <cell r="K22">
            <v>2.5000000000000001E-3</v>
          </cell>
          <cell r="L22">
            <v>0</v>
          </cell>
          <cell r="M22">
            <v>125</v>
          </cell>
        </row>
        <row r="23">
          <cell r="C23">
            <v>35880</v>
          </cell>
          <cell r="D23">
            <v>0</v>
          </cell>
          <cell r="E23">
            <v>1</v>
          </cell>
          <cell r="F23">
            <v>0</v>
          </cell>
          <cell r="G23">
            <v>0</v>
          </cell>
          <cell r="H23">
            <v>9.0999999999999998E-2</v>
          </cell>
          <cell r="I23">
            <v>5.0000000000000001E-3</v>
          </cell>
          <cell r="J23">
            <v>5.0000000000000001E-3</v>
          </cell>
          <cell r="K23">
            <v>2.5000000000000001E-3</v>
          </cell>
          <cell r="L23">
            <v>0</v>
          </cell>
          <cell r="M23">
            <v>125</v>
          </cell>
        </row>
        <row r="24">
          <cell r="C24">
            <v>35912</v>
          </cell>
          <cell r="D24">
            <v>0</v>
          </cell>
          <cell r="E24">
            <v>1</v>
          </cell>
          <cell r="F24">
            <v>0</v>
          </cell>
          <cell r="G24">
            <v>0</v>
          </cell>
          <cell r="H24">
            <v>0.1</v>
          </cell>
          <cell r="I24">
            <v>0.01</v>
          </cell>
          <cell r="J24">
            <v>0.01</v>
          </cell>
          <cell r="K24">
            <v>5.0000000000000001E-3</v>
          </cell>
          <cell r="L24">
            <v>0</v>
          </cell>
          <cell r="M24">
            <v>125</v>
          </cell>
        </row>
        <row r="25">
          <cell r="C25">
            <v>35935</v>
          </cell>
          <cell r="D25">
            <v>0</v>
          </cell>
          <cell r="E25">
            <v>1</v>
          </cell>
          <cell r="F25">
            <v>0</v>
          </cell>
          <cell r="G25">
            <v>0</v>
          </cell>
          <cell r="H25">
            <v>0.09</v>
          </cell>
          <cell r="I25">
            <v>0.01</v>
          </cell>
          <cell r="J25">
            <v>5.0000000000000001E-3</v>
          </cell>
          <cell r="K25">
            <v>2.5000000000000001E-3</v>
          </cell>
          <cell r="L25">
            <v>0</v>
          </cell>
          <cell r="M25">
            <v>125</v>
          </cell>
        </row>
        <row r="26">
          <cell r="C26">
            <v>35935</v>
          </cell>
          <cell r="D26">
            <v>0</v>
          </cell>
          <cell r="E26">
            <v>1</v>
          </cell>
          <cell r="F26">
            <v>0</v>
          </cell>
          <cell r="G26">
            <v>0</v>
          </cell>
          <cell r="H26">
            <v>0.09</v>
          </cell>
          <cell r="I26">
            <v>0.01</v>
          </cell>
          <cell r="J26">
            <v>5.0000000000000001E-3</v>
          </cell>
          <cell r="K26">
            <v>2.5000000000000001E-3</v>
          </cell>
          <cell r="L26">
            <v>0</v>
          </cell>
          <cell r="M26">
            <v>125</v>
          </cell>
        </row>
        <row r="27">
          <cell r="C27">
            <v>36012</v>
          </cell>
          <cell r="D27">
            <v>0</v>
          </cell>
          <cell r="E27">
            <v>1</v>
          </cell>
          <cell r="F27">
            <v>0</v>
          </cell>
          <cell r="G27">
            <v>0</v>
          </cell>
          <cell r="H27">
            <v>8.7499999999999994E-2</v>
          </cell>
          <cell r="I27">
            <v>7.4999999999999997E-3</v>
          </cell>
          <cell r="J27">
            <v>5.0000000000000001E-3</v>
          </cell>
          <cell r="K27">
            <v>5.0000000000000001E-3</v>
          </cell>
          <cell r="L27">
            <v>0</v>
          </cell>
          <cell r="M27">
            <v>125</v>
          </cell>
        </row>
        <row r="28">
          <cell r="C28">
            <v>36040</v>
          </cell>
          <cell r="D28">
            <v>0</v>
          </cell>
          <cell r="E28">
            <v>1</v>
          </cell>
          <cell r="F28">
            <v>0</v>
          </cell>
          <cell r="G28">
            <v>0</v>
          </cell>
          <cell r="H28">
            <v>8.7499999999999994E-2</v>
          </cell>
          <cell r="I28">
            <v>7.4999999999999997E-3</v>
          </cell>
          <cell r="J28">
            <v>5.0000000000000001E-3</v>
          </cell>
          <cell r="K28">
            <v>5.0000000000000001E-3</v>
          </cell>
          <cell r="L28">
            <v>0</v>
          </cell>
          <cell r="M28">
            <v>125</v>
          </cell>
        </row>
        <row r="29">
          <cell r="C29">
            <v>36022</v>
          </cell>
          <cell r="D29">
            <v>0</v>
          </cell>
          <cell r="E29">
            <v>1</v>
          </cell>
          <cell r="F29">
            <v>0</v>
          </cell>
          <cell r="G29">
            <v>0</v>
          </cell>
          <cell r="H29">
            <v>8.7499999999999994E-2</v>
          </cell>
          <cell r="I29">
            <v>7.4999999999999997E-3</v>
          </cell>
          <cell r="J29">
            <v>5.0000000000000001E-3</v>
          </cell>
          <cell r="K29">
            <v>5.0000000000000001E-3</v>
          </cell>
          <cell r="L29">
            <v>0</v>
          </cell>
          <cell r="M29">
            <v>125</v>
          </cell>
        </row>
        <row r="30">
          <cell r="C30">
            <v>36022</v>
          </cell>
          <cell r="D30">
            <v>0</v>
          </cell>
          <cell r="E30">
            <v>1</v>
          </cell>
          <cell r="F30">
            <v>0</v>
          </cell>
          <cell r="G30">
            <v>0</v>
          </cell>
          <cell r="H30">
            <v>8.7499999999999994E-2</v>
          </cell>
          <cell r="I30">
            <v>7.4999999999999997E-3</v>
          </cell>
          <cell r="J30">
            <v>5.0000000000000001E-3</v>
          </cell>
          <cell r="K30">
            <v>5.0000000000000001E-3</v>
          </cell>
          <cell r="L30">
            <v>0</v>
          </cell>
          <cell r="M30">
            <v>125</v>
          </cell>
        </row>
        <row r="31">
          <cell r="C31">
            <v>36022</v>
          </cell>
          <cell r="D31">
            <v>0</v>
          </cell>
          <cell r="E31">
            <v>1</v>
          </cell>
          <cell r="F31">
            <v>0</v>
          </cell>
          <cell r="G31">
            <v>0</v>
          </cell>
          <cell r="H31">
            <v>8.7499999999999994E-2</v>
          </cell>
          <cell r="I31">
            <v>7.4999999999999997E-3</v>
          </cell>
          <cell r="J31">
            <v>5.0000000000000001E-3</v>
          </cell>
          <cell r="K31">
            <v>5.0000000000000001E-3</v>
          </cell>
          <cell r="L31">
            <v>0</v>
          </cell>
          <cell r="M31">
            <v>125</v>
          </cell>
        </row>
        <row r="32">
          <cell r="C32">
            <v>36022</v>
          </cell>
          <cell r="D32">
            <v>0</v>
          </cell>
          <cell r="E32">
            <v>1</v>
          </cell>
          <cell r="F32">
            <v>0</v>
          </cell>
          <cell r="G32">
            <v>0</v>
          </cell>
          <cell r="H32">
            <v>8.7499999999999994E-2</v>
          </cell>
          <cell r="I32">
            <v>7.4999999999999997E-3</v>
          </cell>
          <cell r="J32">
            <v>5.0000000000000001E-3</v>
          </cell>
          <cell r="K32">
            <v>5.0000000000000001E-3</v>
          </cell>
          <cell r="L32">
            <v>0</v>
          </cell>
          <cell r="M32">
            <v>125</v>
          </cell>
        </row>
        <row r="33">
          <cell r="C33">
            <v>36022</v>
          </cell>
          <cell r="D33">
            <v>0</v>
          </cell>
          <cell r="E33">
            <v>1</v>
          </cell>
          <cell r="F33">
            <v>0</v>
          </cell>
          <cell r="G33">
            <v>0</v>
          </cell>
          <cell r="H33">
            <v>8.7499999999999994E-2</v>
          </cell>
          <cell r="I33">
            <v>7.4999999999999997E-3</v>
          </cell>
          <cell r="J33">
            <v>5.0000000000000001E-3</v>
          </cell>
          <cell r="K33">
            <v>5.0000000000000001E-3</v>
          </cell>
          <cell r="L33">
            <v>0</v>
          </cell>
          <cell r="M33">
            <v>125</v>
          </cell>
        </row>
        <row r="34">
          <cell r="C34">
            <v>36022</v>
          </cell>
          <cell r="D34">
            <v>0</v>
          </cell>
          <cell r="E34">
            <v>1</v>
          </cell>
          <cell r="F34">
            <v>0</v>
          </cell>
          <cell r="G34">
            <v>0</v>
          </cell>
          <cell r="H34">
            <v>8.7499999999999994E-2</v>
          </cell>
          <cell r="I34">
            <v>7.4999999999999997E-3</v>
          </cell>
          <cell r="J34">
            <v>5.0000000000000001E-3</v>
          </cell>
          <cell r="K34">
            <v>5.0000000000000001E-3</v>
          </cell>
          <cell r="L34">
            <v>0</v>
          </cell>
          <cell r="M34">
            <v>125</v>
          </cell>
        </row>
        <row r="35">
          <cell r="C35">
            <v>36138</v>
          </cell>
          <cell r="D35">
            <v>0</v>
          </cell>
          <cell r="E35">
            <v>1</v>
          </cell>
          <cell r="F35">
            <v>0</v>
          </cell>
          <cell r="G35">
            <v>0</v>
          </cell>
          <cell r="H35">
            <v>8.7499999999999994E-2</v>
          </cell>
          <cell r="I35">
            <v>7.4999999999999997E-3</v>
          </cell>
          <cell r="J35">
            <v>5.0000000000000001E-3</v>
          </cell>
          <cell r="K35">
            <v>5.0000000000000001E-3</v>
          </cell>
          <cell r="L35">
            <v>0</v>
          </cell>
          <cell r="M35">
            <v>125</v>
          </cell>
        </row>
        <row r="36">
          <cell r="C36">
            <v>36130</v>
          </cell>
          <cell r="D36">
            <v>0</v>
          </cell>
          <cell r="E36">
            <v>1</v>
          </cell>
          <cell r="F36">
            <v>0</v>
          </cell>
          <cell r="G36">
            <v>0</v>
          </cell>
          <cell r="H36">
            <v>8.7499999999999994E-2</v>
          </cell>
          <cell r="I36">
            <v>7.4999999999999997E-3</v>
          </cell>
          <cell r="J36">
            <v>5.0000000000000001E-3</v>
          </cell>
          <cell r="K36">
            <v>5.0000000000000001E-3</v>
          </cell>
          <cell r="L36">
            <v>0</v>
          </cell>
          <cell r="M36">
            <v>125</v>
          </cell>
        </row>
        <row r="37">
          <cell r="C37">
            <v>36145</v>
          </cell>
          <cell r="D37">
            <v>0</v>
          </cell>
          <cell r="E37">
            <v>1</v>
          </cell>
          <cell r="F37">
            <v>0</v>
          </cell>
          <cell r="G37">
            <v>0</v>
          </cell>
          <cell r="H37">
            <v>9.5000000000000001E-2</v>
          </cell>
          <cell r="I37">
            <v>5.0000000000000001E-3</v>
          </cell>
          <cell r="J37">
            <v>5.0000000000000001E-3</v>
          </cell>
          <cell r="K37">
            <v>5.0000000000000001E-3</v>
          </cell>
          <cell r="L37">
            <v>0</v>
          </cell>
          <cell r="M37">
            <v>125</v>
          </cell>
        </row>
        <row r="38">
          <cell r="C38">
            <v>36131</v>
          </cell>
          <cell r="D38">
            <v>0</v>
          </cell>
          <cell r="E38">
            <v>1</v>
          </cell>
          <cell r="F38">
            <v>0</v>
          </cell>
          <cell r="G38">
            <v>0</v>
          </cell>
          <cell r="H38">
            <v>0.09</v>
          </cell>
          <cell r="I38">
            <v>5.0000000000000001E-3</v>
          </cell>
          <cell r="J38">
            <v>5.0000000000000001E-3</v>
          </cell>
          <cell r="K38">
            <v>5.0000000000000001E-3</v>
          </cell>
          <cell r="L38">
            <v>0</v>
          </cell>
          <cell r="M38">
            <v>125</v>
          </cell>
        </row>
        <row r="39">
          <cell r="C39">
            <v>36171</v>
          </cell>
          <cell r="D39">
            <v>0</v>
          </cell>
          <cell r="E39">
            <v>1</v>
          </cell>
          <cell r="F39">
            <v>0</v>
          </cell>
          <cell r="G39">
            <v>0</v>
          </cell>
          <cell r="H39">
            <v>0.09</v>
          </cell>
          <cell r="I39">
            <v>5.0000000000000001E-3</v>
          </cell>
          <cell r="J39">
            <v>5.0000000000000001E-3</v>
          </cell>
          <cell r="K39">
            <v>5.0000000000000001E-3</v>
          </cell>
          <cell r="L39">
            <v>0</v>
          </cell>
          <cell r="M39">
            <v>125</v>
          </cell>
        </row>
        <row r="40">
          <cell r="C40">
            <v>36174</v>
          </cell>
          <cell r="D40">
            <v>0</v>
          </cell>
          <cell r="E40">
            <v>1</v>
          </cell>
          <cell r="F40">
            <v>0</v>
          </cell>
          <cell r="G40">
            <v>0</v>
          </cell>
          <cell r="H40">
            <v>0.09</v>
          </cell>
          <cell r="I40">
            <v>5.0000000000000001E-3</v>
          </cell>
          <cell r="J40">
            <v>5.0000000000000001E-3</v>
          </cell>
          <cell r="K40">
            <v>5.0000000000000001E-3</v>
          </cell>
          <cell r="L40">
            <v>0</v>
          </cell>
          <cell r="M40">
            <v>125</v>
          </cell>
        </row>
        <row r="41">
          <cell r="C41">
            <v>36280</v>
          </cell>
          <cell r="D41">
            <v>0</v>
          </cell>
          <cell r="E41">
            <v>1</v>
          </cell>
          <cell r="F41">
            <v>0</v>
          </cell>
          <cell r="G41">
            <v>0</v>
          </cell>
          <cell r="H41">
            <v>8.1000000000000003E-2</v>
          </cell>
          <cell r="I41">
            <v>5.0000000000000001E-3</v>
          </cell>
          <cell r="J41">
            <v>5.0000000000000001E-3</v>
          </cell>
          <cell r="K41">
            <v>5.0000000000000001E-3</v>
          </cell>
          <cell r="L41">
            <v>0</v>
          </cell>
          <cell r="M41">
            <v>125</v>
          </cell>
        </row>
        <row r="42">
          <cell r="C42">
            <v>36356</v>
          </cell>
          <cell r="D42">
            <v>0</v>
          </cell>
          <cell r="E42">
            <v>1</v>
          </cell>
          <cell r="F42">
            <v>0</v>
          </cell>
          <cell r="G42">
            <v>0</v>
          </cell>
          <cell r="H42">
            <v>0.09</v>
          </cell>
          <cell r="I42">
            <v>5.0000000000000001E-3</v>
          </cell>
          <cell r="J42">
            <v>5.0000000000000001E-3</v>
          </cell>
          <cell r="K42">
            <v>5.0000000000000001E-3</v>
          </cell>
          <cell r="L42">
            <v>0</v>
          </cell>
          <cell r="M42">
            <v>125</v>
          </cell>
        </row>
        <row r="43">
          <cell r="C43">
            <v>36418</v>
          </cell>
          <cell r="D43">
            <v>0</v>
          </cell>
          <cell r="E43">
            <v>1</v>
          </cell>
          <cell r="F43">
            <v>0</v>
          </cell>
          <cell r="G43">
            <v>0</v>
          </cell>
          <cell r="H43">
            <v>0.09</v>
          </cell>
          <cell r="I43">
            <v>5.0000000000000001E-3</v>
          </cell>
          <cell r="J43">
            <v>5.0000000000000001E-3</v>
          </cell>
          <cell r="K43">
            <v>5.0000000000000001E-3</v>
          </cell>
          <cell r="L43">
            <v>0</v>
          </cell>
          <cell r="M43">
            <v>125</v>
          </cell>
        </row>
        <row r="44">
          <cell r="C44">
            <v>36479</v>
          </cell>
          <cell r="D44">
            <v>0</v>
          </cell>
          <cell r="E44">
            <v>1</v>
          </cell>
          <cell r="F44">
            <v>0</v>
          </cell>
          <cell r="G44">
            <v>0</v>
          </cell>
          <cell r="H44">
            <v>0.09</v>
          </cell>
          <cell r="I44">
            <v>5.0000000000000001E-3</v>
          </cell>
          <cell r="J44">
            <v>5.0000000000000001E-3</v>
          </cell>
          <cell r="K44">
            <v>5.0000000000000001E-3</v>
          </cell>
          <cell r="L44">
            <v>0</v>
          </cell>
          <cell r="M44">
            <v>125</v>
          </cell>
        </row>
        <row r="45">
          <cell r="C45">
            <v>36571</v>
          </cell>
          <cell r="D45">
            <v>0</v>
          </cell>
          <cell r="E45">
            <v>1</v>
          </cell>
          <cell r="F45">
            <v>0</v>
          </cell>
          <cell r="G45">
            <v>0</v>
          </cell>
          <cell r="H45">
            <v>7.0000000000000007E-2</v>
          </cell>
          <cell r="I45">
            <v>2.5000000000000001E-3</v>
          </cell>
          <cell r="J45">
            <v>5.0000000000000001E-3</v>
          </cell>
          <cell r="K45">
            <v>5.0000000000000001E-3</v>
          </cell>
          <cell r="L45">
            <v>0</v>
          </cell>
          <cell r="M45">
            <v>125</v>
          </cell>
        </row>
        <row r="46">
          <cell r="C46">
            <v>37043</v>
          </cell>
          <cell r="D46">
            <v>0</v>
          </cell>
          <cell r="E46">
            <v>1</v>
          </cell>
          <cell r="F46">
            <v>0</v>
          </cell>
          <cell r="G46">
            <v>0</v>
          </cell>
          <cell r="H46">
            <v>0.09</v>
          </cell>
          <cell r="I46">
            <v>5.0000000000000001E-3</v>
          </cell>
          <cell r="J46">
            <v>5.0000000000000001E-3</v>
          </cell>
          <cell r="K46">
            <v>5.0000000000000001E-3</v>
          </cell>
          <cell r="L46">
            <v>0</v>
          </cell>
          <cell r="M46">
            <v>125</v>
          </cell>
        </row>
        <row r="47">
          <cell r="C47">
            <v>37210</v>
          </cell>
          <cell r="D47">
            <v>0</v>
          </cell>
          <cell r="E47">
            <v>1</v>
          </cell>
          <cell r="F47">
            <v>0</v>
          </cell>
          <cell r="G47">
            <v>0</v>
          </cell>
          <cell r="H47">
            <v>8.5000000000000006E-2</v>
          </cell>
          <cell r="I47">
            <v>2.5000000000000001E-3</v>
          </cell>
          <cell r="J47">
            <v>2.5000000000000001E-3</v>
          </cell>
          <cell r="K47">
            <v>2.5000000000000001E-3</v>
          </cell>
          <cell r="L47">
            <v>0</v>
          </cell>
          <cell r="M47">
            <v>175</v>
          </cell>
        </row>
        <row r="48">
          <cell r="C48">
            <v>37302</v>
          </cell>
          <cell r="D48">
            <v>0</v>
          </cell>
          <cell r="E48">
            <v>1</v>
          </cell>
          <cell r="F48">
            <v>0</v>
          </cell>
          <cell r="G48">
            <v>0</v>
          </cell>
          <cell r="H48">
            <v>8.5000000000000006E-2</v>
          </cell>
          <cell r="I48">
            <v>2.5000000000000001E-3</v>
          </cell>
          <cell r="J48">
            <v>2.5000000000000001E-3</v>
          </cell>
          <cell r="K48">
            <v>2.5000000000000001E-3</v>
          </cell>
          <cell r="L48">
            <v>0</v>
          </cell>
          <cell r="M48">
            <v>178.5</v>
          </cell>
        </row>
        <row r="49">
          <cell r="C49">
            <v>37391</v>
          </cell>
          <cell r="D49">
            <v>0</v>
          </cell>
          <cell r="E49">
            <v>1</v>
          </cell>
          <cell r="F49">
            <v>0</v>
          </cell>
          <cell r="G49">
            <v>0</v>
          </cell>
          <cell r="H49">
            <v>8.5000000000000006E-2</v>
          </cell>
          <cell r="I49">
            <v>2.5000000000000001E-3</v>
          </cell>
          <cell r="J49">
            <v>2.5000000000000001E-3</v>
          </cell>
          <cell r="K49">
            <v>2.5000000000000001E-3</v>
          </cell>
          <cell r="L49">
            <v>0</v>
          </cell>
          <cell r="M49">
            <v>182.07</v>
          </cell>
        </row>
        <row r="50">
          <cell r="C50">
            <v>37483</v>
          </cell>
          <cell r="D50">
            <v>0</v>
          </cell>
          <cell r="E50">
            <v>1</v>
          </cell>
          <cell r="F50">
            <v>0</v>
          </cell>
          <cell r="G50">
            <v>0</v>
          </cell>
          <cell r="H50">
            <v>8.5000000000000006E-2</v>
          </cell>
          <cell r="I50">
            <v>2.5000000000000001E-3</v>
          </cell>
          <cell r="J50">
            <v>2.5000000000000001E-3</v>
          </cell>
          <cell r="K50">
            <v>2.5000000000000001E-3</v>
          </cell>
          <cell r="L50">
            <v>0</v>
          </cell>
          <cell r="M50">
            <v>185.7114</v>
          </cell>
        </row>
        <row r="51">
          <cell r="C51">
            <v>37575</v>
          </cell>
          <cell r="D51">
            <v>0</v>
          </cell>
          <cell r="E51">
            <v>1</v>
          </cell>
          <cell r="F51">
            <v>0</v>
          </cell>
          <cell r="G51">
            <v>0</v>
          </cell>
          <cell r="H51">
            <v>8.5000000000000006E-2</v>
          </cell>
          <cell r="I51">
            <v>2.5000000000000001E-3</v>
          </cell>
          <cell r="J51">
            <v>2.5000000000000001E-3</v>
          </cell>
          <cell r="K51">
            <v>2.5000000000000001E-3</v>
          </cell>
          <cell r="L51">
            <v>0</v>
          </cell>
          <cell r="M51">
            <v>189.42562799999999</v>
          </cell>
        </row>
        <row r="52">
          <cell r="C52">
            <v>37667</v>
          </cell>
          <cell r="D52">
            <v>0</v>
          </cell>
          <cell r="E52">
            <v>1</v>
          </cell>
          <cell r="F52">
            <v>0</v>
          </cell>
          <cell r="G52">
            <v>0</v>
          </cell>
          <cell r="H52">
            <v>8.5000000000000006E-2</v>
          </cell>
          <cell r="I52">
            <v>2.5000000000000001E-3</v>
          </cell>
          <cell r="J52">
            <v>2.5000000000000001E-3</v>
          </cell>
          <cell r="K52">
            <v>2.5000000000000001E-3</v>
          </cell>
          <cell r="L52">
            <v>0</v>
          </cell>
          <cell r="M52">
            <v>193.21414056</v>
          </cell>
        </row>
        <row r="53">
          <cell r="C53">
            <v>37756</v>
          </cell>
          <cell r="D53">
            <v>0</v>
          </cell>
          <cell r="E53">
            <v>1</v>
          </cell>
          <cell r="F53">
            <v>0</v>
          </cell>
          <cell r="G53">
            <v>0</v>
          </cell>
          <cell r="H53">
            <v>8.5000000000000006E-2</v>
          </cell>
          <cell r="I53">
            <v>2.5000000000000001E-3</v>
          </cell>
          <cell r="J53">
            <v>2.5000000000000001E-3</v>
          </cell>
          <cell r="K53">
            <v>2.5000000000000001E-3</v>
          </cell>
          <cell r="L53">
            <v>0</v>
          </cell>
          <cell r="M53">
            <v>197.07842337120002</v>
          </cell>
        </row>
        <row r="54">
          <cell r="C54">
            <v>37848</v>
          </cell>
          <cell r="D54">
            <v>0</v>
          </cell>
          <cell r="E54">
            <v>1</v>
          </cell>
          <cell r="F54">
            <v>0</v>
          </cell>
          <cell r="G54">
            <v>0</v>
          </cell>
          <cell r="H54">
            <v>8.5000000000000006E-2</v>
          </cell>
          <cell r="I54">
            <v>2.5000000000000001E-3</v>
          </cell>
          <cell r="J54">
            <v>2.5000000000000001E-3</v>
          </cell>
          <cell r="K54">
            <v>2.5000000000000001E-3</v>
          </cell>
          <cell r="L54">
            <v>0</v>
          </cell>
          <cell r="M54">
            <v>201.01999183862401</v>
          </cell>
        </row>
        <row r="55">
          <cell r="C55">
            <v>37940</v>
          </cell>
          <cell r="D55">
            <v>0</v>
          </cell>
          <cell r="E55">
            <v>1</v>
          </cell>
          <cell r="F55">
            <v>0</v>
          </cell>
          <cell r="G55">
            <v>0</v>
          </cell>
          <cell r="H55">
            <v>8.5000000000000006E-2</v>
          </cell>
          <cell r="I55">
            <v>2.5000000000000001E-3</v>
          </cell>
          <cell r="J55">
            <v>2.5000000000000001E-3</v>
          </cell>
          <cell r="K55">
            <v>2.5000000000000001E-3</v>
          </cell>
          <cell r="L55">
            <v>0</v>
          </cell>
          <cell r="M55">
            <v>205.04039167539651</v>
          </cell>
        </row>
        <row r="56">
          <cell r="C56">
            <v>38031.25</v>
          </cell>
          <cell r="D56">
            <v>0</v>
          </cell>
          <cell r="E56">
            <v>1</v>
          </cell>
          <cell r="F56">
            <v>0</v>
          </cell>
          <cell r="G56">
            <v>0</v>
          </cell>
          <cell r="H56">
            <v>8.5000000000000006E-2</v>
          </cell>
          <cell r="I56">
            <v>2.5000000000000001E-3</v>
          </cell>
          <cell r="J56">
            <v>2.5000000000000001E-3</v>
          </cell>
          <cell r="K56">
            <v>2.5000000000000001E-3</v>
          </cell>
          <cell r="L56">
            <v>0</v>
          </cell>
          <cell r="M56">
            <v>209.14119950890444</v>
          </cell>
        </row>
        <row r="57">
          <cell r="C57">
            <v>38122.5</v>
          </cell>
          <cell r="D57">
            <v>0</v>
          </cell>
          <cell r="E57">
            <v>1</v>
          </cell>
          <cell r="F57">
            <v>0</v>
          </cell>
          <cell r="G57">
            <v>0</v>
          </cell>
          <cell r="H57">
            <v>8.5000000000000006E-2</v>
          </cell>
          <cell r="I57">
            <v>2.5000000000000001E-3</v>
          </cell>
          <cell r="J57">
            <v>2.5000000000000001E-3</v>
          </cell>
          <cell r="K57">
            <v>2.5000000000000001E-3</v>
          </cell>
          <cell r="L57">
            <v>0</v>
          </cell>
          <cell r="M57">
            <v>213.32402349908253</v>
          </cell>
        </row>
        <row r="58">
          <cell r="C58">
            <v>38226</v>
          </cell>
          <cell r="D58">
            <v>440000</v>
          </cell>
          <cell r="E58">
            <v>1</v>
          </cell>
          <cell r="F58">
            <v>440000</v>
          </cell>
          <cell r="G58">
            <v>264000</v>
          </cell>
          <cell r="H58">
            <v>6.5000000000000002E-2</v>
          </cell>
          <cell r="I58">
            <v>2.5000000000000001E-3</v>
          </cell>
          <cell r="J58">
            <v>2.5000000000000001E-3</v>
          </cell>
          <cell r="K58">
            <v>2.5000000000000001E-3</v>
          </cell>
          <cell r="L58">
            <v>1401273.8853503186</v>
          </cell>
          <cell r="M58">
            <v>314</v>
          </cell>
        </row>
        <row r="59">
          <cell r="C59">
            <v>38303</v>
          </cell>
          <cell r="D59">
            <v>75100</v>
          </cell>
          <cell r="E59">
            <v>1</v>
          </cell>
          <cell r="F59">
            <v>75100</v>
          </cell>
          <cell r="G59">
            <v>45060</v>
          </cell>
          <cell r="H59">
            <v>7.0000000000000007E-2</v>
          </cell>
          <cell r="I59">
            <v>2.5000000000000001E-3</v>
          </cell>
          <cell r="J59">
            <v>2.5000000000000001E-3</v>
          </cell>
          <cell r="K59">
            <v>2.5000000000000001E-3</v>
          </cell>
          <cell r="L59">
            <v>224179.10447761192</v>
          </cell>
          <cell r="M59">
            <v>335</v>
          </cell>
        </row>
        <row r="60">
          <cell r="C60">
            <v>38470</v>
          </cell>
          <cell r="D60">
            <v>190000</v>
          </cell>
          <cell r="E60">
            <v>1</v>
          </cell>
          <cell r="F60">
            <v>190000</v>
          </cell>
          <cell r="G60">
            <v>114000</v>
          </cell>
          <cell r="H60">
            <v>7.0000000000000007E-2</v>
          </cell>
          <cell r="I60">
            <v>2.5000000000000001E-3</v>
          </cell>
          <cell r="J60">
            <v>2.5000000000000001E-3</v>
          </cell>
          <cell r="K60">
            <v>2.5000000000000001E-3</v>
          </cell>
          <cell r="L60">
            <v>387755.10204081633</v>
          </cell>
          <cell r="M60">
            <v>490</v>
          </cell>
        </row>
        <row r="61">
          <cell r="C61">
            <v>38553</v>
          </cell>
          <cell r="D61">
            <v>356700</v>
          </cell>
          <cell r="E61">
            <v>1</v>
          </cell>
          <cell r="F61">
            <v>356700</v>
          </cell>
          <cell r="G61">
            <v>214020</v>
          </cell>
          <cell r="H61">
            <v>5.8999999999999997E-2</v>
          </cell>
          <cell r="I61">
            <v>2.5000000000000001E-3</v>
          </cell>
          <cell r="J61">
            <v>2.5000000000000001E-3</v>
          </cell>
          <cell r="K61">
            <v>2.5000000000000001E-3</v>
          </cell>
          <cell r="L61">
            <v>713685.47418967576</v>
          </cell>
          <cell r="M61">
            <v>499.8</v>
          </cell>
        </row>
        <row r="62">
          <cell r="C62">
            <v>38657</v>
          </cell>
          <cell r="D62">
            <v>157500</v>
          </cell>
          <cell r="E62">
            <v>0.5</v>
          </cell>
          <cell r="F62">
            <v>78750</v>
          </cell>
          <cell r="G62">
            <v>47250</v>
          </cell>
          <cell r="H62">
            <v>7.0000000000000007E-2</v>
          </cell>
          <cell r="I62">
            <v>2.5000000000000001E-3</v>
          </cell>
          <cell r="J62">
            <v>2.5000000000000001E-3</v>
          </cell>
          <cell r="K62">
            <v>2.5000000000000001E-3</v>
          </cell>
          <cell r="L62">
            <v>171500</v>
          </cell>
          <cell r="M62">
            <v>459.18367346938777</v>
          </cell>
        </row>
        <row r="63">
          <cell r="C63">
            <v>38763</v>
          </cell>
          <cell r="D63">
            <v>75000</v>
          </cell>
          <cell r="E63">
            <v>1</v>
          </cell>
          <cell r="F63">
            <v>75000</v>
          </cell>
          <cell r="G63">
            <v>45000</v>
          </cell>
          <cell r="H63">
            <v>7.4999999999999997E-2</v>
          </cell>
          <cell r="I63">
            <v>2.5000000000000001E-3</v>
          </cell>
          <cell r="J63">
            <v>2.5000000000000001E-3</v>
          </cell>
          <cell r="K63">
            <v>2.5000000000000001E-3</v>
          </cell>
          <cell r="L63">
            <v>160130.71895424835</v>
          </cell>
          <cell r="M63">
            <v>468.36734693877554</v>
          </cell>
        </row>
        <row r="64">
          <cell r="C64">
            <v>38854.25</v>
          </cell>
          <cell r="D64">
            <v>75000</v>
          </cell>
          <cell r="E64">
            <v>1</v>
          </cell>
          <cell r="F64">
            <v>75000</v>
          </cell>
          <cell r="G64">
            <v>45000</v>
          </cell>
          <cell r="H64">
            <v>7.4999999999999997E-2</v>
          </cell>
          <cell r="I64">
            <v>2.5000000000000001E-3</v>
          </cell>
          <cell r="J64">
            <v>2.5000000000000001E-3</v>
          </cell>
          <cell r="K64">
            <v>2.5000000000000001E-3</v>
          </cell>
          <cell r="L64">
            <v>156990.90093553759</v>
          </cell>
          <cell r="M64">
            <v>477.73469387755108</v>
          </cell>
        </row>
        <row r="65">
          <cell r="C65">
            <v>38945.5</v>
          </cell>
          <cell r="D65">
            <v>75000</v>
          </cell>
          <cell r="E65">
            <v>1</v>
          </cell>
          <cell r="F65">
            <v>75000</v>
          </cell>
          <cell r="G65">
            <v>45000</v>
          </cell>
          <cell r="H65">
            <v>7.4999999999999997E-2</v>
          </cell>
          <cell r="I65">
            <v>2.5000000000000001E-3</v>
          </cell>
          <cell r="J65">
            <v>2.5000000000000001E-3</v>
          </cell>
          <cell r="K65">
            <v>2.5000000000000001E-3</v>
          </cell>
          <cell r="L65">
            <v>153912.64797601724</v>
          </cell>
          <cell r="M65">
            <v>487.2893877551021</v>
          </cell>
        </row>
        <row r="66">
          <cell r="C66">
            <v>39036.75</v>
          </cell>
          <cell r="D66">
            <v>75000</v>
          </cell>
          <cell r="E66">
            <v>1</v>
          </cell>
          <cell r="F66">
            <v>75000</v>
          </cell>
          <cell r="G66">
            <v>45000</v>
          </cell>
          <cell r="H66">
            <v>7.4999999999999997E-2</v>
          </cell>
          <cell r="I66">
            <v>2.5000000000000001E-3</v>
          </cell>
          <cell r="J66">
            <v>2.5000000000000001E-3</v>
          </cell>
          <cell r="K66">
            <v>2.5000000000000001E-3</v>
          </cell>
          <cell r="L66">
            <v>150894.75291766395</v>
          </cell>
          <cell r="M66">
            <v>497.03517551020417</v>
          </cell>
        </row>
        <row r="67">
          <cell r="C67">
            <v>39128</v>
          </cell>
          <cell r="D67">
            <v>25000</v>
          </cell>
          <cell r="E67">
            <v>1</v>
          </cell>
          <cell r="F67">
            <v>25000</v>
          </cell>
          <cell r="G67">
            <v>15000</v>
          </cell>
          <cell r="H67">
            <v>7.4999999999999997E-2</v>
          </cell>
          <cell r="I67">
            <v>2.5000000000000001E-3</v>
          </cell>
          <cell r="J67">
            <v>2.5000000000000001E-3</v>
          </cell>
          <cell r="K67">
            <v>2.5000000000000001E-3</v>
          </cell>
          <cell r="L67">
            <v>49312.010757406519</v>
          </cell>
          <cell r="M67">
            <v>506.97587902040829</v>
          </cell>
        </row>
        <row r="68">
          <cell r="C68">
            <v>39219.25</v>
          </cell>
          <cell r="D68">
            <v>25000</v>
          </cell>
          <cell r="E68">
            <v>1</v>
          </cell>
          <cell r="F68">
            <v>25000</v>
          </cell>
          <cell r="G68">
            <v>15000</v>
          </cell>
          <cell r="H68">
            <v>7.4999999999999997E-2</v>
          </cell>
          <cell r="I68">
            <v>2.5000000000000001E-3</v>
          </cell>
          <cell r="J68">
            <v>2.5000000000000001E-3</v>
          </cell>
          <cell r="K68">
            <v>2.5000000000000001E-3</v>
          </cell>
          <cell r="L68">
            <v>48345.108585692673</v>
          </cell>
          <cell r="M68">
            <v>517.11539660081644</v>
          </cell>
        </row>
        <row r="69">
          <cell r="C69">
            <v>39310.5</v>
          </cell>
          <cell r="D69">
            <v>25000</v>
          </cell>
          <cell r="E69">
            <v>1</v>
          </cell>
          <cell r="F69">
            <v>25000</v>
          </cell>
          <cell r="G69">
            <v>15000</v>
          </cell>
          <cell r="H69">
            <v>7.4999999999999997E-2</v>
          </cell>
          <cell r="I69">
            <v>2.5000000000000001E-3</v>
          </cell>
          <cell r="J69">
            <v>2.5000000000000001E-3</v>
          </cell>
          <cell r="K69">
            <v>2.5000000000000001E-3</v>
          </cell>
          <cell r="L69">
            <v>47397.165280090856</v>
          </cell>
          <cell r="M69">
            <v>527.45770453283274</v>
          </cell>
        </row>
        <row r="70">
          <cell r="C70">
            <v>39401.75</v>
          </cell>
          <cell r="D70">
            <v>25000</v>
          </cell>
          <cell r="E70">
            <v>1</v>
          </cell>
          <cell r="F70">
            <v>25000</v>
          </cell>
          <cell r="G70">
            <v>15000</v>
          </cell>
          <cell r="H70">
            <v>7.4999999999999997E-2</v>
          </cell>
          <cell r="I70">
            <v>2.5000000000000001E-3</v>
          </cell>
          <cell r="J70">
            <v>2.5000000000000001E-3</v>
          </cell>
          <cell r="K70">
            <v>2.5000000000000001E-3</v>
          </cell>
          <cell r="L70">
            <v>46467.809098128288</v>
          </cell>
          <cell r="M70">
            <v>538.00685862348939</v>
          </cell>
        </row>
        <row r="82">
          <cell r="H82" t="str">
            <v>Initial</v>
          </cell>
        </row>
        <row r="84">
          <cell r="C84">
            <v>35961</v>
          </cell>
          <cell r="D84">
            <v>0</v>
          </cell>
          <cell r="E84">
            <v>1</v>
          </cell>
          <cell r="F84">
            <v>0</v>
          </cell>
          <cell r="G84">
            <v>0</v>
          </cell>
          <cell r="H84">
            <v>8.5000000000000006E-2</v>
          </cell>
          <cell r="I84">
            <v>0.01</v>
          </cell>
          <cell r="J84">
            <v>5.0000000000000001E-3</v>
          </cell>
          <cell r="K84">
            <v>2.5000000000000001E-3</v>
          </cell>
          <cell r="L84">
            <v>0</v>
          </cell>
          <cell r="M84">
            <v>150</v>
          </cell>
        </row>
        <row r="85">
          <cell r="C85">
            <v>36069</v>
          </cell>
          <cell r="D85">
            <v>0</v>
          </cell>
          <cell r="E85">
            <v>1</v>
          </cell>
          <cell r="F85">
            <v>0</v>
          </cell>
          <cell r="G85">
            <v>0</v>
          </cell>
          <cell r="H85">
            <v>0.08</v>
          </cell>
          <cell r="I85">
            <v>2.5000000000000001E-3</v>
          </cell>
          <cell r="J85">
            <v>2.5000000000000001E-3</v>
          </cell>
          <cell r="K85">
            <v>0</v>
          </cell>
          <cell r="L85">
            <v>0</v>
          </cell>
          <cell r="M85">
            <v>150</v>
          </cell>
        </row>
        <row r="86">
          <cell r="C86">
            <v>36755</v>
          </cell>
          <cell r="D86">
            <v>0</v>
          </cell>
          <cell r="E86">
            <v>1</v>
          </cell>
          <cell r="F86">
            <v>0</v>
          </cell>
          <cell r="G86">
            <v>0</v>
          </cell>
          <cell r="H86">
            <v>0.08</v>
          </cell>
          <cell r="I86">
            <v>0.02</v>
          </cell>
          <cell r="J86">
            <v>0.01</v>
          </cell>
          <cell r="K86">
            <v>2.5000000000000001E-3</v>
          </cell>
          <cell r="L86">
            <v>0</v>
          </cell>
          <cell r="M86">
            <v>150</v>
          </cell>
        </row>
        <row r="87">
          <cell r="C87">
            <v>36875</v>
          </cell>
          <cell r="D87">
            <v>0</v>
          </cell>
          <cell r="E87">
            <v>1</v>
          </cell>
          <cell r="F87">
            <v>0</v>
          </cell>
          <cell r="G87">
            <v>0</v>
          </cell>
          <cell r="H87">
            <v>0.08</v>
          </cell>
          <cell r="I87">
            <v>1.4999999999999999E-2</v>
          </cell>
          <cell r="J87">
            <v>2.5000000000000001E-3</v>
          </cell>
          <cell r="K87">
            <v>2.5000000000000001E-3</v>
          </cell>
          <cell r="L87">
            <v>0</v>
          </cell>
          <cell r="M87">
            <v>150</v>
          </cell>
        </row>
        <row r="88">
          <cell r="C88">
            <v>37179</v>
          </cell>
          <cell r="D88">
            <v>0</v>
          </cell>
          <cell r="E88">
            <v>1</v>
          </cell>
          <cell r="F88">
            <v>0</v>
          </cell>
          <cell r="G88">
            <v>0</v>
          </cell>
          <cell r="H88">
            <v>0.08</v>
          </cell>
          <cell r="I88">
            <v>1.4999999999999999E-2</v>
          </cell>
          <cell r="J88">
            <v>2.5000000000000001E-3</v>
          </cell>
          <cell r="K88">
            <v>2.5000000000000001E-3</v>
          </cell>
          <cell r="L88">
            <v>0</v>
          </cell>
          <cell r="M88">
            <v>150</v>
          </cell>
        </row>
        <row r="89">
          <cell r="C89">
            <v>37104</v>
          </cell>
          <cell r="D89">
            <v>0</v>
          </cell>
          <cell r="E89">
            <v>0.8</v>
          </cell>
          <cell r="F89">
            <v>0</v>
          </cell>
          <cell r="G89">
            <v>0</v>
          </cell>
          <cell r="H89">
            <v>0.08</v>
          </cell>
          <cell r="I89">
            <v>0</v>
          </cell>
          <cell r="J89">
            <v>2.5000000000000001E-3</v>
          </cell>
          <cell r="K89">
            <v>2.5000000000000001E-3</v>
          </cell>
          <cell r="L89">
            <v>0</v>
          </cell>
          <cell r="M89">
            <v>150</v>
          </cell>
        </row>
        <row r="90">
          <cell r="C90">
            <v>37149</v>
          </cell>
          <cell r="D90">
            <v>0</v>
          </cell>
          <cell r="E90">
            <v>1</v>
          </cell>
          <cell r="F90">
            <v>0</v>
          </cell>
          <cell r="G90">
            <v>0</v>
          </cell>
          <cell r="H90">
            <v>8.5000000000000006E-2</v>
          </cell>
          <cell r="I90">
            <v>0.01</v>
          </cell>
          <cell r="J90">
            <v>0.01</v>
          </cell>
          <cell r="K90">
            <v>2.5000000000000001E-3</v>
          </cell>
          <cell r="L90">
            <v>0</v>
          </cell>
          <cell r="M90">
            <v>150</v>
          </cell>
        </row>
        <row r="91">
          <cell r="C91">
            <v>37422</v>
          </cell>
          <cell r="D91">
            <v>0</v>
          </cell>
          <cell r="E91">
            <v>1</v>
          </cell>
          <cell r="F91">
            <v>0</v>
          </cell>
          <cell r="G91">
            <v>0</v>
          </cell>
          <cell r="H91">
            <v>0.08</v>
          </cell>
          <cell r="I91">
            <v>0.02</v>
          </cell>
          <cell r="J91">
            <v>2.5000000000000001E-3</v>
          </cell>
          <cell r="K91">
            <v>2.5000000000000001E-3</v>
          </cell>
          <cell r="L91">
            <v>0</v>
          </cell>
          <cell r="M91">
            <v>150</v>
          </cell>
        </row>
        <row r="92">
          <cell r="C92">
            <v>37817</v>
          </cell>
          <cell r="D92">
            <v>0</v>
          </cell>
          <cell r="E92">
            <v>1</v>
          </cell>
          <cell r="F92">
            <v>0</v>
          </cell>
          <cell r="G92">
            <v>0</v>
          </cell>
          <cell r="H92">
            <v>0.08</v>
          </cell>
          <cell r="I92">
            <v>0.02</v>
          </cell>
          <cell r="J92">
            <v>2.5000000000000001E-3</v>
          </cell>
          <cell r="K92">
            <v>2.5000000000000001E-3</v>
          </cell>
          <cell r="L92">
            <v>0</v>
          </cell>
          <cell r="M92">
            <v>150</v>
          </cell>
        </row>
        <row r="105">
          <cell r="D105" t="str">
            <v>Sale Price</v>
          </cell>
          <cell r="F105" t="str">
            <v>Proceeds</v>
          </cell>
          <cell r="H105" t="str">
            <v>Cap Rate</v>
          </cell>
          <cell r="I105" t="str">
            <v>Cost</v>
          </cell>
          <cell r="L105" t="str">
            <v>GLA</v>
          </cell>
        </row>
        <row r="107">
          <cell r="C107">
            <v>35703</v>
          </cell>
          <cell r="D107">
            <v>0</v>
          </cell>
          <cell r="E107">
            <v>1</v>
          </cell>
          <cell r="F107">
            <v>0</v>
          </cell>
          <cell r="H107">
            <v>0.11</v>
          </cell>
          <cell r="I107">
            <v>8000</v>
          </cell>
          <cell r="L107">
            <v>0</v>
          </cell>
          <cell r="M107">
            <v>150</v>
          </cell>
        </row>
        <row r="108">
          <cell r="C108">
            <v>35835</v>
          </cell>
          <cell r="D108">
            <v>0</v>
          </cell>
          <cell r="E108">
            <v>1</v>
          </cell>
          <cell r="F108">
            <v>0</v>
          </cell>
          <cell r="H108">
            <v>0.11</v>
          </cell>
          <cell r="L108">
            <v>0</v>
          </cell>
          <cell r="M108">
            <v>150</v>
          </cell>
        </row>
        <row r="109">
          <cell r="C109">
            <v>36007</v>
          </cell>
          <cell r="D109">
            <v>0</v>
          </cell>
          <cell r="E109">
            <v>1</v>
          </cell>
          <cell r="F109">
            <v>0</v>
          </cell>
          <cell r="H109">
            <v>7.3999999999999996E-2</v>
          </cell>
          <cell r="I109">
            <v>0</v>
          </cell>
          <cell r="L109">
            <v>0</v>
          </cell>
          <cell r="M109">
            <v>150</v>
          </cell>
        </row>
        <row r="110">
          <cell r="C110">
            <v>36068</v>
          </cell>
          <cell r="D110">
            <v>0</v>
          </cell>
          <cell r="E110">
            <v>1</v>
          </cell>
          <cell r="F110">
            <v>0</v>
          </cell>
          <cell r="H110">
            <v>7.3999999999999996E-2</v>
          </cell>
          <cell r="I110">
            <v>0</v>
          </cell>
          <cell r="L110">
            <v>0</v>
          </cell>
          <cell r="M110">
            <v>150</v>
          </cell>
        </row>
        <row r="111">
          <cell r="C111">
            <v>36075</v>
          </cell>
          <cell r="D111">
            <v>0</v>
          </cell>
          <cell r="E111">
            <v>1</v>
          </cell>
          <cell r="F111">
            <v>0</v>
          </cell>
          <cell r="G111">
            <v>0</v>
          </cell>
          <cell r="H111">
            <v>7.3999999999999996E-2</v>
          </cell>
          <cell r="I111">
            <v>0</v>
          </cell>
          <cell r="L111">
            <v>0</v>
          </cell>
          <cell r="M111">
            <v>150</v>
          </cell>
        </row>
        <row r="112">
          <cell r="C112">
            <v>36090</v>
          </cell>
          <cell r="D112">
            <v>0</v>
          </cell>
          <cell r="E112">
            <v>1</v>
          </cell>
          <cell r="F112">
            <v>0</v>
          </cell>
          <cell r="G112">
            <v>0</v>
          </cell>
          <cell r="H112">
            <v>7.3999999999999996E-2</v>
          </cell>
          <cell r="I112">
            <v>0</v>
          </cell>
          <cell r="L112">
            <v>0</v>
          </cell>
          <cell r="M112">
            <v>150</v>
          </cell>
        </row>
        <row r="113">
          <cell r="C113">
            <v>36098</v>
          </cell>
          <cell r="D113">
            <v>0</v>
          </cell>
          <cell r="E113">
            <v>1</v>
          </cell>
          <cell r="F113">
            <v>0</v>
          </cell>
          <cell r="G113">
            <v>0</v>
          </cell>
          <cell r="H113">
            <v>7.3999999999999996E-2</v>
          </cell>
          <cell r="I113">
            <v>0</v>
          </cell>
          <cell r="L113">
            <v>0</v>
          </cell>
          <cell r="M113">
            <v>150</v>
          </cell>
        </row>
        <row r="114">
          <cell r="C114">
            <v>36129</v>
          </cell>
          <cell r="D114">
            <v>0</v>
          </cell>
          <cell r="E114">
            <v>1</v>
          </cell>
          <cell r="F114">
            <v>0</v>
          </cell>
          <cell r="G114">
            <v>0</v>
          </cell>
          <cell r="H114">
            <v>7.3999999999999996E-2</v>
          </cell>
          <cell r="I114">
            <v>0</v>
          </cell>
          <cell r="L114">
            <v>0</v>
          </cell>
          <cell r="M114">
            <v>150</v>
          </cell>
        </row>
        <row r="115">
          <cell r="C115">
            <v>36133</v>
          </cell>
          <cell r="D115">
            <v>0</v>
          </cell>
          <cell r="E115">
            <v>1</v>
          </cell>
          <cell r="F115">
            <v>0</v>
          </cell>
          <cell r="G115">
            <v>0</v>
          </cell>
          <cell r="H115">
            <v>7.3999999999999996E-2</v>
          </cell>
          <cell r="I115">
            <v>0</v>
          </cell>
          <cell r="L115">
            <v>0</v>
          </cell>
          <cell r="M115">
            <v>150</v>
          </cell>
        </row>
        <row r="116">
          <cell r="C116">
            <v>36380</v>
          </cell>
          <cell r="D116">
            <v>0</v>
          </cell>
          <cell r="E116">
            <v>1</v>
          </cell>
          <cell r="F116">
            <v>0</v>
          </cell>
          <cell r="H116">
            <v>0.08</v>
          </cell>
          <cell r="I116">
            <v>0</v>
          </cell>
          <cell r="L116">
            <v>0</v>
          </cell>
          <cell r="M116">
            <v>150</v>
          </cell>
        </row>
        <row r="117">
          <cell r="C117">
            <v>36875</v>
          </cell>
          <cell r="D117">
            <v>0</v>
          </cell>
          <cell r="E117">
            <v>1</v>
          </cell>
          <cell r="F117">
            <v>0</v>
          </cell>
          <cell r="H117">
            <v>9.5000000000000001E-2</v>
          </cell>
          <cell r="I117">
            <v>0</v>
          </cell>
          <cell r="L117">
            <v>0</v>
          </cell>
          <cell r="M117">
            <v>150</v>
          </cell>
        </row>
        <row r="118">
          <cell r="C118">
            <v>36654</v>
          </cell>
          <cell r="D118">
            <v>0</v>
          </cell>
          <cell r="E118">
            <v>1</v>
          </cell>
          <cell r="F118">
            <v>0</v>
          </cell>
          <cell r="H118">
            <v>0.1</v>
          </cell>
          <cell r="I118">
            <v>2.5000000000000001E-3</v>
          </cell>
          <cell r="L118">
            <v>0</v>
          </cell>
          <cell r="M118">
            <v>150</v>
          </cell>
        </row>
        <row r="119">
          <cell r="C119">
            <v>36683</v>
          </cell>
          <cell r="D119">
            <v>0</v>
          </cell>
          <cell r="E119">
            <v>1</v>
          </cell>
          <cell r="F119">
            <v>0</v>
          </cell>
          <cell r="H119">
            <v>0.1</v>
          </cell>
          <cell r="I119">
            <v>2.5000000000000001E-3</v>
          </cell>
          <cell r="L119">
            <v>0</v>
          </cell>
          <cell r="M119">
            <v>150</v>
          </cell>
        </row>
        <row r="183">
          <cell r="D183" t="str">
            <v>Share</v>
          </cell>
          <cell r="E183" t="str">
            <v>Common Shares</v>
          </cell>
          <cell r="G183" t="str">
            <v>OP Units</v>
          </cell>
          <cell r="I183" t="str">
            <v>Preferred Equity</v>
          </cell>
          <cell r="K183" t="str">
            <v>Total Equity</v>
          </cell>
          <cell r="L183" t="str">
            <v>Fixed-Rate Debt</v>
          </cell>
        </row>
        <row r="184">
          <cell r="D184" t="str">
            <v>Price</v>
          </cell>
          <cell r="E184" t="str">
            <v>Value</v>
          </cell>
          <cell r="F184" t="str">
            <v>Quantity</v>
          </cell>
          <cell r="G184" t="str">
            <v>Value</v>
          </cell>
          <cell r="H184" t="str">
            <v>Quantity</v>
          </cell>
          <cell r="I184" t="str">
            <v>Value</v>
          </cell>
          <cell r="J184" t="str">
            <v>CS Equiv.</v>
          </cell>
          <cell r="K184" t="str">
            <v>Financing</v>
          </cell>
          <cell r="L184" t="str">
            <v>Refinancing</v>
          </cell>
        </row>
        <row r="185">
          <cell r="C185">
            <v>35869</v>
          </cell>
          <cell r="D185">
            <v>9</v>
          </cell>
          <cell r="E185">
            <v>0</v>
          </cell>
          <cell r="F185">
            <v>0</v>
          </cell>
          <cell r="K185">
            <v>0</v>
          </cell>
        </row>
        <row r="186">
          <cell r="C186">
            <v>35930</v>
          </cell>
          <cell r="D186">
            <v>19</v>
          </cell>
          <cell r="E186">
            <v>0</v>
          </cell>
          <cell r="F186">
            <v>0</v>
          </cell>
          <cell r="K186">
            <v>0</v>
          </cell>
        </row>
        <row r="187">
          <cell r="C187">
            <v>36007</v>
          </cell>
          <cell r="D187">
            <v>19</v>
          </cell>
          <cell r="E187">
            <v>0</v>
          </cell>
          <cell r="F187">
            <v>0</v>
          </cell>
          <cell r="K187">
            <v>0</v>
          </cell>
          <cell r="L187">
            <v>0</v>
          </cell>
        </row>
        <row r="188">
          <cell r="C188">
            <v>36069</v>
          </cell>
          <cell r="D188">
            <v>19</v>
          </cell>
          <cell r="E188">
            <v>0</v>
          </cell>
          <cell r="F188">
            <v>0</v>
          </cell>
          <cell r="H188">
            <v>0</v>
          </cell>
          <cell r="K188">
            <v>0</v>
          </cell>
          <cell r="L188">
            <v>0</v>
          </cell>
        </row>
        <row r="189">
          <cell r="C189">
            <v>36206</v>
          </cell>
          <cell r="D189">
            <v>21.75</v>
          </cell>
          <cell r="E189">
            <v>0</v>
          </cell>
          <cell r="F189">
            <v>0</v>
          </cell>
          <cell r="H189">
            <v>0</v>
          </cell>
          <cell r="K189">
            <v>0</v>
          </cell>
        </row>
        <row r="190">
          <cell r="C190">
            <v>36326</v>
          </cell>
          <cell r="D190">
            <v>20.375</v>
          </cell>
          <cell r="E190">
            <v>0</v>
          </cell>
          <cell r="F190">
            <v>0</v>
          </cell>
          <cell r="H190">
            <v>0</v>
          </cell>
          <cell r="K190">
            <v>0</v>
          </cell>
        </row>
        <row r="191">
          <cell r="C191">
            <v>36361</v>
          </cell>
          <cell r="D191">
            <v>16.5</v>
          </cell>
          <cell r="E191">
            <v>0</v>
          </cell>
          <cell r="F191">
            <v>0</v>
          </cell>
          <cell r="H191">
            <v>0</v>
          </cell>
          <cell r="K191">
            <v>0</v>
          </cell>
        </row>
        <row r="192">
          <cell r="C192">
            <v>36600</v>
          </cell>
          <cell r="D192">
            <v>17</v>
          </cell>
          <cell r="E192">
            <v>0</v>
          </cell>
          <cell r="F192">
            <v>0</v>
          </cell>
          <cell r="H192">
            <v>0</v>
          </cell>
          <cell r="K192">
            <v>0</v>
          </cell>
        </row>
        <row r="193">
          <cell r="C193">
            <v>36692</v>
          </cell>
          <cell r="D193">
            <v>17</v>
          </cell>
          <cell r="E193">
            <v>0</v>
          </cell>
          <cell r="F193">
            <v>0</v>
          </cell>
          <cell r="H193">
            <v>0</v>
          </cell>
          <cell r="K193">
            <v>0</v>
          </cell>
        </row>
        <row r="194">
          <cell r="C194">
            <v>36708</v>
          </cell>
          <cell r="D194">
            <v>17</v>
          </cell>
          <cell r="E194">
            <v>0</v>
          </cell>
          <cell r="F194">
            <v>0</v>
          </cell>
          <cell r="H194">
            <v>0</v>
          </cell>
          <cell r="K194">
            <v>0</v>
          </cell>
        </row>
        <row r="195">
          <cell r="C195">
            <v>36800</v>
          </cell>
          <cell r="D195">
            <v>16</v>
          </cell>
          <cell r="E195">
            <v>0</v>
          </cell>
          <cell r="F195">
            <v>0</v>
          </cell>
          <cell r="H195">
            <v>0</v>
          </cell>
          <cell r="K195">
            <v>0</v>
          </cell>
        </row>
        <row r="196">
          <cell r="C196">
            <v>36937</v>
          </cell>
          <cell r="D196">
            <v>18</v>
          </cell>
          <cell r="E196">
            <v>0</v>
          </cell>
          <cell r="H196">
            <v>0</v>
          </cell>
          <cell r="K196">
            <v>0</v>
          </cell>
        </row>
        <row r="197">
          <cell r="C197">
            <v>37026</v>
          </cell>
          <cell r="D197">
            <v>18</v>
          </cell>
          <cell r="E197">
            <v>0</v>
          </cell>
          <cell r="H197">
            <v>0</v>
          </cell>
          <cell r="K197">
            <v>0</v>
          </cell>
        </row>
        <row r="198">
          <cell r="C198">
            <v>37164</v>
          </cell>
          <cell r="D198">
            <v>16.12</v>
          </cell>
          <cell r="E198">
            <v>0</v>
          </cell>
          <cell r="F198">
            <v>0</v>
          </cell>
          <cell r="H198">
            <v>0</v>
          </cell>
          <cell r="K198">
            <v>0</v>
          </cell>
        </row>
        <row r="199">
          <cell r="C199">
            <v>37104</v>
          </cell>
          <cell r="D199">
            <v>16.240900000000003</v>
          </cell>
          <cell r="E199">
            <v>0</v>
          </cell>
          <cell r="F199">
            <v>0</v>
          </cell>
          <cell r="H199">
            <v>0</v>
          </cell>
          <cell r="K199">
            <v>0</v>
          </cell>
        </row>
        <row r="200">
          <cell r="C200">
            <v>37179</v>
          </cell>
          <cell r="D200">
            <v>16.362706750000005</v>
          </cell>
          <cell r="E200">
            <v>0</v>
          </cell>
          <cell r="F200">
            <v>0</v>
          </cell>
          <cell r="H200">
            <v>0</v>
          </cell>
          <cell r="K200">
            <v>0</v>
          </cell>
        </row>
        <row r="201">
          <cell r="C201">
            <v>37483</v>
          </cell>
          <cell r="D201">
            <v>16.100000000000001</v>
          </cell>
          <cell r="E201">
            <v>0</v>
          </cell>
          <cell r="F201">
            <v>0</v>
          </cell>
          <cell r="H201">
            <v>0</v>
          </cell>
          <cell r="K201">
            <v>0</v>
          </cell>
        </row>
        <row r="202">
          <cell r="C202">
            <v>37529</v>
          </cell>
          <cell r="D202">
            <v>16.86</v>
          </cell>
          <cell r="E202">
            <v>0</v>
          </cell>
          <cell r="F202">
            <v>0</v>
          </cell>
          <cell r="H202">
            <v>0</v>
          </cell>
          <cell r="K202">
            <v>0</v>
          </cell>
        </row>
        <row r="203">
          <cell r="C203">
            <v>37620.25</v>
          </cell>
          <cell r="D203">
            <v>9.39</v>
          </cell>
          <cell r="E203">
            <v>0</v>
          </cell>
          <cell r="F203">
            <v>0</v>
          </cell>
          <cell r="H203">
            <v>0</v>
          </cell>
          <cell r="K203">
            <v>0</v>
          </cell>
        </row>
        <row r="204">
          <cell r="C204">
            <v>37711.5</v>
          </cell>
          <cell r="D204">
            <v>9.39</v>
          </cell>
          <cell r="E204">
            <v>0</v>
          </cell>
          <cell r="F204">
            <v>0</v>
          </cell>
          <cell r="H204">
            <v>0</v>
          </cell>
          <cell r="K204">
            <v>0</v>
          </cell>
        </row>
        <row r="205">
          <cell r="C205">
            <v>37802.75</v>
          </cell>
          <cell r="D205">
            <v>9.39</v>
          </cell>
          <cell r="E205">
            <v>0</v>
          </cell>
          <cell r="F205">
            <v>0</v>
          </cell>
          <cell r="H205">
            <v>0</v>
          </cell>
          <cell r="K205">
            <v>0</v>
          </cell>
        </row>
        <row r="206">
          <cell r="C206">
            <v>37894</v>
          </cell>
          <cell r="D206">
            <v>9.39</v>
          </cell>
          <cell r="E206">
            <v>0</v>
          </cell>
          <cell r="F206">
            <v>0</v>
          </cell>
          <cell r="H206">
            <v>0</v>
          </cell>
          <cell r="K206">
            <v>0</v>
          </cell>
        </row>
        <row r="207">
          <cell r="C207">
            <v>37985.25</v>
          </cell>
          <cell r="D207">
            <v>9.39</v>
          </cell>
          <cell r="E207">
            <v>0</v>
          </cell>
          <cell r="F207">
            <v>0</v>
          </cell>
          <cell r="H207">
            <v>0</v>
          </cell>
          <cell r="K207">
            <v>0</v>
          </cell>
        </row>
        <row r="208">
          <cell r="C208">
            <v>38076.5</v>
          </cell>
          <cell r="D208">
            <v>9.39</v>
          </cell>
          <cell r="E208">
            <v>0</v>
          </cell>
          <cell r="F208">
            <v>0</v>
          </cell>
          <cell r="H208">
            <v>0</v>
          </cell>
          <cell r="K208">
            <v>0</v>
          </cell>
        </row>
      </sheetData>
      <sheetData sheetId="17" refreshError="1">
        <row r="5">
          <cell r="BU5" t="str">
            <v>1998A</v>
          </cell>
          <cell r="BV5" t="str">
            <v>1999A</v>
          </cell>
          <cell r="BW5" t="str">
            <v>2000E</v>
          </cell>
          <cell r="BX5" t="str">
            <v>2001E</v>
          </cell>
          <cell r="BY5" t="str">
            <v>2002A</v>
          </cell>
        </row>
        <row r="8">
          <cell r="BU8">
            <v>0</v>
          </cell>
          <cell r="BV8">
            <v>7279</v>
          </cell>
          <cell r="BW8">
            <v>6390</v>
          </cell>
          <cell r="BX8">
            <v>8881</v>
          </cell>
          <cell r="BY8">
            <v>933</v>
          </cell>
        </row>
        <row r="9">
          <cell r="BU9">
            <v>0</v>
          </cell>
          <cell r="BV9">
            <v>10.6</v>
          </cell>
          <cell r="BW9">
            <v>11.1</v>
          </cell>
          <cell r="BX9">
            <v>13.08</v>
          </cell>
          <cell r="BY9">
            <v>12.181886387995714</v>
          </cell>
        </row>
        <row r="10">
          <cell r="BU10">
            <v>0</v>
          </cell>
          <cell r="BV10">
            <v>13.666025552960571</v>
          </cell>
          <cell r="BW10">
            <v>14.046636932707353</v>
          </cell>
          <cell r="BX10">
            <v>14.976599999999998</v>
          </cell>
          <cell r="BY10">
            <v>18.700024758603618</v>
          </cell>
        </row>
        <row r="11">
          <cell r="BU11">
            <v>0</v>
          </cell>
          <cell r="BV11">
            <v>77157.399999999994</v>
          </cell>
          <cell r="BW11">
            <v>70929</v>
          </cell>
          <cell r="BX11">
            <v>116163.48</v>
          </cell>
          <cell r="BY11">
            <v>11365.7</v>
          </cell>
        </row>
        <row r="12">
          <cell r="BU12">
            <v>0</v>
          </cell>
          <cell r="BV12">
            <v>1596</v>
          </cell>
          <cell r="BW12">
            <v>1467.9045750000028</v>
          </cell>
          <cell r="BX12">
            <v>-10993.87276200001</v>
          </cell>
          <cell r="BY12">
            <v>-27123.824911611813</v>
          </cell>
        </row>
        <row r="13">
          <cell r="BU13">
            <v>0</v>
          </cell>
          <cell r="BV13">
            <v>99475</v>
          </cell>
          <cell r="BW13">
            <v>89758.00999999998</v>
          </cell>
          <cell r="BX13">
            <v>133007.18459999998</v>
          </cell>
          <cell r="BY13">
            <v>26170.68464966576</v>
          </cell>
        </row>
        <row r="14">
          <cell r="BU14">
            <v>0</v>
          </cell>
          <cell r="BV14">
            <v>0</v>
          </cell>
          <cell r="BW14">
            <v>1546.7720249999916</v>
          </cell>
          <cell r="BX14">
            <v>1462.4579594999952</v>
          </cell>
          <cell r="BY14">
            <v>-4500.4225654865131</v>
          </cell>
        </row>
        <row r="17">
          <cell r="BU17">
            <v>0</v>
          </cell>
          <cell r="BV17">
            <v>0</v>
          </cell>
          <cell r="BW17">
            <v>10000</v>
          </cell>
          <cell r="BX17">
            <v>9000</v>
          </cell>
          <cell r="BY17">
            <v>5000</v>
          </cell>
        </row>
        <row r="18">
          <cell r="BU18">
            <v>0</v>
          </cell>
          <cell r="BV18">
            <v>0</v>
          </cell>
          <cell r="BW18">
            <v>625</v>
          </cell>
          <cell r="BX18">
            <v>2250</v>
          </cell>
          <cell r="BY18">
            <v>5000</v>
          </cell>
        </row>
        <row r="24">
          <cell r="BU24">
            <v>5816</v>
          </cell>
          <cell r="BV24">
            <v>7279</v>
          </cell>
          <cell r="BW24">
            <v>6390</v>
          </cell>
          <cell r="BX24">
            <v>8881</v>
          </cell>
          <cell r="BY24">
            <v>1399.5</v>
          </cell>
        </row>
        <row r="25">
          <cell r="BU25">
            <v>1198</v>
          </cell>
          <cell r="BV25">
            <v>83.5</v>
          </cell>
          <cell r="BW25">
            <v>58.201875000000072</v>
          </cell>
          <cell r="BX25">
            <v>74.75125000000007</v>
          </cell>
          <cell r="BY25">
            <v>0</v>
          </cell>
        </row>
        <row r="26">
          <cell r="BU26">
            <v>17</v>
          </cell>
          <cell r="BV26">
            <v>15.5</v>
          </cell>
          <cell r="BW26">
            <v>13.601587921874998</v>
          </cell>
          <cell r="BX26">
            <v>14.385268458984376</v>
          </cell>
          <cell r="BY26">
            <v>17.753328402352416</v>
          </cell>
        </row>
        <row r="27">
          <cell r="BU27">
            <v>0.85076423536865442</v>
          </cell>
          <cell r="BV27">
            <v>0.84368041538911909</v>
          </cell>
          <cell r="BW27">
            <v>0.8</v>
          </cell>
          <cell r="BX27">
            <v>0.8</v>
          </cell>
          <cell r="BY27">
            <v>0.8</v>
          </cell>
        </row>
        <row r="28">
          <cell r="BU28">
            <v>84116.761479369598</v>
          </cell>
          <cell r="BV28">
            <v>95187.821026069665</v>
          </cell>
          <cell r="BW28">
            <v>69531.317456624995</v>
          </cell>
          <cell r="BX28">
            <v>102204.4553473922</v>
          </cell>
          <cell r="BY28">
            <v>19876.626479273764</v>
          </cell>
        </row>
        <row r="29">
          <cell r="BU29">
            <v>17326.664417518015</v>
          </cell>
          <cell r="BV29">
            <v>1091.9333776173673</v>
          </cell>
          <cell r="BW29">
            <v>633.31033602438356</v>
          </cell>
          <cell r="BX29">
            <v>860.25343911572554</v>
          </cell>
          <cell r="BY29">
            <v>0</v>
          </cell>
        </row>
        <row r="32">
          <cell r="BU32">
            <v>0</v>
          </cell>
          <cell r="BV32">
            <v>0</v>
          </cell>
          <cell r="BW32">
            <v>0</v>
          </cell>
          <cell r="BX32">
            <v>0</v>
          </cell>
          <cell r="BY32">
            <v>0</v>
          </cell>
        </row>
        <row r="33">
          <cell r="BU33">
            <v>0</v>
          </cell>
          <cell r="BV33">
            <v>9.0909090909090912E-2</v>
          </cell>
          <cell r="BW33">
            <v>9.0909090909090912E-2</v>
          </cell>
          <cell r="BX33">
            <v>9.0909090909090912E-2</v>
          </cell>
          <cell r="BY33">
            <v>0</v>
          </cell>
        </row>
        <row r="34">
          <cell r="BU34">
            <v>0</v>
          </cell>
          <cell r="BV34">
            <v>15.5</v>
          </cell>
          <cell r="BW34">
            <v>13.601587921874998</v>
          </cell>
          <cell r="BX34">
            <v>14.385268458984376</v>
          </cell>
          <cell r="BY34">
            <v>17.753328402352416</v>
          </cell>
        </row>
        <row r="35">
          <cell r="BU35">
            <v>0</v>
          </cell>
          <cell r="BV35">
            <v>0</v>
          </cell>
          <cell r="BW35">
            <v>0</v>
          </cell>
          <cell r="BX35">
            <v>0</v>
          </cell>
          <cell r="BY35">
            <v>0</v>
          </cell>
        </row>
        <row r="37">
          <cell r="BU37">
            <v>84116.761479369598</v>
          </cell>
          <cell r="BV37">
            <v>95187.821026069665</v>
          </cell>
          <cell r="BW37">
            <v>69531.317456624995</v>
          </cell>
          <cell r="BX37">
            <v>102204.4553473922</v>
          </cell>
          <cell r="BY37">
            <v>19876.626479273764</v>
          </cell>
        </row>
        <row r="40">
          <cell r="BU40">
            <v>17326.664417518015</v>
          </cell>
          <cell r="BV40">
            <v>1091.9333776173673</v>
          </cell>
          <cell r="BW40">
            <v>633.31033602438356</v>
          </cell>
          <cell r="BX40">
            <v>860.25343911572554</v>
          </cell>
          <cell r="BY40">
            <v>0</v>
          </cell>
        </row>
        <row r="43">
          <cell r="BU43">
            <v>63135</v>
          </cell>
          <cell r="BV43">
            <v>67350</v>
          </cell>
          <cell r="BW43">
            <v>67350</v>
          </cell>
          <cell r="BX43">
            <v>48842</v>
          </cell>
          <cell r="BY43">
            <v>48983</v>
          </cell>
        </row>
        <row r="44">
          <cell r="BU44">
            <v>53713</v>
          </cell>
          <cell r="BV44">
            <v>57921</v>
          </cell>
          <cell r="BW44">
            <v>42715</v>
          </cell>
          <cell r="BX44">
            <v>41323</v>
          </cell>
          <cell r="BY44">
            <v>41442</v>
          </cell>
        </row>
        <row r="45">
          <cell r="BU45">
            <v>0.13</v>
          </cell>
          <cell r="BV45">
            <v>0.05</v>
          </cell>
          <cell r="BW45">
            <v>0.05</v>
          </cell>
          <cell r="BX45">
            <v>0.05</v>
          </cell>
          <cell r="BY45">
            <v>0.05</v>
          </cell>
        </row>
        <row r="47">
          <cell r="BU47">
            <v>23500</v>
          </cell>
          <cell r="BV47">
            <v>1000</v>
          </cell>
          <cell r="BW47">
            <v>1000</v>
          </cell>
          <cell r="BX47">
            <v>0</v>
          </cell>
          <cell r="BY47">
            <v>2285</v>
          </cell>
        </row>
        <row r="48">
          <cell r="BU48">
            <v>6700</v>
          </cell>
          <cell r="BV48">
            <v>500</v>
          </cell>
          <cell r="BW48">
            <v>500</v>
          </cell>
          <cell r="BX48">
            <v>0</v>
          </cell>
          <cell r="BY48">
            <v>2076</v>
          </cell>
        </row>
        <row r="49">
          <cell r="BU49">
            <v>5800</v>
          </cell>
          <cell r="BV49">
            <v>500</v>
          </cell>
          <cell r="BW49">
            <v>500</v>
          </cell>
          <cell r="BX49">
            <v>0</v>
          </cell>
          <cell r="BY49">
            <v>0</v>
          </cell>
        </row>
        <row r="50">
          <cell r="BU50">
            <v>0.1</v>
          </cell>
          <cell r="BV50">
            <v>0.125</v>
          </cell>
          <cell r="BW50">
            <v>0.125</v>
          </cell>
          <cell r="BX50">
            <v>0.125</v>
          </cell>
          <cell r="BY50">
            <v>0.125</v>
          </cell>
        </row>
        <row r="52">
          <cell r="BU52">
            <v>0</v>
          </cell>
          <cell r="BV52">
            <v>0</v>
          </cell>
          <cell r="BW52">
            <v>0</v>
          </cell>
          <cell r="BX52">
            <v>0</v>
          </cell>
          <cell r="BY52">
            <v>0</v>
          </cell>
        </row>
        <row r="53">
          <cell r="BU53">
            <v>0.13</v>
          </cell>
          <cell r="BV53">
            <v>0.05</v>
          </cell>
          <cell r="BW53">
            <v>0.05</v>
          </cell>
          <cell r="BX53">
            <v>0.05</v>
          </cell>
          <cell r="BY53">
            <v>0.05</v>
          </cell>
        </row>
        <row r="55">
          <cell r="BU55">
            <v>20885.690000000002</v>
          </cell>
          <cell r="BV55">
            <v>11711.849999999999</v>
          </cell>
          <cell r="BW55">
            <v>9937.9500000000007</v>
          </cell>
          <cell r="BX55">
            <v>8528.7999999999993</v>
          </cell>
          <cell r="BY55">
            <v>8288.4</v>
          </cell>
        </row>
        <row r="57">
          <cell r="BU57">
            <v>105002.4514793696</v>
          </cell>
          <cell r="BV57">
            <v>11711.849999999999</v>
          </cell>
          <cell r="BW57">
            <v>79349.677877399983</v>
          </cell>
          <cell r="BX57">
            <v>111387.33592065626</v>
          </cell>
          <cell r="BY57">
            <v>28165.854620281687</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T Screen"/>
      <sheetName val="Exclusion List"/>
      <sheetName val="MVT Demo"/>
      <sheetName val="OIT Screening"/>
      <sheetName val="Inputs"/>
      <sheetName val="GWP-WLine"/>
      <sheetName val="Forward Curves"/>
      <sheetName val="Data"/>
      <sheetName val="All Sum"/>
      <sheetName val="Broadcast Comps"/>
      <sheetName val="UTX"/>
      <sheetName val="Cash Flow-Industrial"/>
      <sheetName val="Geo"/>
      <sheetName val="DCF"/>
      <sheetName val="Annual-consolidated"/>
      <sheetName val="Qtrly Inc St"/>
      <sheetName val="Bal Sheet - Cons."/>
      <sheetName val="Bal Sheet-Industrial"/>
      <sheetName val="Cash Flow - Cons."/>
      <sheetName val="CENMODEL"/>
      <sheetName val="MultipleSecurities"/>
      <sheetName val="Consol_Income"/>
      <sheetName val="Financials"/>
    </sheetNames>
    <sheetDataSet>
      <sheetData sheetId="0" refreshError="1"/>
      <sheetData sheetId="1" refreshError="1">
        <row r="1">
          <cell r="A1" t="str">
            <v>ticker</v>
          </cell>
        </row>
        <row r="2">
          <cell r="A2" t="str">
            <v>ABP.L</v>
          </cell>
        </row>
        <row r="3">
          <cell r="A3" t="str">
            <v>AGG.L</v>
          </cell>
        </row>
        <row r="4">
          <cell r="A4" t="str">
            <v>AHLN.AS</v>
          </cell>
        </row>
        <row r="5">
          <cell r="A5" t="str">
            <v>AHo.N</v>
          </cell>
        </row>
        <row r="6">
          <cell r="A6" t="str">
            <v>AIRF.PA</v>
          </cell>
        </row>
        <row r="7">
          <cell r="A7" t="str">
            <v>AKH.N</v>
          </cell>
        </row>
        <row r="8">
          <cell r="A8" t="str">
            <v>AIB.N</v>
          </cell>
        </row>
        <row r="9">
          <cell r="A9" t="str">
            <v>ALBK.I</v>
          </cell>
        </row>
        <row r="10">
          <cell r="A10" t="str">
            <v>ALO.N</v>
          </cell>
        </row>
        <row r="11">
          <cell r="A11" t="str">
            <v>AHC.N</v>
          </cell>
        </row>
        <row r="12">
          <cell r="A12" t="str">
            <v>AMGN.O</v>
          </cell>
        </row>
        <row r="13">
          <cell r="A13" t="str">
            <v>AAL.L</v>
          </cell>
        </row>
        <row r="14">
          <cell r="A14" t="str">
            <v>ANGL.I</v>
          </cell>
        </row>
        <row r="15">
          <cell r="A15" t="str">
            <v>A3TV.MC</v>
          </cell>
        </row>
        <row r="16">
          <cell r="A16" t="str">
            <v>5201.T</v>
          </cell>
        </row>
        <row r="17">
          <cell r="A17" t="str">
            <v>ASGLY.PK</v>
          </cell>
        </row>
        <row r="18">
          <cell r="A18" t="str">
            <v>020560.KQ</v>
          </cell>
        </row>
        <row r="19">
          <cell r="A19" t="str">
            <v>ASSAb.ST</v>
          </cell>
        </row>
        <row r="20">
          <cell r="A20" t="str">
            <v>AZN.L</v>
          </cell>
        </row>
        <row r="21">
          <cell r="A21" t="str">
            <v>AZN.N</v>
          </cell>
        </row>
        <row r="22">
          <cell r="A22" t="str">
            <v>AZN.ST</v>
          </cell>
        </row>
        <row r="23">
          <cell r="A23" t="str">
            <v>ATML.O</v>
          </cell>
        </row>
        <row r="24">
          <cell r="A24" t="str">
            <v>AMS.S</v>
          </cell>
        </row>
        <row r="25">
          <cell r="A25" t="str">
            <v>AWG.L</v>
          </cell>
        </row>
        <row r="26">
          <cell r="A26" t="str">
            <v>BBY.L</v>
          </cell>
        </row>
        <row r="27">
          <cell r="A27" t="str">
            <v>BRL.N</v>
          </cell>
        </row>
        <row r="28">
          <cell r="A28" t="str">
            <v>BCOM.BR</v>
          </cell>
        </row>
        <row r="29">
          <cell r="A29" t="str">
            <v>BKG_u.L</v>
          </cell>
        </row>
        <row r="30">
          <cell r="A30" t="str">
            <v>BEZQ.TA</v>
          </cell>
        </row>
        <row r="31">
          <cell r="A31" t="str">
            <v>1114.HK</v>
          </cell>
        </row>
        <row r="32">
          <cell r="A32" t="str">
            <v>CBA.N</v>
          </cell>
        </row>
        <row r="33">
          <cell r="A33" t="str">
            <v>BAB.N</v>
          </cell>
        </row>
        <row r="34">
          <cell r="A34" t="str">
            <v>BAY.L</v>
          </cell>
        </row>
        <row r="35">
          <cell r="A35" t="str">
            <v>BGY.L</v>
          </cell>
        </row>
        <row r="36">
          <cell r="A36" t="str">
            <v>BGY.N</v>
          </cell>
        </row>
        <row r="37">
          <cell r="A37" t="str">
            <v>BSY.L</v>
          </cell>
        </row>
        <row r="38">
          <cell r="A38" t="str">
            <v>BSY.N</v>
          </cell>
        </row>
        <row r="39">
          <cell r="A39" t="str">
            <v>BLGSY.OTC</v>
          </cell>
        </row>
        <row r="40">
          <cell r="A40" t="str">
            <v>BULG.MI</v>
          </cell>
        </row>
        <row r="41">
          <cell r="A41" t="str">
            <v>BNI.N</v>
          </cell>
        </row>
        <row r="42">
          <cell r="A42" t="str">
            <v>CW.L</v>
          </cell>
        </row>
        <row r="43">
          <cell r="A43" t="str">
            <v>CWP.N</v>
          </cell>
        </row>
        <row r="44">
          <cell r="A44" t="str">
            <v>CECO.O</v>
          </cell>
        </row>
        <row r="45">
          <cell r="A45" t="str">
            <v>CASP.PA</v>
          </cell>
        </row>
        <row r="46">
          <cell r="A46" t="str">
            <v>CASP_p.PA</v>
          </cell>
        </row>
        <row r="47">
          <cell r="A47" t="str">
            <v>6952.T</v>
          </cell>
        </row>
        <row r="48">
          <cell r="A48" t="str">
            <v>CSIOY.PK</v>
          </cell>
        </row>
        <row r="49">
          <cell r="A49" t="str">
            <v>0293.HK</v>
          </cell>
        </row>
        <row r="50">
          <cell r="A50" t="str">
            <v>CE.N</v>
          </cell>
        </row>
        <row r="51">
          <cell r="A51" t="str">
            <v>CZ.N</v>
          </cell>
        </row>
        <row r="52">
          <cell r="A52" t="str">
            <v>CNA.L</v>
          </cell>
        </row>
        <row r="53">
          <cell r="A53" t="str">
            <v>CVX.N</v>
          </cell>
        </row>
        <row r="54">
          <cell r="A54" t="str">
            <v>2002.TW</v>
          </cell>
        </row>
        <row r="55">
          <cell r="A55" t="str">
            <v>2002q.L</v>
          </cell>
        </row>
        <row r="56">
          <cell r="A56" t="str">
            <v>2891.TW</v>
          </cell>
        </row>
        <row r="57">
          <cell r="A57" t="str">
            <v>1110.HK</v>
          </cell>
        </row>
        <row r="58">
          <cell r="A58" t="str">
            <v>CBKG.DE</v>
          </cell>
        </row>
        <row r="59">
          <cell r="A59" t="str">
            <v>CRZBY.OTC</v>
          </cell>
        </row>
        <row r="60">
          <cell r="A60" t="str">
            <v>CAL.N</v>
          </cell>
        </row>
        <row r="61">
          <cell r="A61" t="str">
            <v>CHRN.S</v>
          </cell>
        </row>
        <row r="62">
          <cell r="A62" t="str">
            <v>CRBK.BO</v>
          </cell>
        </row>
        <row r="63">
          <cell r="A63" t="str">
            <v>COSr.AT</v>
          </cell>
        </row>
        <row r="64">
          <cell r="A64" t="str">
            <v>CSGKY.OTC</v>
          </cell>
        </row>
        <row r="65">
          <cell r="A65" t="str">
            <v>CSGN.VX</v>
          </cell>
        </row>
        <row r="66">
          <cell r="A66" t="str">
            <v>8601.T</v>
          </cell>
        </row>
        <row r="67">
          <cell r="A67" t="str">
            <v>DSECY.PK</v>
          </cell>
        </row>
        <row r="68">
          <cell r="A68" t="str">
            <v>DES.N</v>
          </cell>
        </row>
        <row r="69">
          <cell r="A69" t="str">
            <v>DESCB.MX</v>
          </cell>
        </row>
        <row r="70">
          <cell r="A70" t="str">
            <v>DT.N</v>
          </cell>
        </row>
        <row r="71">
          <cell r="A71" t="str">
            <v>DTEGn.DE</v>
          </cell>
        </row>
        <row r="72">
          <cell r="A72" t="str">
            <v>DEO.N</v>
          </cell>
        </row>
        <row r="73">
          <cell r="A73" t="str">
            <v>DGE.L</v>
          </cell>
        </row>
        <row r="74">
          <cell r="A74" t="str">
            <v>2884.TW</v>
          </cell>
        </row>
        <row r="75">
          <cell r="A75" t="str">
            <v>ELN.N</v>
          </cell>
        </row>
        <row r="76">
          <cell r="A76" t="str">
            <v>AKD_pb.SN</v>
          </cell>
        </row>
        <row r="77">
          <cell r="A77" t="str">
            <v>AKOa.N</v>
          </cell>
        </row>
        <row r="78">
          <cell r="A78" t="str">
            <v>AKOb.N</v>
          </cell>
        </row>
        <row r="79">
          <cell r="A79" t="str">
            <v>AND_pa.SN</v>
          </cell>
        </row>
        <row r="80">
          <cell r="A80" t="str">
            <v>END.SN</v>
          </cell>
        </row>
        <row r="81">
          <cell r="A81" t="str">
            <v>EOC.N</v>
          </cell>
        </row>
        <row r="82">
          <cell r="A82" t="str">
            <v>ENE.SN</v>
          </cell>
        </row>
        <row r="83">
          <cell r="A83" t="str">
            <v>ENI.N</v>
          </cell>
        </row>
        <row r="84">
          <cell r="A84" t="str">
            <v>2618.TW</v>
          </cell>
        </row>
        <row r="85">
          <cell r="A85" t="str">
            <v>XJT.N</v>
          </cell>
        </row>
        <row r="86">
          <cell r="A86" t="str">
            <v>XOM.N</v>
          </cell>
        </row>
        <row r="87">
          <cell r="A87" t="str">
            <v>FAMVY.OTC</v>
          </cell>
        </row>
        <row r="88">
          <cell r="A88" t="str">
            <v>FOR.AS</v>
          </cell>
        </row>
        <row r="89">
          <cell r="A89" t="str">
            <v>FOR.BR</v>
          </cell>
        </row>
        <row r="90">
          <cell r="A90" t="str">
            <v>FRNT.O</v>
          </cell>
        </row>
        <row r="91">
          <cell r="A91" t="str">
            <v>2817.TW</v>
          </cell>
        </row>
        <row r="92">
          <cell r="A92" t="str">
            <v>2881.TW</v>
          </cell>
        </row>
        <row r="93">
          <cell r="A93" t="str">
            <v>2881q.L</v>
          </cell>
        </row>
        <row r="94">
          <cell r="A94" t="str">
            <v>GAZPq.L</v>
          </cell>
        </row>
        <row r="95">
          <cell r="A95" t="str">
            <v>RADGYP.OTC</v>
          </cell>
        </row>
        <row r="96">
          <cell r="A96" t="str">
            <v>GFCP.PA</v>
          </cell>
        </row>
        <row r="97">
          <cell r="A97" t="str">
            <v>GD.N</v>
          </cell>
        </row>
        <row r="98">
          <cell r="A98" t="str">
            <v>GASI.MI</v>
          </cell>
        </row>
        <row r="99">
          <cell r="A99" t="str">
            <v>GNW.N</v>
          </cell>
        </row>
        <row r="100">
          <cell r="A100" t="str">
            <v>TL5.MC</v>
          </cell>
        </row>
        <row r="101">
          <cell r="A101" t="str">
            <v>GRAS.BO</v>
          </cell>
        </row>
        <row r="102">
          <cell r="A102" t="str">
            <v>GFS.L</v>
          </cell>
        </row>
        <row r="103">
          <cell r="A103" t="str">
            <v>ASR.N</v>
          </cell>
        </row>
        <row r="104">
          <cell r="A104" t="str">
            <v>ASUR.MX</v>
          </cell>
        </row>
        <row r="105">
          <cell r="A105" t="str">
            <v>GCARSOA1.MX</v>
          </cell>
        </row>
        <row r="106">
          <cell r="A106" t="str">
            <v>GPOOY.O</v>
          </cell>
        </row>
        <row r="107">
          <cell r="A107" t="str">
            <v>PRS.MC</v>
          </cell>
        </row>
        <row r="108">
          <cell r="A108" t="str">
            <v>HAN.N</v>
          </cell>
        </row>
        <row r="109">
          <cell r="A109" t="str">
            <v>HNS.L</v>
          </cell>
        </row>
        <row r="110">
          <cell r="A110" t="str">
            <v>HAS.L</v>
          </cell>
        </row>
        <row r="111">
          <cell r="A111" t="str">
            <v>HRMS.PA</v>
          </cell>
        </row>
        <row r="112">
          <cell r="A112" t="str">
            <v>HLT.N</v>
          </cell>
        </row>
        <row r="113">
          <cell r="A113" t="str">
            <v>HOLMb.ST</v>
          </cell>
        </row>
        <row r="114">
          <cell r="A114" t="str">
            <v>011170.KS</v>
          </cell>
        </row>
        <row r="115">
          <cell r="A115" t="str">
            <v>HMT.N</v>
          </cell>
        </row>
        <row r="116">
          <cell r="A116" t="str">
            <v>HVMG.DE</v>
          </cell>
        </row>
        <row r="117">
          <cell r="A117" t="str">
            <v>HVMGY.OTC</v>
          </cell>
        </row>
        <row r="118">
          <cell r="A118" t="str">
            <v>012330.KS</v>
          </cell>
        </row>
        <row r="119">
          <cell r="A119" t="str">
            <v>IBE.MC</v>
          </cell>
        </row>
        <row r="120">
          <cell r="A120" t="str">
            <v>IBLA.MC</v>
          </cell>
        </row>
        <row r="121">
          <cell r="A121" t="str">
            <v>ITX.MC</v>
          </cell>
        </row>
        <row r="122">
          <cell r="A122" t="str">
            <v>ING.AS</v>
          </cell>
        </row>
        <row r="123">
          <cell r="A123" t="str">
            <v>ING.N</v>
          </cell>
        </row>
        <row r="124">
          <cell r="A124" t="str">
            <v>IPR.L</v>
          </cell>
        </row>
        <row r="125">
          <cell r="A125" t="str">
            <v>IPR.N</v>
          </cell>
        </row>
        <row r="126">
          <cell r="A126" t="str">
            <v>ITRK.L</v>
          </cell>
        </row>
        <row r="127">
          <cell r="A127" t="str">
            <v>JCDX.PA</v>
          </cell>
        </row>
        <row r="128">
          <cell r="A128" t="str">
            <v>KEL.L</v>
          </cell>
        </row>
        <row r="129">
          <cell r="A129" t="str">
            <v>KPN.AS</v>
          </cell>
        </row>
        <row r="130">
          <cell r="A130" t="str">
            <v>KPN.N</v>
          </cell>
        </row>
        <row r="131">
          <cell r="A131" t="str">
            <v>LQI.N</v>
          </cell>
        </row>
        <row r="132">
          <cell r="A132" t="str">
            <v>LH.N</v>
          </cell>
        </row>
        <row r="133">
          <cell r="A133" t="str">
            <v>0992.HK</v>
          </cell>
        </row>
        <row r="134">
          <cell r="A134" t="str">
            <v>LGHLY.O</v>
          </cell>
        </row>
        <row r="135">
          <cell r="A135" t="str">
            <v>LING.DE</v>
          </cell>
        </row>
        <row r="136">
          <cell r="A136" t="str">
            <v>LAD.N</v>
          </cell>
        </row>
        <row r="137">
          <cell r="A137" t="str">
            <v>LOG.L</v>
          </cell>
        </row>
        <row r="138">
          <cell r="A138" t="str">
            <v>LMI.L</v>
          </cell>
        </row>
        <row r="139">
          <cell r="A139" t="str">
            <v>LKOH.RTS</v>
          </cell>
        </row>
        <row r="140">
          <cell r="A140" t="str">
            <v>LUKOY.OTC</v>
          </cell>
        </row>
        <row r="141">
          <cell r="A141" t="str">
            <v>LUN.CO</v>
          </cell>
        </row>
        <row r="142">
          <cell r="A142" t="str">
            <v>LYO.N</v>
          </cell>
        </row>
        <row r="143">
          <cell r="A143" t="str">
            <v>MANG.DE</v>
          </cell>
        </row>
        <row r="144">
          <cell r="A144" t="str">
            <v>MANG_p.DE</v>
          </cell>
        </row>
        <row r="145">
          <cell r="A145" t="str">
            <v>MOLB.BU</v>
          </cell>
        </row>
        <row r="146">
          <cell r="A146" t="str">
            <v>MOLBq.L</v>
          </cell>
        </row>
        <row r="147">
          <cell r="A147" t="str">
            <v>MRLAV.HE</v>
          </cell>
        </row>
        <row r="148">
          <cell r="A148" t="str">
            <v>MRLBV.HE</v>
          </cell>
        </row>
        <row r="149">
          <cell r="A149" t="str">
            <v>NGT.L</v>
          </cell>
        </row>
        <row r="150">
          <cell r="A150" t="str">
            <v>NGT.N</v>
          </cell>
        </row>
        <row r="151">
          <cell r="A151" t="str">
            <v>NXT.L</v>
          </cell>
        </row>
        <row r="152">
          <cell r="A152" t="str">
            <v>NHH.MC</v>
          </cell>
        </row>
        <row r="153">
          <cell r="A153" t="str">
            <v>8603.T</v>
          </cell>
        </row>
        <row r="154">
          <cell r="A154" t="str">
            <v>NIKOY.PK</v>
          </cell>
        </row>
        <row r="155">
          <cell r="A155" t="str">
            <v>NSG.OL</v>
          </cell>
        </row>
        <row r="156">
          <cell r="A156" t="str">
            <v>NSG.OTC</v>
          </cell>
        </row>
        <row r="157">
          <cell r="A157" t="str">
            <v>NSGB.OL</v>
          </cell>
        </row>
        <row r="158">
          <cell r="A158" t="str">
            <v>NOC.N</v>
          </cell>
        </row>
        <row r="159">
          <cell r="A159" t="str">
            <v>NVDA.O</v>
          </cell>
        </row>
        <row r="160">
          <cell r="A160" t="str">
            <v>OMVKY.OTC</v>
          </cell>
        </row>
        <row r="161">
          <cell r="A161" t="str">
            <v>OMVV.VI</v>
          </cell>
        </row>
        <row r="162">
          <cell r="A162" t="str">
            <v>ORBC.BO</v>
          </cell>
        </row>
        <row r="163">
          <cell r="A163" t="str">
            <v>0008.HK</v>
          </cell>
        </row>
        <row r="164">
          <cell r="A164" t="str">
            <v>PCW.N</v>
          </cell>
        </row>
        <row r="165">
          <cell r="A165" t="str">
            <v>PNN.L</v>
          </cell>
        </row>
        <row r="166">
          <cell r="A166" t="str">
            <v>PDRDY.OTC</v>
          </cell>
        </row>
        <row r="167">
          <cell r="A167" t="str">
            <v>PERP.PA</v>
          </cell>
        </row>
        <row r="168">
          <cell r="A168" t="str">
            <v>PER.BA</v>
          </cell>
        </row>
        <row r="169">
          <cell r="A169" t="str">
            <v>PZE.N</v>
          </cell>
        </row>
        <row r="170">
          <cell r="A170" t="str">
            <v>PNCL.O</v>
          </cell>
        </row>
        <row r="171">
          <cell r="A171" t="str">
            <v>PT.N</v>
          </cell>
        </row>
        <row r="172">
          <cell r="A172" t="str">
            <v>PTCO.IN</v>
          </cell>
        </row>
        <row r="173">
          <cell r="A173" t="str">
            <v>PPS.N</v>
          </cell>
        </row>
        <row r="174">
          <cell r="A174" t="str">
            <v>DPBGn.DE</v>
          </cell>
        </row>
        <row r="175">
          <cell r="A175" t="str">
            <v>PCO.N</v>
          </cell>
        </row>
        <row r="176">
          <cell r="A176" t="str">
            <v>PFG.N</v>
          </cell>
        </row>
        <row r="177">
          <cell r="A177" t="str">
            <v>PSMG_p.DE</v>
          </cell>
        </row>
        <row r="178">
          <cell r="A178" t="str">
            <v>PEUGY.OTC</v>
          </cell>
        </row>
        <row r="179">
          <cell r="A179" t="str">
            <v>PEUP.PA</v>
          </cell>
        </row>
        <row r="180">
          <cell r="A180" t="str">
            <v>PUBP.PA</v>
          </cell>
        </row>
        <row r="181">
          <cell r="A181" t="str">
            <v>PUMG.DE</v>
          </cell>
        </row>
        <row r="182">
          <cell r="A182" t="str">
            <v>PUMG.OTC</v>
          </cell>
        </row>
        <row r="183">
          <cell r="A183" t="str">
            <v>RANB.BO</v>
          </cell>
        </row>
        <row r="184">
          <cell r="A184" t="str">
            <v>RANBq.L</v>
          </cell>
        </row>
        <row r="185">
          <cell r="A185" t="str">
            <v>RTN.N</v>
          </cell>
        </row>
        <row r="186">
          <cell r="A186" t="str">
            <v>RTNa.N</v>
          </cell>
        </row>
        <row r="187">
          <cell r="A187" t="str">
            <v>RCOP.PA</v>
          </cell>
        </row>
        <row r="188">
          <cell r="A188" t="str">
            <v>RENA.PA</v>
          </cell>
        </row>
        <row r="189">
          <cell r="A189" t="str">
            <v>RSA.L</v>
          </cell>
        </row>
        <row r="190">
          <cell r="A190" t="str">
            <v>SBS.N</v>
          </cell>
        </row>
        <row r="191">
          <cell r="A191" t="str">
            <v>SBSP3.SA</v>
          </cell>
        </row>
        <row r="192">
          <cell r="A192" t="str">
            <v>005930.KS</v>
          </cell>
        </row>
        <row r="193">
          <cell r="A193" t="str">
            <v>0593q.L</v>
          </cell>
        </row>
        <row r="194">
          <cell r="A194" t="str">
            <v>SANM.O</v>
          </cell>
        </row>
        <row r="195">
          <cell r="A195" t="str">
            <v>SASY.PA</v>
          </cell>
        </row>
        <row r="196">
          <cell r="A196" t="str">
            <v>SNY.N</v>
          </cell>
        </row>
        <row r="197">
          <cell r="A197" t="str">
            <v>SAPJ.J</v>
          </cell>
        </row>
        <row r="198">
          <cell r="A198" t="str">
            <v>SPP.N</v>
          </cell>
        </row>
        <row r="199">
          <cell r="A199" t="str">
            <v>SAS.ST</v>
          </cell>
        </row>
        <row r="200">
          <cell r="A200" t="str">
            <v>SCAb.ST</v>
          </cell>
        </row>
        <row r="201">
          <cell r="A201" t="str">
            <v>SVCBY.OTC</v>
          </cell>
        </row>
        <row r="202">
          <cell r="A202" t="str">
            <v>SCHG.DE</v>
          </cell>
        </row>
        <row r="203">
          <cell r="A203" t="str">
            <v>SCO.N</v>
          </cell>
        </row>
        <row r="204">
          <cell r="A204" t="str">
            <v>SCOR.PA</v>
          </cell>
        </row>
        <row r="205">
          <cell r="A205" t="str">
            <v>SPI.N</v>
          </cell>
        </row>
        <row r="206">
          <cell r="A206" t="str">
            <v>SPW.L</v>
          </cell>
        </row>
        <row r="207">
          <cell r="A207" t="str">
            <v>SVT.L</v>
          </cell>
        </row>
        <row r="208">
          <cell r="A208" t="str">
            <v>8184.T</v>
          </cell>
        </row>
        <row r="209">
          <cell r="A209" t="str">
            <v>SHI.L</v>
          </cell>
        </row>
        <row r="210">
          <cell r="A210" t="str">
            <v>2890.TW</v>
          </cell>
        </row>
        <row r="211">
          <cell r="A211" t="str">
            <v>SKFa.ST</v>
          </cell>
        </row>
        <row r="212">
          <cell r="A212" t="str">
            <v>SKFb.ST</v>
          </cell>
        </row>
        <row r="213">
          <cell r="A213" t="str">
            <v>SKFR.O</v>
          </cell>
        </row>
        <row r="214">
          <cell r="A214" t="str">
            <v>SCGLY.OTC</v>
          </cell>
        </row>
        <row r="215">
          <cell r="A215" t="str">
            <v>SOGN.PA</v>
          </cell>
        </row>
        <row r="216">
          <cell r="A216" t="str">
            <v>6758.T</v>
          </cell>
        </row>
        <row r="217">
          <cell r="A217" t="str">
            <v>SNE.N</v>
          </cell>
        </row>
        <row r="218">
          <cell r="A218" t="str">
            <v>SGC.L</v>
          </cell>
        </row>
        <row r="219">
          <cell r="A219" t="str">
            <v>SEO.N</v>
          </cell>
        </row>
        <row r="220">
          <cell r="A220" t="str">
            <v>STERV.HE</v>
          </cell>
        </row>
        <row r="221">
          <cell r="A221" t="str">
            <v>LYOE.PA</v>
          </cell>
        </row>
        <row r="222">
          <cell r="A222" t="str">
            <v>5713.T</v>
          </cell>
        </row>
        <row r="223">
          <cell r="A223" t="str">
            <v>SLF.TO</v>
          </cell>
        </row>
        <row r="224">
          <cell r="A224" t="str">
            <v>SHO.N</v>
          </cell>
        </row>
        <row r="225">
          <cell r="A225" t="str">
            <v>SNGS.RTS</v>
          </cell>
        </row>
        <row r="226">
          <cell r="A226" t="str">
            <v>SNGSyq.L</v>
          </cell>
        </row>
        <row r="227">
          <cell r="A227" t="str">
            <v>SCM.N</v>
          </cell>
        </row>
        <row r="228">
          <cell r="A228" t="str">
            <v>SCMN.VX</v>
          </cell>
        </row>
        <row r="229">
          <cell r="A229" t="str">
            <v>2887.TW</v>
          </cell>
        </row>
        <row r="230">
          <cell r="A230" t="str">
            <v>1310.TW</v>
          </cell>
        </row>
        <row r="231">
          <cell r="A231" t="str">
            <v>TELA.VI</v>
          </cell>
        </row>
        <row r="232">
          <cell r="A232" t="str">
            <v>TKA.US</v>
          </cell>
        </row>
        <row r="233">
          <cell r="A233" t="str">
            <v>TMB.N</v>
          </cell>
        </row>
        <row r="234">
          <cell r="A234" t="str">
            <v>TMCP4.SA</v>
          </cell>
        </row>
        <row r="235">
          <cell r="A235" t="str">
            <v>TLSN.ST</v>
          </cell>
        </row>
        <row r="236">
          <cell r="A236" t="str">
            <v>TKGJ.J</v>
          </cell>
        </row>
        <row r="237">
          <cell r="A237" t="str">
            <v>THAI.BK</v>
          </cell>
        </row>
        <row r="238">
          <cell r="A238" t="str">
            <v>UU.L</v>
          </cell>
        </row>
        <row r="239">
          <cell r="A239" t="str">
            <v>UU.N</v>
          </cell>
        </row>
        <row r="240">
          <cell r="A240" t="str">
            <v>UNM.N</v>
          </cell>
        </row>
        <row r="241">
          <cell r="A241" t="str">
            <v>UPM.N</v>
          </cell>
        </row>
        <row r="242">
          <cell r="A242" t="str">
            <v>UPM1V.HE</v>
          </cell>
        </row>
        <row r="243">
          <cell r="A243" t="str">
            <v>VLO.N</v>
          </cell>
        </row>
        <row r="244">
          <cell r="A244" t="str">
            <v>VDOR.AS</v>
          </cell>
        </row>
        <row r="245">
          <cell r="A245" t="str">
            <v>2388.TW</v>
          </cell>
        </row>
        <row r="246">
          <cell r="A246" t="str">
            <v>VIA.N</v>
          </cell>
        </row>
        <row r="247">
          <cell r="A247" t="str">
            <v>6792.T</v>
          </cell>
        </row>
        <row r="248">
          <cell r="A248" t="str">
            <v>VJAPY.PK</v>
          </cell>
        </row>
        <row r="249">
          <cell r="A249" t="str">
            <v>VMOB.L</v>
          </cell>
        </row>
        <row r="250">
          <cell r="A250" t="str">
            <v>VLKAY.OTC</v>
          </cell>
        </row>
        <row r="251">
          <cell r="A251" t="str">
            <v>VOWG.DE</v>
          </cell>
        </row>
        <row r="252">
          <cell r="A252" t="str">
            <v>VOWG_p.F</v>
          </cell>
        </row>
        <row r="253">
          <cell r="A253" t="str">
            <v>WLTHYP.O</v>
          </cell>
        </row>
        <row r="254">
          <cell r="A254" t="str">
            <v>WOW.AX</v>
          </cell>
        </row>
        <row r="255">
          <cell r="A255" t="str">
            <v>XTA.L</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Page"/>
      <sheetName val="Income Exhibit_Q"/>
      <sheetName val="Income Exhibit_A"/>
      <sheetName val="5- Year IS"/>
      <sheetName val="Mgmt Fees"/>
      <sheetName val="AMB-BPP Deal"/>
      <sheetName val="mwareValPrintout"/>
      <sheetName val="mwarePreview"/>
      <sheetName val="__FDSCACHE__"/>
      <sheetName val="Quarterly IS"/>
      <sheetName val="mwareTaxoPres"/>
      <sheetName val="Balance Sheet"/>
      <sheetName val="Variance"/>
      <sheetName val="Revenue Generator"/>
      <sheetName val="Cash Flow Statement"/>
      <sheetName val="Pricepsf"/>
      <sheetName val="NAV"/>
      <sheetName val="Performance Review"/>
      <sheetName val="Internal vs External"/>
      <sheetName val="Acq. &amp; Develop."/>
      <sheetName val="Cash Flow"/>
      <sheetName val="MainCode"/>
      <sheetName val="analysis"/>
      <sheetName val="NY UPLOAD"/>
      <sheetName val="mwareDates"/>
      <sheetName val="mwareSettings"/>
      <sheetName val="NY UPLOAD shado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1">
          <cell r="A1" t="str">
            <v>AMB Property Corporation</v>
          </cell>
        </row>
        <row r="2">
          <cell r="A2" t="str">
            <v>Financial Statements</v>
          </cell>
        </row>
        <row r="3">
          <cell r="A3" t="str">
            <v>(Dollars In Thousands, Except Per-Share)</v>
          </cell>
        </row>
        <row r="7">
          <cell r="B7" t="str">
            <v>1998A</v>
          </cell>
        </row>
        <row r="8">
          <cell r="A8" t="str">
            <v>Year Ended December 31,</v>
          </cell>
          <cell r="B8" t="str">
            <v>1Q98A</v>
          </cell>
          <cell r="C8" t="str">
            <v>2Q98A</v>
          </cell>
          <cell r="D8" t="str">
            <v>3Q98A</v>
          </cell>
          <cell r="E8" t="str">
            <v>4Q98A</v>
          </cell>
          <cell r="F8" t="str">
            <v>1998A</v>
          </cell>
        </row>
        <row r="11">
          <cell r="A11" t="str">
            <v>Rental Revenues</v>
          </cell>
          <cell r="B11">
            <v>74602</v>
          </cell>
          <cell r="C11">
            <v>84401</v>
          </cell>
          <cell r="D11">
            <v>92841</v>
          </cell>
          <cell r="E11">
            <v>102320</v>
          </cell>
          <cell r="F11">
            <v>354164</v>
          </cell>
        </row>
        <row r="12">
          <cell r="A12" t="str">
            <v>Lease Term Fees</v>
          </cell>
        </row>
        <row r="13">
          <cell r="A13" t="str">
            <v>Investment Management Income</v>
          </cell>
          <cell r="B13">
            <v>1183</v>
          </cell>
          <cell r="C13">
            <v>613</v>
          </cell>
          <cell r="D13">
            <v>1220</v>
          </cell>
          <cell r="E13">
            <v>1707</v>
          </cell>
          <cell r="F13">
            <v>4723</v>
          </cell>
        </row>
        <row r="14">
          <cell r="A14" t="str">
            <v>Other Income</v>
          </cell>
          <cell r="B14">
            <v>0</v>
          </cell>
          <cell r="C14">
            <v>0</v>
          </cell>
          <cell r="D14">
            <v>0</v>
          </cell>
          <cell r="E14">
            <v>0</v>
          </cell>
          <cell r="F14">
            <v>0</v>
          </cell>
        </row>
        <row r="15">
          <cell r="A15" t="str">
            <v>Property Operating Expenses</v>
          </cell>
          <cell r="B15">
            <v>20252</v>
          </cell>
          <cell r="C15">
            <v>22252</v>
          </cell>
          <cell r="D15">
            <v>25133</v>
          </cell>
          <cell r="E15">
            <v>28437</v>
          </cell>
          <cell r="F15">
            <v>96074</v>
          </cell>
        </row>
        <row r="16">
          <cell r="A16" t="str">
            <v>Acquisitions &amp; Development NOI</v>
          </cell>
          <cell r="B16">
            <v>0</v>
          </cell>
          <cell r="C16">
            <v>0</v>
          </cell>
          <cell r="D16">
            <v>0</v>
          </cell>
          <cell r="E16">
            <v>0</v>
          </cell>
          <cell r="F16">
            <v>0</v>
          </cell>
        </row>
        <row r="17">
          <cell r="A17" t="str">
            <v>Net Operating Income</v>
          </cell>
          <cell r="B17">
            <v>55533</v>
          </cell>
          <cell r="C17">
            <v>62762</v>
          </cell>
          <cell r="D17">
            <v>68928</v>
          </cell>
          <cell r="E17">
            <v>75590</v>
          </cell>
          <cell r="F17">
            <v>262813</v>
          </cell>
        </row>
        <row r="19">
          <cell r="A19" t="str">
            <v>G&amp;A Expenses</v>
          </cell>
          <cell r="B19">
            <v>2718</v>
          </cell>
          <cell r="C19">
            <v>3144</v>
          </cell>
          <cell r="D19">
            <v>2832</v>
          </cell>
          <cell r="E19">
            <v>3235</v>
          </cell>
          <cell r="F19">
            <v>11929</v>
          </cell>
        </row>
        <row r="20">
          <cell r="A20" t="str">
            <v>Equity in Earnings of Unconsolidated Joint Ventures</v>
          </cell>
          <cell r="B20">
            <v>0</v>
          </cell>
          <cell r="C20">
            <v>0</v>
          </cell>
          <cell r="D20">
            <v>0</v>
          </cell>
          <cell r="E20">
            <v>0</v>
          </cell>
          <cell r="F20">
            <v>0</v>
          </cell>
        </row>
        <row r="22">
          <cell r="A22" t="str">
            <v>EBITDA</v>
          </cell>
          <cell r="B22">
            <v>52815</v>
          </cell>
          <cell r="C22">
            <v>59618</v>
          </cell>
          <cell r="D22">
            <v>66096</v>
          </cell>
          <cell r="E22">
            <v>72355</v>
          </cell>
          <cell r="F22">
            <v>250884</v>
          </cell>
        </row>
        <row r="24">
          <cell r="A24" t="str">
            <v>Interest Expense</v>
          </cell>
          <cell r="B24">
            <v>11841</v>
          </cell>
          <cell r="C24">
            <v>15720</v>
          </cell>
          <cell r="D24">
            <v>19544</v>
          </cell>
          <cell r="E24">
            <v>22565</v>
          </cell>
          <cell r="F24">
            <v>69670</v>
          </cell>
        </row>
        <row r="25">
          <cell r="A25" t="str">
            <v>Depreciation and Amortization</v>
          </cell>
          <cell r="B25">
            <v>11786</v>
          </cell>
          <cell r="C25">
            <v>13516</v>
          </cell>
          <cell r="D25">
            <v>14750</v>
          </cell>
          <cell r="E25">
            <v>17412</v>
          </cell>
          <cell r="F25">
            <v>57464</v>
          </cell>
        </row>
        <row r="26">
          <cell r="A26" t="str">
            <v>Loss on Investments in other companies</v>
          </cell>
          <cell r="B26">
            <v>0</v>
          </cell>
          <cell r="C26">
            <v>0</v>
          </cell>
          <cell r="D26">
            <v>0</v>
          </cell>
          <cell r="E26">
            <v>0</v>
          </cell>
          <cell r="F26">
            <v>0</v>
          </cell>
        </row>
        <row r="27">
          <cell r="A27" t="str">
            <v>Income From Operations Before Min. Int.</v>
          </cell>
          <cell r="B27">
            <v>29188</v>
          </cell>
          <cell r="C27">
            <v>30382</v>
          </cell>
          <cell r="D27">
            <v>31802</v>
          </cell>
          <cell r="E27">
            <v>32378</v>
          </cell>
          <cell r="F27">
            <v>123750</v>
          </cell>
        </row>
        <row r="29">
          <cell r="A29" t="str">
            <v>Minority Interest</v>
          </cell>
        </row>
        <row r="30">
          <cell r="A30" t="str">
            <v>JV Partner's  share of operating income</v>
          </cell>
        </row>
        <row r="31">
          <cell r="A31" t="str">
            <v>JV partner's share of development profits</v>
          </cell>
        </row>
        <row r="32">
          <cell r="A32" t="str">
            <v>Limited Partnership unitholders</v>
          </cell>
        </row>
        <row r="33">
          <cell r="A33" t="str">
            <v>Preferred Unit holders</v>
          </cell>
        </row>
        <row r="34">
          <cell r="A34" t="str">
            <v>Total Minority Interest</v>
          </cell>
          <cell r="B34">
            <v>-1282</v>
          </cell>
          <cell r="C34">
            <v>-2404</v>
          </cell>
          <cell r="D34">
            <v>-2930</v>
          </cell>
          <cell r="E34">
            <v>-4541</v>
          </cell>
          <cell r="F34">
            <v>-11157</v>
          </cell>
        </row>
        <row r="35">
          <cell r="A35" t="str">
            <v>Net Income before gains</v>
          </cell>
          <cell r="B35">
            <v>27906</v>
          </cell>
          <cell r="C35">
            <v>27978</v>
          </cell>
          <cell r="D35">
            <v>28872</v>
          </cell>
          <cell r="E35">
            <v>27837</v>
          </cell>
          <cell r="F35">
            <v>112593</v>
          </cell>
        </row>
        <row r="36">
          <cell r="A36" t="str">
            <v>Development Profits</v>
          </cell>
          <cell r="B36">
            <v>0</v>
          </cell>
          <cell r="C36">
            <v>0</v>
          </cell>
          <cell r="D36">
            <v>0</v>
          </cell>
          <cell r="E36">
            <v>0</v>
          </cell>
          <cell r="F36">
            <v>0</v>
          </cell>
        </row>
        <row r="37">
          <cell r="A37" t="str">
            <v>Gain/Loss from Disposition of real estate</v>
          </cell>
          <cell r="B37">
            <v>0</v>
          </cell>
          <cell r="C37">
            <v>0</v>
          </cell>
          <cell r="D37">
            <v>0</v>
          </cell>
          <cell r="E37">
            <v>0</v>
          </cell>
          <cell r="F37">
            <v>0</v>
          </cell>
        </row>
        <row r="38">
          <cell r="A38" t="str">
            <v>Net Income before Extraordinary</v>
          </cell>
          <cell r="B38">
            <v>27906</v>
          </cell>
          <cell r="C38">
            <v>27978</v>
          </cell>
          <cell r="D38">
            <v>28872</v>
          </cell>
          <cell r="E38">
            <v>27837</v>
          </cell>
          <cell r="F38">
            <v>112593</v>
          </cell>
        </row>
        <row r="39">
          <cell r="A39" t="str">
            <v>Impairment Charges</v>
          </cell>
        </row>
        <row r="40">
          <cell r="A40" t="str">
            <v>Discontinued operations</v>
          </cell>
        </row>
        <row r="41">
          <cell r="A41" t="str">
            <v>Extraordinary items</v>
          </cell>
          <cell r="B41">
            <v>0</v>
          </cell>
          <cell r="C41">
            <v>0</v>
          </cell>
          <cell r="D41">
            <v>0</v>
          </cell>
          <cell r="E41">
            <v>0</v>
          </cell>
          <cell r="F41">
            <v>0</v>
          </cell>
        </row>
        <row r="42">
          <cell r="A42" t="str">
            <v>Reported Net Income</v>
          </cell>
          <cell r="B42">
            <v>27906</v>
          </cell>
          <cell r="C42">
            <v>27978</v>
          </cell>
          <cell r="D42">
            <v>28872</v>
          </cell>
          <cell r="E42">
            <v>27837</v>
          </cell>
          <cell r="F42">
            <v>112593</v>
          </cell>
        </row>
        <row r="43">
          <cell r="A43" t="str">
            <v xml:space="preserve">  Preferred Dividend</v>
          </cell>
          <cell r="B43">
            <v>0</v>
          </cell>
          <cell r="C43">
            <v>0</v>
          </cell>
          <cell r="D43">
            <v>-1514</v>
          </cell>
          <cell r="E43">
            <v>-2125</v>
          </cell>
          <cell r="F43">
            <v>-3639</v>
          </cell>
        </row>
        <row r="44">
          <cell r="A44" t="str">
            <v xml:space="preserve">  Preferred Unit Redemption Premium</v>
          </cell>
        </row>
        <row r="45">
          <cell r="A45" t="str">
            <v>Reported Net Income Avail. to Common</v>
          </cell>
          <cell r="B45">
            <v>27906</v>
          </cell>
          <cell r="C45">
            <v>27978</v>
          </cell>
          <cell r="D45">
            <v>27358</v>
          </cell>
          <cell r="E45">
            <v>25712</v>
          </cell>
          <cell r="F45">
            <v>108954</v>
          </cell>
        </row>
        <row r="46">
          <cell r="A46" t="str">
            <v>Net Income after extraordinary before gains</v>
          </cell>
          <cell r="B46">
            <v>27906</v>
          </cell>
          <cell r="C46">
            <v>27978</v>
          </cell>
          <cell r="D46">
            <v>27358</v>
          </cell>
          <cell r="E46">
            <v>25712</v>
          </cell>
          <cell r="F46">
            <v>108954</v>
          </cell>
        </row>
        <row r="47">
          <cell r="A47" t="str">
            <v>Operating Earnings</v>
          </cell>
          <cell r="B47">
            <v>27906</v>
          </cell>
          <cell r="C47">
            <v>27978</v>
          </cell>
          <cell r="D47">
            <v>27358</v>
          </cell>
          <cell r="E47">
            <v>25712</v>
          </cell>
          <cell r="F47">
            <v>108954</v>
          </cell>
        </row>
        <row r="50">
          <cell r="A50" t="str">
            <v xml:space="preserve">  Depr. and Amort. of R.E. Assets</v>
          </cell>
          <cell r="B50">
            <v>11786</v>
          </cell>
          <cell r="C50">
            <v>13516</v>
          </cell>
          <cell r="D50">
            <v>14750</v>
          </cell>
          <cell r="E50">
            <v>17412</v>
          </cell>
          <cell r="F50">
            <v>57464</v>
          </cell>
        </row>
        <row r="51">
          <cell r="A51" t="str">
            <v xml:space="preserve">  Gains from dispositions of real estate, net of min. int.</v>
          </cell>
        </row>
        <row r="52">
          <cell r="A52" t="str">
            <v xml:space="preserve">  FF&amp;E Depreciation (furniture,fixtures,equip)</v>
          </cell>
          <cell r="B52">
            <v>-104</v>
          </cell>
          <cell r="C52">
            <v>-111</v>
          </cell>
          <cell r="D52">
            <v>-104</v>
          </cell>
          <cell r="E52">
            <v>-144</v>
          </cell>
          <cell r="F52">
            <v>-463</v>
          </cell>
        </row>
        <row r="53">
          <cell r="A53" t="str">
            <v xml:space="preserve">  Discontinued Operations' depreciation</v>
          </cell>
        </row>
        <row r="54">
          <cell r="A54" t="str">
            <v xml:space="preserve">  JV and Limited Partner Share of NI</v>
          </cell>
        </row>
        <row r="55">
          <cell r="A55" t="str">
            <v xml:space="preserve">  FFO Attributable to Minority Interests (and other adjustments)</v>
          </cell>
          <cell r="B55">
            <v>-575</v>
          </cell>
          <cell r="C55">
            <v>-1513</v>
          </cell>
          <cell r="D55">
            <v>-2035</v>
          </cell>
          <cell r="E55">
            <v>-1776</v>
          </cell>
          <cell r="F55">
            <v>-5899</v>
          </cell>
        </row>
        <row r="56">
          <cell r="A56" t="str">
            <v xml:space="preserve">  Preferred Stock Dividends</v>
          </cell>
          <cell r="B56">
            <v>0</v>
          </cell>
          <cell r="C56">
            <v>0</v>
          </cell>
          <cell r="D56">
            <v>-1514</v>
          </cell>
          <cell r="E56">
            <v>-2125</v>
          </cell>
          <cell r="F56">
            <v>-3639</v>
          </cell>
        </row>
        <row r="57">
          <cell r="A57" t="str">
            <v xml:space="preserve">  Preferred Unit Distributions</v>
          </cell>
          <cell r="B57">
            <v>0</v>
          </cell>
          <cell r="C57">
            <v>0</v>
          </cell>
          <cell r="D57">
            <v>0</v>
          </cell>
          <cell r="E57">
            <v>-1795</v>
          </cell>
          <cell r="F57">
            <v>-1795</v>
          </cell>
        </row>
        <row r="58">
          <cell r="A58" t="str">
            <v xml:space="preserve">  Preferred Stock and Unit Redemption </v>
          </cell>
        </row>
        <row r="59">
          <cell r="A59" t="str">
            <v xml:space="preserve">  Adjustments for Unconsolidated JVs and other items</v>
          </cell>
          <cell r="B59">
            <v>0</v>
          </cell>
          <cell r="C59">
            <v>0</v>
          </cell>
          <cell r="D59">
            <v>494</v>
          </cell>
          <cell r="E59">
            <v>495</v>
          </cell>
          <cell r="F59">
            <v>989</v>
          </cell>
        </row>
        <row r="60">
          <cell r="A60" t="str">
            <v>Funds From Operations</v>
          </cell>
          <cell r="B60">
            <v>40295</v>
          </cell>
          <cell r="C60">
            <v>42274</v>
          </cell>
          <cell r="D60">
            <v>43393</v>
          </cell>
          <cell r="E60">
            <v>44445</v>
          </cell>
          <cell r="F60">
            <v>170407</v>
          </cell>
        </row>
        <row r="62">
          <cell r="A62" t="str">
            <v>- Tenant Improvements &amp; Lease Commissions</v>
          </cell>
          <cell r="B62">
            <v>3500</v>
          </cell>
          <cell r="C62">
            <v>3500</v>
          </cell>
          <cell r="D62">
            <v>3500</v>
          </cell>
          <cell r="E62">
            <v>3500</v>
          </cell>
          <cell r="F62">
            <v>14000</v>
          </cell>
        </row>
        <row r="63">
          <cell r="A63" t="str">
            <v>- Capital Expenditures</v>
          </cell>
          <cell r="B63">
            <v>1400</v>
          </cell>
          <cell r="C63">
            <v>1400</v>
          </cell>
          <cell r="D63">
            <v>1400</v>
          </cell>
          <cell r="E63">
            <v>1400</v>
          </cell>
          <cell r="F63">
            <v>5600</v>
          </cell>
        </row>
        <row r="64">
          <cell r="A64" t="str">
            <v>- Adjustment For Straight-lining</v>
          </cell>
          <cell r="B64">
            <v>2825</v>
          </cell>
          <cell r="C64">
            <v>2664</v>
          </cell>
          <cell r="D64">
            <v>2500</v>
          </cell>
          <cell r="E64">
            <v>2500</v>
          </cell>
          <cell r="F64">
            <v>10489</v>
          </cell>
        </row>
        <row r="65">
          <cell r="A65" t="str">
            <v>+ JV Partners' share of capex</v>
          </cell>
        </row>
        <row r="66">
          <cell r="A66" t="str">
            <v xml:space="preserve">   Adjusted Funds From Operations</v>
          </cell>
          <cell r="B66">
            <v>32570</v>
          </cell>
          <cell r="C66">
            <v>34710</v>
          </cell>
          <cell r="D66">
            <v>35993</v>
          </cell>
          <cell r="E66">
            <v>37045</v>
          </cell>
          <cell r="F66">
            <v>140318</v>
          </cell>
        </row>
        <row r="69">
          <cell r="A69" t="str">
            <v>Other Data</v>
          </cell>
        </row>
        <row r="70">
          <cell r="A70" t="str">
            <v>Reported Operating EPS</v>
          </cell>
          <cell r="B70">
            <v>0.32341757411183364</v>
          </cell>
          <cell r="C70">
            <v>0.32448729111739527</v>
          </cell>
          <cell r="D70">
            <v>0.31718737371648703</v>
          </cell>
          <cell r="E70">
            <v>0.29834558023452173</v>
          </cell>
          <cell r="F70">
            <v>1.2634519352056519</v>
          </cell>
        </row>
        <row r="71">
          <cell r="A71" t="str">
            <v>Diluted GAAP EPS before gains</v>
          </cell>
          <cell r="B71">
            <v>0.32341757411183364</v>
          </cell>
          <cell r="C71">
            <v>0.32448729111739527</v>
          </cell>
          <cell r="D71">
            <v>0.31718737371648703</v>
          </cell>
          <cell r="E71">
            <v>0.29834558023452173</v>
          </cell>
          <cell r="F71">
            <v>1.2634519352056519</v>
          </cell>
        </row>
        <row r="72">
          <cell r="A72" t="str">
            <v>Diluted EPS before extraordinary</v>
          </cell>
          <cell r="B72">
            <v>0.32341757411183364</v>
          </cell>
          <cell r="C72">
            <v>0.32448729111739527</v>
          </cell>
          <cell r="D72">
            <v>0.31718737371648703</v>
          </cell>
          <cell r="E72">
            <v>0.29834558023452173</v>
          </cell>
          <cell r="F72">
            <v>1.2634519352056519</v>
          </cell>
        </row>
        <row r="73">
          <cell r="A73" t="str">
            <v>Diluted EPS after extraordinary (GAAP EPS)</v>
          </cell>
          <cell r="B73">
            <v>0.32341757411183364</v>
          </cell>
          <cell r="C73">
            <v>0.32448729111739527</v>
          </cell>
          <cell r="D73">
            <v>0.31718737371648703</v>
          </cell>
          <cell r="E73">
            <v>0.29834558023452173</v>
          </cell>
          <cell r="F73">
            <v>1.2634519352056519</v>
          </cell>
        </row>
        <row r="75">
          <cell r="A75" t="str">
            <v>FFO Per Share</v>
          </cell>
          <cell r="B75">
            <v>0.45357233775831735</v>
          </cell>
          <cell r="C75">
            <v>0.47030331181575719</v>
          </cell>
          <cell r="D75">
            <v>0.48186010950182984</v>
          </cell>
          <cell r="E75">
            <v>0.48840659340659343</v>
          </cell>
          <cell r="F75">
            <v>1.9</v>
          </cell>
        </row>
        <row r="77">
          <cell r="A77" t="str">
            <v>AFFO Per Share</v>
          </cell>
          <cell r="B77">
            <v>0.36661747216251134</v>
          </cell>
          <cell r="C77">
            <v>0.38615290611545944</v>
          </cell>
          <cell r="D77">
            <v>0.39968637617356167</v>
          </cell>
          <cell r="E77">
            <v>0.40708791208791206</v>
          </cell>
          <cell r="F77">
            <v>1.5595446665394446</v>
          </cell>
        </row>
        <row r="78">
          <cell r="A78" t="str">
            <v>Dividends Per Share</v>
          </cell>
          <cell r="B78">
            <v>0.34250000000000003</v>
          </cell>
          <cell r="C78">
            <v>0.34250000000000003</v>
          </cell>
          <cell r="D78">
            <v>0.34250000000000003</v>
          </cell>
          <cell r="E78">
            <v>0.34250000000000003</v>
          </cell>
          <cell r="F78">
            <v>1.37</v>
          </cell>
        </row>
        <row r="79">
          <cell r="A79" t="str">
            <v>NOI Per Share</v>
          </cell>
          <cell r="B79">
            <v>0.62509573477435498</v>
          </cell>
          <cell r="C79">
            <v>0.69823476501349657</v>
          </cell>
          <cell r="D79">
            <v>0.76541501227714437</v>
          </cell>
          <cell r="E79">
            <v>0.83065934065934066</v>
          </cell>
          <cell r="F79">
            <v>2.9194048527243366</v>
          </cell>
        </row>
        <row r="80">
          <cell r="A80" t="str">
            <v>EBITDA Per Share</v>
          </cell>
          <cell r="B80">
            <v>0.59450112963656854</v>
          </cell>
          <cell r="C80">
            <v>0.66325738855636585</v>
          </cell>
          <cell r="D80">
            <v>0.73396690244124496</v>
          </cell>
          <cell r="E80">
            <v>0.79510989010989008</v>
          </cell>
          <cell r="F80">
            <v>2.7868353107440695</v>
          </cell>
        </row>
        <row r="82">
          <cell r="A82" t="str">
            <v xml:space="preserve">Payout Ratio (Net Income) </v>
          </cell>
          <cell r="B82">
            <v>1.0590024396187201</v>
          </cell>
          <cell r="C82">
            <v>1.0555112923547074</v>
          </cell>
          <cell r="D82">
            <v>1.079803385572776</v>
          </cell>
          <cell r="E82">
            <v>1.1479975662142192</v>
          </cell>
          <cell r="F82">
            <v>1.0843309205719847</v>
          </cell>
        </row>
        <row r="83">
          <cell r="A83" t="str">
            <v xml:space="preserve">Payout Ratio (FFO) </v>
          </cell>
          <cell r="B83">
            <v>0.75511659660007446</v>
          </cell>
          <cell r="C83">
            <v>0.72825343006339593</v>
          </cell>
          <cell r="D83">
            <v>0.71078720409973961</v>
          </cell>
          <cell r="E83">
            <v>0.70125998425019687</v>
          </cell>
          <cell r="F83">
            <v>0.7210526315789475</v>
          </cell>
        </row>
        <row r="84">
          <cell r="A84" t="str">
            <v xml:space="preserve">Payout Ratio (AFFO) </v>
          </cell>
          <cell r="B84">
            <v>0.93421624992324237</v>
          </cell>
          <cell r="C84">
            <v>0.88695435040334203</v>
          </cell>
          <cell r="D84">
            <v>0.85692187779568252</v>
          </cell>
          <cell r="E84">
            <v>0.84134161155351617</v>
          </cell>
          <cell r="F84">
            <v>0.87846153392962123</v>
          </cell>
        </row>
        <row r="86">
          <cell r="A86" t="str">
            <v>Weighted Average Basic Common Shares</v>
          </cell>
        </row>
        <row r="87">
          <cell r="A87" t="str">
            <v>Weighted Average Diluted Common Shares</v>
          </cell>
          <cell r="B87">
            <v>86284.736000000004</v>
          </cell>
          <cell r="C87">
            <v>86222.175000000003</v>
          </cell>
          <cell r="D87">
            <v>86251.857000000004</v>
          </cell>
          <cell r="E87">
            <v>86181.937000000005</v>
          </cell>
          <cell r="F87">
            <v>86235.176000000007</v>
          </cell>
        </row>
        <row r="88">
          <cell r="A88" t="str">
            <v>Weighted Average Shares and Units Outstanding (diluted)</v>
          </cell>
          <cell r="B88">
            <v>88839.191999999995</v>
          </cell>
          <cell r="C88">
            <v>89886.672999999995</v>
          </cell>
          <cell r="D88">
            <v>90053.107000000004</v>
          </cell>
          <cell r="E88">
            <v>91000</v>
          </cell>
          <cell r="F88">
            <v>89944.743000000002</v>
          </cell>
        </row>
        <row r="89">
          <cell r="A89" t="str">
            <v>Common Shares Outstanding (End)</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1.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drawing2.xml" Type="http://schemas.openxmlformats.org/officeDocument/2006/relationships/drawing"/>
</Relationships>

</file>

<file path=xl/worksheets/_rels/sheet13.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2:Y92"/>
  <sheetViews>
    <sheetView showGridLines="0" view="pageBreakPreview" zoomScale="70" zoomScaleNormal="85" zoomScaleSheetLayoutView="70" workbookViewId="0"/>
  </sheetViews>
  <sheetFormatPr defaultRowHeight="12.75" outlineLevelCol="1"/>
  <cols>
    <col min="1" max="1" width="5.140625" customWidth="1"/>
    <col min="2" max="2" width="36.85546875" customWidth="1"/>
    <col min="3" max="3" width="2.85546875" customWidth="1"/>
    <col min="4" max="15" width="10.28515625" bestFit="1" customWidth="1"/>
    <col min="17" max="18" width="9.140625" outlineLevel="1"/>
  </cols>
  <sheetData>
    <row r="2" spans="1:25">
      <c r="B2" s="9" t="s">
        <v>246</v>
      </c>
      <c r="C2" s="82">
        <v>2</v>
      </c>
    </row>
    <row r="3" spans="1:25">
      <c r="B3" s="2" t="s">
        <v>0</v>
      </c>
      <c r="C3" s="2"/>
      <c r="D3" s="2"/>
      <c r="E3" s="2"/>
      <c r="F3" s="2"/>
      <c r="G3" s="2"/>
      <c r="H3" s="2"/>
      <c r="I3" s="2"/>
      <c r="J3" s="2"/>
      <c r="K3" s="2"/>
      <c r="L3" s="2"/>
      <c r="M3" s="2"/>
      <c r="N3" s="2"/>
      <c r="O3" s="2"/>
      <c r="Q3" s="2"/>
      <c r="R3" s="2"/>
      <c r="S3" s="2"/>
      <c r="T3" s="2"/>
      <c r="U3" s="2"/>
      <c r="V3" s="2"/>
      <c r="W3" s="2"/>
      <c r="X3" s="2"/>
      <c r="Y3" s="2"/>
    </row>
    <row r="4" spans="1:25">
      <c r="B4" s="2" t="s">
        <v>183</v>
      </c>
      <c r="C4" s="2"/>
      <c r="D4" s="3" t="s">
        <v>26</v>
      </c>
      <c r="E4" s="3" t="s">
        <v>25</v>
      </c>
      <c r="F4" s="3" t="s">
        <v>27</v>
      </c>
      <c r="G4" s="3" t="s">
        <v>28</v>
      </c>
      <c r="H4" s="3" t="s">
        <v>29</v>
      </c>
      <c r="I4" s="3" t="s">
        <v>30</v>
      </c>
      <c r="J4" s="3" t="s">
        <v>31</v>
      </c>
      <c r="K4" s="3" t="s">
        <v>32</v>
      </c>
      <c r="L4" s="3" t="s">
        <v>143</v>
      </c>
      <c r="M4" s="3" t="s">
        <v>144</v>
      </c>
      <c r="N4" s="3" t="s">
        <v>145</v>
      </c>
      <c r="O4" s="3" t="s">
        <v>146</v>
      </c>
      <c r="Q4" s="3">
        <v>2011</v>
      </c>
      <c r="R4" s="3">
        <v>2012</v>
      </c>
      <c r="S4" s="3">
        <v>2013</v>
      </c>
      <c r="T4" s="3">
        <v>2014</v>
      </c>
      <c r="U4" s="3">
        <v>2015</v>
      </c>
      <c r="V4" s="3">
        <v>2016</v>
      </c>
      <c r="W4" s="3" t="s">
        <v>410</v>
      </c>
      <c r="X4" s="3" t="s">
        <v>411</v>
      </c>
      <c r="Y4" s="3" t="s">
        <v>412</v>
      </c>
    </row>
    <row r="6" spans="1:25">
      <c r="B6" s="61" t="s">
        <v>185</v>
      </c>
    </row>
    <row r="8" spans="1:25">
      <c r="A8" t="s">
        <v>24</v>
      </c>
      <c r="B8" s="61" t="s">
        <v>8</v>
      </c>
      <c r="D8" s="62">
        <f>IF(QTS!$C$5=Estimates!$C$2,QTS!H$86,Estimates!D8)</f>
        <v>41.497999999999998</v>
      </c>
      <c r="E8" s="62">
        <f>IF(QTS!$C$5=Estimates!$C$2,QTS!I$86,Estimates!E8)</f>
        <v>42.940000000000005</v>
      </c>
      <c r="F8" s="62">
        <f>IF(QTS!$C$5=Estimates!$C$2,QTS!J$86,Estimates!F8)</f>
        <v>46.02</v>
      </c>
      <c r="G8" s="62">
        <f>IF(QTS!$C$5=Estimates!$C$2,QTS!K$86,Estimates!G8)</f>
        <v>47.429000000000002</v>
      </c>
      <c r="H8" s="62">
        <f>IF(QTS!$C$5=Estimates!$C$2,QTS!L$86,Estimates!H8)</f>
        <v>48.943000000000005</v>
      </c>
      <c r="I8" s="62">
        <f>IF(QTS!$C$5=Estimates!$C$2,QTS!M$86,Estimates!I8)</f>
        <v>51.337999999999994</v>
      </c>
      <c r="J8" s="62">
        <f>IF(QTS!$C$5=Estimates!$C$2,QTS!N$86,Estimates!J8)</f>
        <v>57.945</v>
      </c>
      <c r="K8" s="62">
        <f>IF(QTS!$C$5=Estimates!$C$2,QTS!O$86,Estimates!K8)</f>
        <v>59.562999999999995</v>
      </c>
      <c r="L8" s="62">
        <f>IF(QTS!$C$5=Estimates!$C$2,QTS!P$86,Estimates!L8)</f>
        <v>61.386000000000003</v>
      </c>
      <c r="M8" s="62">
        <f>IF(QTS!$C$5=Estimates!$C$2,QTS!Q$86,Estimates!M8)</f>
        <v>68.117000000000004</v>
      </c>
      <c r="N8" s="62">
        <f>IF(QTS!$C$5=Estimates!$C$2,QTS!R$86,Estimates!N8)</f>
        <v>88.89</v>
      </c>
      <c r="O8" s="62">
        <f>IF(QTS!$C$5=Estimates!$C$2,QTS!S$86,Estimates!O8)</f>
        <v>92.690000000000012</v>
      </c>
      <c r="Q8" s="62">
        <f>IF(QTS!$C$5=Estimates!$C$2,QTS!BB$86,Estimates!Q8)</f>
        <v>130.39599999999999</v>
      </c>
      <c r="R8" s="62">
        <f>IF(QTS!$C$5=Estimates!$C$2,QTS!BC$86,Estimates!R8)</f>
        <v>145.75899999999999</v>
      </c>
      <c r="S8" s="62">
        <f>IF(QTS!$C$5=Estimates!$C$2,QTS!BD$86,Estimates!S8)</f>
        <v>177.887</v>
      </c>
      <c r="T8" s="62">
        <f>IF(QTS!$C$5=Estimates!$C$2,QTS!BE$86,Estimates!T8)</f>
        <v>217.78899999999999</v>
      </c>
      <c r="U8" s="62">
        <f>IF(QTS!$C$5=Estimates!$C$2,QTS!BF$86,Estimates!U8)</f>
        <v>311.08299999999997</v>
      </c>
      <c r="V8" s="62">
        <f>IF(QTS!$C$5=Estimates!$C$2,QTS!BG$86,Estimates!V8)</f>
        <v>402.36300000000006</v>
      </c>
      <c r="W8" s="62">
        <f>IF(QTS!$C$5=Estimates!$C$2,QTS!BH$86,Estimates!W8)</f>
        <v>446.51000000000005</v>
      </c>
      <c r="X8" s="62">
        <f ca="1">IF(QTS!$C$5=Estimates!$C$2,QTS!BI$86,Estimates!X8)</f>
        <v>414.12465121854461</v>
      </c>
      <c r="Y8" s="62">
        <f ca="1">IF(QTS!$C$5=Estimates!$C$2,QTS!BJ$86,Estimates!Y8)</f>
        <v>444.80996522918315</v>
      </c>
    </row>
    <row r="9" spans="1:25">
      <c r="B9" s="14" t="s">
        <v>218</v>
      </c>
      <c r="D9" s="7"/>
      <c r="E9" s="19">
        <f t="shared" ref="E9:O9" si="0">+E8/D8-1</f>
        <v>3.4748662586148837E-2</v>
      </c>
      <c r="F9" s="19">
        <f t="shared" si="0"/>
        <v>7.1727992547740982E-2</v>
      </c>
      <c r="G9" s="19">
        <f t="shared" si="0"/>
        <v>3.0617122990004297E-2</v>
      </c>
      <c r="H9" s="19">
        <f t="shared" si="0"/>
        <v>3.1921398300617909E-2</v>
      </c>
      <c r="I9" s="19">
        <f t="shared" si="0"/>
        <v>4.8934474797212912E-2</v>
      </c>
      <c r="J9" s="19">
        <f t="shared" si="0"/>
        <v>0.12869609256301384</v>
      </c>
      <c r="K9" s="19">
        <f t="shared" si="0"/>
        <v>2.792303045991873E-2</v>
      </c>
      <c r="L9" s="19">
        <f t="shared" si="0"/>
        <v>3.0606248845760131E-2</v>
      </c>
      <c r="M9" s="19">
        <f t="shared" si="0"/>
        <v>0.10965040888802013</v>
      </c>
      <c r="N9" s="19">
        <f t="shared" si="0"/>
        <v>0.30496058252712244</v>
      </c>
      <c r="O9" s="19">
        <f t="shared" si="0"/>
        <v>4.2749465631679806E-2</v>
      </c>
      <c r="Q9" s="19"/>
      <c r="R9" s="19">
        <f t="shared" ref="R9:Y9" si="1">+R8/Q8-1</f>
        <v>0.11781803122795176</v>
      </c>
      <c r="S9" s="19">
        <f t="shared" si="1"/>
        <v>0.22041863624201596</v>
      </c>
      <c r="T9" s="19">
        <f t="shared" si="1"/>
        <v>0.22431093896687226</v>
      </c>
      <c r="U9" s="19">
        <f t="shared" si="1"/>
        <v>0.42836874222297716</v>
      </c>
      <c r="V9" s="19">
        <f t="shared" si="1"/>
        <v>0.29342651318136981</v>
      </c>
      <c r="W9" s="19">
        <f t="shared" si="1"/>
        <v>0.10971933304006587</v>
      </c>
      <c r="X9" s="19">
        <f t="shared" ca="1" si="1"/>
        <v>-7.2529951807250526E-2</v>
      </c>
      <c r="Y9" s="19">
        <f t="shared" ca="1" si="1"/>
        <v>7.4096806167776474E-2</v>
      </c>
    </row>
    <row r="10" spans="1:25">
      <c r="E10" s="4"/>
      <c r="F10" s="4"/>
      <c r="G10" s="4"/>
      <c r="H10" s="4"/>
      <c r="I10" s="4"/>
      <c r="J10" s="4"/>
      <c r="K10" s="4"/>
      <c r="L10" s="4"/>
      <c r="M10" s="4"/>
      <c r="N10" s="4"/>
      <c r="O10" s="4"/>
      <c r="S10" s="4"/>
      <c r="T10" s="4"/>
      <c r="U10" s="4"/>
      <c r="V10" s="4"/>
      <c r="W10" s="4"/>
      <c r="X10" s="4"/>
      <c r="Y10" s="4"/>
    </row>
    <row r="11" spans="1:25">
      <c r="A11" t="s">
        <v>24</v>
      </c>
      <c r="B11" s="61" t="s">
        <v>209</v>
      </c>
      <c r="D11" s="62">
        <f>IF(QTS!$C$5=Estimates!$C$2,QTS!H$102,Estimates!D11)</f>
        <v>25.976999999999997</v>
      </c>
      <c r="E11" s="62">
        <f>IF(QTS!$C$5=Estimates!$C$2,QTS!I$102,Estimates!E11)</f>
        <v>26.966000000000005</v>
      </c>
      <c r="F11" s="62">
        <f>IF(QTS!$C$5=Estimates!$C$2,QTS!J$102,Estimates!F11)</f>
        <v>29.281000000000002</v>
      </c>
      <c r="G11" s="62">
        <f>IF(QTS!$C$5=Estimates!$C$2,QTS!K$102,Estimates!G11)</f>
        <v>30.421000000000003</v>
      </c>
      <c r="H11" s="62">
        <f>IF(QTS!$C$5=Estimates!$C$2,QTS!L$102,Estimates!H11)</f>
        <v>31.502000000000006</v>
      </c>
      <c r="I11" s="62">
        <f>IF(QTS!$C$5=Estimates!$C$2,QTS!M$102,Estimates!I11)</f>
        <v>33.690999999999995</v>
      </c>
      <c r="J11" s="62">
        <f>IF(QTS!$C$5=Estimates!$C$2,QTS!N$102,Estimates!J11)</f>
        <v>36.199000000000005</v>
      </c>
      <c r="K11" s="62">
        <f>IF(QTS!$C$5=Estimates!$C$2,QTS!O$102,Estimates!K11)</f>
        <v>39.762999999999998</v>
      </c>
      <c r="L11" s="62">
        <f>IF(QTS!$C$5=Estimates!$C$2,QTS!P$102,Estimates!L11)</f>
        <v>40.565000000000005</v>
      </c>
      <c r="M11" s="62">
        <f>IF(QTS!$C$5=Estimates!$C$2,QTS!Q$102,Estimates!M11)</f>
        <v>44.612000000000009</v>
      </c>
      <c r="N11" s="62">
        <f>IF(QTS!$C$5=Estimates!$C$2,QTS!R$102,Estimates!N11)</f>
        <v>56.503</v>
      </c>
      <c r="O11" s="62">
        <f>IF(QTS!$C$5=Estimates!$C$2,QTS!S$102,Estimates!O11)</f>
        <v>59.179000000000002</v>
      </c>
      <c r="Q11" s="62">
        <f>IF(QTS!$C$5=Estimates!$C$2,QTS!BB$102,Estimates!Q11)</f>
        <v>73.231999999999971</v>
      </c>
      <c r="R11" s="62">
        <f>IF(QTS!$C$5=Estimates!$C$2,QTS!BC$102,Estimates!R11)</f>
        <v>86.432999999999993</v>
      </c>
      <c r="S11" s="62">
        <f>IF(QTS!$C$5=Estimates!$C$2,QTS!BD$102,Estimates!S11)</f>
        <v>112.645</v>
      </c>
      <c r="T11" s="62">
        <f>IF(QTS!$C$5=Estimates!$C$2,QTS!BE$102,Estimates!T11)</f>
        <v>141.15499999999997</v>
      </c>
      <c r="U11" s="62">
        <f>IF(QTS!$C$5=Estimates!$C$2,QTS!BF$102,Estimates!U11)</f>
        <v>200.85899999999995</v>
      </c>
      <c r="V11" s="62">
        <f>IF(QTS!$C$5=Estimates!$C$2,QTS!BG$102,Estimates!V11)</f>
        <v>257.03500000000008</v>
      </c>
      <c r="W11" s="62">
        <f>IF(QTS!$C$5=Estimates!$C$2,QTS!BH$102,Estimates!W11)</f>
        <v>281.34200000000004</v>
      </c>
      <c r="X11" s="62">
        <f ca="1">IF(QTS!$C$5=Estimates!$C$2,QTS!BI$102,Estimates!X11)</f>
        <v>274.58663752269678</v>
      </c>
      <c r="Y11" s="62">
        <f ca="1">IF(QTS!$C$5=Estimates!$C$2,QTS!BJ$102,Estimates!Y11)</f>
        <v>301.56078037417478</v>
      </c>
    </row>
    <row r="12" spans="1:25">
      <c r="E12" s="4"/>
      <c r="F12" s="4"/>
      <c r="G12" s="4"/>
      <c r="H12" s="4"/>
      <c r="I12" s="4"/>
      <c r="J12" s="4"/>
      <c r="K12" s="4"/>
      <c r="L12" s="4"/>
      <c r="M12" s="4"/>
      <c r="N12" s="4"/>
      <c r="O12" s="4"/>
      <c r="S12" s="4"/>
      <c r="T12" s="4"/>
      <c r="U12" s="4"/>
      <c r="V12" s="4"/>
      <c r="W12" s="4"/>
      <c r="X12" s="4"/>
      <c r="Y12" s="4"/>
    </row>
    <row r="13" spans="1:25">
      <c r="A13" t="s">
        <v>24</v>
      </c>
      <c r="B13" s="61" t="s">
        <v>250</v>
      </c>
      <c r="D13" s="62">
        <f>IF(QTS!$C$5=Estimates!$C$2,QTS!H$108,Estimates!D13)</f>
        <v>15.284999999999995</v>
      </c>
      <c r="E13" s="62">
        <f>IF(QTS!$C$5=Estimates!$C$2,QTS!I$108,Estimates!E13)</f>
        <v>15.091000000000003</v>
      </c>
      <c r="F13" s="62">
        <f>IF(QTS!$C$5=Estimates!$C$2,QTS!J$108,Estimates!F13)</f>
        <v>19.184000000000005</v>
      </c>
      <c r="G13" s="62">
        <f>IF(QTS!$C$5=Estimates!$C$2,QTS!K$108,Estimates!G13)</f>
        <v>20.353999999999999</v>
      </c>
      <c r="H13" s="62">
        <f>IF(QTS!$C$5=Estimates!$C$2,QTS!L$108,Estimates!H13)</f>
        <v>20.660000000000004</v>
      </c>
      <c r="I13" s="62">
        <f>IF(QTS!$C$5=Estimates!$C$2,QTS!M$108,Estimates!I13)</f>
        <v>19.972999999999995</v>
      </c>
      <c r="J13" s="62">
        <f>IF(QTS!$C$5=Estimates!$C$2,QTS!N$108,Estimates!J13)</f>
        <v>24.653000000000002</v>
      </c>
      <c r="K13" s="62">
        <f>IF(QTS!$C$5=Estimates!$C$2,QTS!O$108,Estimates!K13)</f>
        <v>27.398999999999997</v>
      </c>
      <c r="L13" s="62">
        <f>IF(QTS!$C$5=Estimates!$C$2,QTS!P$108,Estimates!L13)</f>
        <v>26.622000000000003</v>
      </c>
      <c r="M13" s="62">
        <f>IF(QTS!$C$5=Estimates!$C$2,QTS!Q$108,Estimates!M13)</f>
        <v>25.245000000000008</v>
      </c>
      <c r="N13" s="62">
        <f>IF(QTS!$C$5=Estimates!$C$2,QTS!R$108,Estimates!N13)</f>
        <v>35.581000000000003</v>
      </c>
      <c r="O13" s="62">
        <f>IF(QTS!$C$5=Estimates!$C$2,QTS!S$108,Estimates!O13)</f>
        <v>33.878</v>
      </c>
      <c r="Q13" s="62">
        <f>IF(QTS!$C$5=Estimates!$C$2,QTS!BB$108,Estimates!Q13)</f>
        <v>44.897999999999975</v>
      </c>
      <c r="R13" s="62">
        <f>IF(QTS!$C$5=Estimates!$C$2,QTS!BC$108,Estimates!R13)</f>
        <v>50.243999999999993</v>
      </c>
      <c r="S13" s="62">
        <f>IF(QTS!$C$5=Estimates!$C$2,QTS!BD$108,Estimates!S13)</f>
        <v>69.914000000000001</v>
      </c>
      <c r="T13" s="62">
        <f>IF(QTS!$C$5=Estimates!$C$2,QTS!BE$108,Estimates!T13)</f>
        <v>92.684999999999974</v>
      </c>
      <c r="U13" s="62">
        <f>IF(QTS!$C$5=Estimates!$C$2,QTS!BF$108,Estimates!U13)</f>
        <v>121.32599999999996</v>
      </c>
      <c r="V13" s="62">
        <f>IF(QTS!$C$5=Estimates!$C$2,QTS!BG$108,Estimates!V13)</f>
        <v>162.65100000000007</v>
      </c>
      <c r="W13" s="62">
        <f>IF(QTS!$C$5=Estimates!$C$2,QTS!BH$108,Estimates!W13)</f>
        <v>163.05900000000005</v>
      </c>
      <c r="X13" s="62">
        <f ca="1">IF(QTS!$C$5=Estimates!$C$2,QTS!BI$108,Estimates!X13)</f>
        <v>210.07663237835669</v>
      </c>
      <c r="Y13" s="62">
        <f ca="1">IF(QTS!$C$5=Estimates!$C$2,QTS!BJ$108,Estimates!Y13)</f>
        <v>233.44940292474826</v>
      </c>
    </row>
    <row r="14" spans="1:25">
      <c r="B14" s="14" t="s">
        <v>112</v>
      </c>
      <c r="D14" s="19">
        <f t="shared" ref="D14:O14" si="2">+D13/D8</f>
        <v>0.36833100390380247</v>
      </c>
      <c r="E14" s="19">
        <f t="shared" si="2"/>
        <v>0.35144387517466236</v>
      </c>
      <c r="F14" s="19">
        <f t="shared" si="2"/>
        <v>0.41686223381138643</v>
      </c>
      <c r="G14" s="19">
        <f t="shared" si="2"/>
        <v>0.42914672457778991</v>
      </c>
      <c r="H14" s="19">
        <f t="shared" si="2"/>
        <v>0.42212369491040602</v>
      </c>
      <c r="I14" s="19">
        <f t="shared" si="2"/>
        <v>0.38904904748918923</v>
      </c>
      <c r="J14" s="19">
        <f t="shared" si="2"/>
        <v>0.4254551730088878</v>
      </c>
      <c r="K14" s="19">
        <f t="shared" si="2"/>
        <v>0.46000033577892313</v>
      </c>
      <c r="L14" s="19">
        <f t="shared" si="2"/>
        <v>0.4336819470237514</v>
      </c>
      <c r="M14" s="19">
        <f t="shared" si="2"/>
        <v>0.37061232878723382</v>
      </c>
      <c r="N14" s="19">
        <f t="shared" si="2"/>
        <v>0.40028124648441898</v>
      </c>
      <c r="O14" s="19">
        <f t="shared" si="2"/>
        <v>0.36549789621318368</v>
      </c>
      <c r="Q14" s="19">
        <f t="shared" ref="Q14:V14" si="3">+Q13/Q8</f>
        <v>0.34432037792570308</v>
      </c>
      <c r="R14" s="19">
        <f t="shared" si="3"/>
        <v>0.34470598728037377</v>
      </c>
      <c r="S14" s="19">
        <f t="shared" si="3"/>
        <v>0.39302478539747143</v>
      </c>
      <c r="T14" s="19">
        <f t="shared" si="3"/>
        <v>0.42557245774579971</v>
      </c>
      <c r="U14" s="19">
        <f t="shared" si="3"/>
        <v>0.39001166891151229</v>
      </c>
      <c r="V14" s="19">
        <f t="shared" si="3"/>
        <v>0.40423945541712347</v>
      </c>
      <c r="W14" s="19">
        <f>+W13/W8</f>
        <v>0.36518555015565168</v>
      </c>
      <c r="X14" s="19">
        <f ca="1">+X13/X8</f>
        <v>0.50727874266894013</v>
      </c>
      <c r="Y14" s="19">
        <f ca="1">+Y13/Y8</f>
        <v>0.52482952535576888</v>
      </c>
    </row>
    <row r="15" spans="1:25">
      <c r="E15" s="4"/>
      <c r="F15" s="4"/>
      <c r="G15" s="4"/>
      <c r="H15" s="4"/>
      <c r="I15" s="4"/>
      <c r="J15" s="4"/>
      <c r="K15" s="4"/>
      <c r="L15" s="4"/>
      <c r="M15" s="4"/>
      <c r="N15" s="4"/>
      <c r="O15" s="4"/>
      <c r="S15" s="4"/>
      <c r="T15" s="4"/>
      <c r="U15" s="4"/>
      <c r="V15" s="4"/>
      <c r="W15" s="4"/>
      <c r="X15" s="4"/>
      <c r="Y15" s="4"/>
    </row>
    <row r="16" spans="1:25">
      <c r="A16" t="s">
        <v>24</v>
      </c>
      <c r="B16" s="61" t="s">
        <v>19</v>
      </c>
      <c r="D16" s="62">
        <f>IF(QTS!$C$5=Estimates!$C$2,QTS!H$113,Estimates!D16)</f>
        <v>16.757999999999996</v>
      </c>
      <c r="E16" s="62">
        <f>IF(QTS!$C$5=Estimates!$C$2,QTS!I$113,Estimates!E16)</f>
        <v>17.690000000000001</v>
      </c>
      <c r="F16" s="62">
        <f>IF(QTS!$C$5=Estimates!$C$2,QTS!J$113,Estimates!F16)</f>
        <v>19.694000000000006</v>
      </c>
      <c r="G16" s="62">
        <f>IF(QTS!$C$5=Estimates!$C$2,QTS!K$113,Estimates!G16)</f>
        <v>21.228000000000002</v>
      </c>
      <c r="H16" s="62">
        <f>IF(QTS!$C$5=Estimates!$C$2,QTS!L$113,Estimates!H16)</f>
        <v>21.635000000000005</v>
      </c>
      <c r="I16" s="62">
        <f>IF(QTS!$C$5=Estimates!$C$2,QTS!M$113,Estimates!I16)</f>
        <v>23.282999999999998</v>
      </c>
      <c r="J16" s="62">
        <f>IF(QTS!$C$5=Estimates!$C$2,QTS!N$113,Estimates!J16)</f>
        <v>26.079000000000004</v>
      </c>
      <c r="K16" s="62">
        <f>IF(QTS!$C$5=Estimates!$C$2,QTS!O$113,Estimates!K16)</f>
        <v>29.027999999999995</v>
      </c>
      <c r="L16" s="62">
        <f>IF(QTS!$C$5=Estimates!$C$2,QTS!P$113,Estimates!L16)</f>
        <v>28.034000000000002</v>
      </c>
      <c r="M16" s="62">
        <f>IF(QTS!$C$5=Estimates!$C$2,QTS!Q$113,Estimates!M16)</f>
        <v>31.828000000000007</v>
      </c>
      <c r="N16" s="62">
        <f>IF(QTS!$C$5=Estimates!$C$2,QTS!R$113,Estimates!N16)</f>
        <v>39.131</v>
      </c>
      <c r="O16" s="62">
        <f>IF(QTS!$C$5=Estimates!$C$2,QTS!S$113,Estimates!O16)</f>
        <v>41.047000000000004</v>
      </c>
      <c r="Q16" s="62"/>
      <c r="R16" s="62"/>
      <c r="S16" s="62">
        <f>IF(QTS!$C$5=Estimates!$C$2,QTS!BD$113,Estimates!S16)</f>
        <v>78.646999999999991</v>
      </c>
      <c r="T16" s="62">
        <f>IF(QTS!$C$5=Estimates!$C$2,QTS!BE$113,Estimates!T16)</f>
        <v>100.02499999999998</v>
      </c>
      <c r="U16" s="62">
        <f>IF(QTS!$C$5=Estimates!$C$2,QTS!BF$113,Estimates!U16)</f>
        <v>140.03999999999996</v>
      </c>
      <c r="V16" s="62">
        <f>IF(QTS!$C$5=Estimates!$C$2,QTS!BG$113,Estimates!V16)</f>
        <v>184.33400000000009</v>
      </c>
      <c r="W16" s="62">
        <f>IF(QTS!$C$5=Estimates!$C$2,QTS!BH$113,Estimates!W16)</f>
        <v>207.97400000000005</v>
      </c>
      <c r="X16" s="62">
        <f ca="1">IF(QTS!$C$5=Estimates!$C$2,QTS!BI$113,Estimates!X16)</f>
        <v>221.7643848107594</v>
      </c>
      <c r="Y16" s="62">
        <f ca="1">IF(QTS!$C$5=Estimates!$C$2,QTS!BJ$113,Estimates!Y16)</f>
        <v>246.00318048367163</v>
      </c>
    </row>
    <row r="17" spans="1:25">
      <c r="B17" s="14" t="s">
        <v>112</v>
      </c>
      <c r="D17" s="19">
        <f t="shared" ref="D17:O17" si="4">+D16/D8</f>
        <v>0.40382669044291281</v>
      </c>
      <c r="E17" s="19">
        <f t="shared" si="4"/>
        <v>0.41197019096413601</v>
      </c>
      <c r="F17" s="19">
        <f t="shared" si="4"/>
        <v>0.42794437201216873</v>
      </c>
      <c r="G17" s="19">
        <f t="shared" si="4"/>
        <v>0.44757426890720869</v>
      </c>
      <c r="H17" s="19">
        <f t="shared" si="4"/>
        <v>0.44204482765666187</v>
      </c>
      <c r="I17" s="19">
        <f t="shared" si="4"/>
        <v>0.45352370563714989</v>
      </c>
      <c r="J17" s="19">
        <f t="shared" si="4"/>
        <v>0.45006471654154812</v>
      </c>
      <c r="K17" s="19">
        <f t="shared" si="4"/>
        <v>0.48734952907006024</v>
      </c>
      <c r="L17" s="19">
        <f t="shared" si="4"/>
        <v>0.45668393444759392</v>
      </c>
      <c r="M17" s="19">
        <f t="shared" si="4"/>
        <v>0.46725487029669543</v>
      </c>
      <c r="N17" s="19">
        <f t="shared" si="4"/>
        <v>0.44021824727190911</v>
      </c>
      <c r="O17" s="19">
        <f t="shared" si="4"/>
        <v>0.44284173049951447</v>
      </c>
      <c r="S17" s="19">
        <f t="shared" ref="S17:X17" si="5">+S16/S8</f>
        <v>0.44211774890801459</v>
      </c>
      <c r="T17" s="19">
        <f t="shared" si="5"/>
        <v>0.45927480267598447</v>
      </c>
      <c r="U17" s="19">
        <f t="shared" si="5"/>
        <v>0.4501692474355718</v>
      </c>
      <c r="V17" s="19">
        <f t="shared" si="5"/>
        <v>0.45812860526440069</v>
      </c>
      <c r="W17" s="19">
        <f t="shared" si="5"/>
        <v>0.46577680231125845</v>
      </c>
      <c r="X17" s="19">
        <f t="shared" ca="1" si="5"/>
        <v>0.53550153114099075</v>
      </c>
      <c r="Y17" s="19">
        <f t="shared" ref="Y17" ca="1" si="6">+Y16/Y8</f>
        <v>0.55305231382781939</v>
      </c>
    </row>
    <row r="18" spans="1:25">
      <c r="E18" s="4"/>
      <c r="F18" s="4"/>
      <c r="G18" s="4"/>
      <c r="H18" s="4"/>
      <c r="I18" s="4"/>
      <c r="J18" s="4"/>
      <c r="K18" s="4"/>
      <c r="L18" s="4"/>
      <c r="M18" s="4"/>
      <c r="N18" s="4"/>
      <c r="O18" s="4"/>
      <c r="S18" s="4"/>
      <c r="T18" s="4"/>
      <c r="U18" s="4"/>
      <c r="V18" s="4"/>
      <c r="W18" s="4"/>
      <c r="X18" s="4"/>
      <c r="Y18" s="4"/>
    </row>
    <row r="19" spans="1:25">
      <c r="A19" t="s">
        <v>24</v>
      </c>
      <c r="B19" s="61" t="s">
        <v>40</v>
      </c>
      <c r="D19" s="62">
        <f>IF(QTS!$C$5=Estimates!$C$2,QTS!H$169,Estimates!D19)</f>
        <v>8.5309999999999935</v>
      </c>
      <c r="E19" s="62">
        <f>IF(QTS!$C$5=Estimates!$C$2,QTS!I$169,Estimates!E19)</f>
        <v>11.057000000000006</v>
      </c>
      <c r="F19" s="62">
        <f>IF(QTS!$C$5=Estimates!$C$2,QTS!J$169,Estimates!F19)</f>
        <v>13.440000000000007</v>
      </c>
      <c r="G19" s="62">
        <f>IF(QTS!$C$5=Estimates!$C$2,QTS!K$169,Estimates!G19)</f>
        <v>16.431999999999999</v>
      </c>
      <c r="H19" s="62">
        <f>IF(QTS!$C$5=Estimates!$C$2,QTS!L$169,Estimates!H19)</f>
        <v>17.256000000000004</v>
      </c>
      <c r="I19" s="62">
        <f>IF(QTS!$C$5=Estimates!$C$2,QTS!M$169,Estimates!I19)</f>
        <v>18.368999999999993</v>
      </c>
      <c r="J19" s="62">
        <f>IF(QTS!$C$5=Estimates!$C$2,QTS!N$169,Estimates!J19)</f>
        <v>18.102999999999998</v>
      </c>
      <c r="K19" s="62">
        <f>IF(QTS!$C$5=Estimates!$C$2,QTS!O$169,Estimates!K19)</f>
        <v>20.416999999999998</v>
      </c>
      <c r="L19" s="62">
        <f>IF(QTS!$C$5=Estimates!$C$2,QTS!P$169,Estimates!L19)</f>
        <v>19.444000000000006</v>
      </c>
      <c r="M19" s="62">
        <f>IF(QTS!$C$5=Estimates!$C$2,QTS!Q$169,Estimates!M19)</f>
        <v>23.422000000000004</v>
      </c>
      <c r="N19" s="62">
        <f>IF(QTS!$C$5=Estimates!$C$2,QTS!R$169,Estimates!N19)</f>
        <v>29.536000000000005</v>
      </c>
      <c r="O19" s="62">
        <f>IF(QTS!$C$5=Estimates!$C$2,QTS!S$169,Estimates!O19)</f>
        <v>31.514000000000003</v>
      </c>
      <c r="S19" s="62">
        <f>IF(QTS!$C$5=Estimates!$C$2,QTS!BD$169,Estimates!S19)</f>
        <v>49.46</v>
      </c>
      <c r="T19" s="62">
        <f>IF(QTS!$C$5=Estimates!$C$2,QTS!BE$169,Estimates!T19)</f>
        <v>74.144999999999996</v>
      </c>
      <c r="U19" s="62">
        <f>IF(QTS!$C$5=Estimates!$C$2,QTS!BF$169,Estimates!U19)</f>
        <v>103.91600000000003</v>
      </c>
      <c r="V19" s="62">
        <f>IF(QTS!$C$5=Estimates!$C$2,QTS!BG$169,Estimates!V19)</f>
        <v>140.666</v>
      </c>
      <c r="W19" s="62">
        <f>IF(QTS!$C$5=Estimates!$C$2,QTS!BH$169,Estimates!W19)</f>
        <v>156.06399999999996</v>
      </c>
      <c r="X19" s="62">
        <f ca="1">IF(QTS!$C$5=Estimates!$C$2,QTS!BI$169,Estimates!X19)</f>
        <v>150.85391993629997</v>
      </c>
      <c r="Y19" s="62">
        <f ca="1">IF(QTS!$C$5=Estimates!$C$2,QTS!BJ$169,Estimates!Y19)</f>
        <v>163.50069305632732</v>
      </c>
    </row>
    <row r="20" spans="1:25">
      <c r="E20" s="4"/>
      <c r="F20" s="4"/>
      <c r="G20" s="4"/>
      <c r="H20" s="4"/>
      <c r="I20" s="4"/>
      <c r="J20" s="4"/>
      <c r="K20" s="4"/>
      <c r="L20" s="4"/>
      <c r="M20" s="4"/>
      <c r="N20" s="4"/>
      <c r="O20" s="4"/>
      <c r="S20" s="4"/>
      <c r="T20" s="4"/>
      <c r="U20" s="4"/>
      <c r="V20" s="4"/>
      <c r="W20" s="4"/>
      <c r="X20" s="4"/>
      <c r="Y20" s="4"/>
    </row>
    <row r="21" spans="1:25">
      <c r="A21" t="s">
        <v>24</v>
      </c>
      <c r="B21" s="61" t="s">
        <v>215</v>
      </c>
      <c r="E21" s="4"/>
      <c r="F21" s="83">
        <f>IF(QTS!$C$5=Estimates!$C$2,QTS!J$170,Estimates!F21)</f>
        <v>0</v>
      </c>
      <c r="G21" s="83">
        <f>IF(QTS!$C$5=Estimates!$C$2,QTS!K$170,Estimates!G21)</f>
        <v>0.44659194386943701</v>
      </c>
      <c r="H21" s="83">
        <f>IF(QTS!$C$5=Estimates!$C$2,QTS!L$170,Estimates!H21)</f>
        <v>0.46767188296798412</v>
      </c>
      <c r="I21" s="83">
        <f>IF(QTS!$C$5=Estimates!$C$2,QTS!M$170,Estimates!I21)</f>
        <v>0.49409516069981751</v>
      </c>
      <c r="J21" s="83">
        <f>IF(QTS!$C$5=Estimates!$C$2,QTS!N$170,Estimates!J21)</f>
        <v>0.48576836611891888</v>
      </c>
      <c r="K21" s="83">
        <f>IF(QTS!$C$5=Estimates!$C$2,QTS!O$170,Estimates!K21)</f>
        <v>0.54981957235956258</v>
      </c>
      <c r="L21" s="83">
        <f>IF(QTS!$C$5=Estimates!$C$2,QTS!P$170,Estimates!L21)</f>
        <v>0.4678436866967961</v>
      </c>
      <c r="M21" s="83">
        <f>IF(QTS!$C$5=Estimates!$C$2,QTS!Q$170,Estimates!M21)</f>
        <v>0.52036296105231428</v>
      </c>
      <c r="N21" s="83">
        <f>IF(QTS!$C$5=Estimates!$C$2,QTS!R$170,Estimates!N21)</f>
        <v>0.60607283088727404</v>
      </c>
      <c r="O21" s="83">
        <f>IF(QTS!$C$5=Estimates!$C$2,QTS!S$170,Estimates!O21)</f>
        <v>0.64538555878851345</v>
      </c>
      <c r="S21" s="83">
        <f>IF(QTS!$C$5=Estimates!$C$2,QTS!BD$170,Estimates!S21)</f>
        <v>1.3442330540276508</v>
      </c>
      <c r="T21" s="83">
        <f>IF(QTS!$C$5=Estimates!$C$2,QTS!BE$170,Estimates!T21)</f>
        <v>1.997354982146283</v>
      </c>
      <c r="U21" s="83">
        <f>IF(QTS!$C$5=Estimates!$C$2,QTS!BF$170,Estimates!U21)</f>
        <v>2.2396650374248979</v>
      </c>
      <c r="V21" s="83">
        <f>IF(QTS!$C$5=Estimates!$C$2,QTS!BG$170,Estimates!V21)</f>
        <v>2.6099802852503151</v>
      </c>
      <c r="W21" s="83">
        <f>IF(QTS!$C$5=Estimates!$C$2,QTS!BH$170,Estimates!W21)</f>
        <v>2.7615931886141936</v>
      </c>
      <c r="X21" s="83">
        <f ca="1">IF(QTS!$C$5=Estimates!$C$2,QTS!BI$170,Estimates!X21)</f>
        <v>2.6019888728129104</v>
      </c>
      <c r="Y21" s="83">
        <f ca="1">IF(QTS!$C$5=Estimates!$C$2,QTS!BJ$170,Estimates!Y21)</f>
        <v>2.8038593791984634</v>
      </c>
    </row>
    <row r="22" spans="1:25">
      <c r="E22" s="4"/>
      <c r="F22" s="4"/>
      <c r="G22" s="4"/>
      <c r="H22" s="4"/>
      <c r="I22" s="4"/>
      <c r="J22" s="4"/>
      <c r="K22" s="4"/>
      <c r="L22" s="4"/>
      <c r="M22" s="4"/>
      <c r="N22" s="4"/>
      <c r="O22" s="4"/>
      <c r="S22" s="4"/>
      <c r="T22" s="4"/>
      <c r="U22" s="4"/>
      <c r="V22" s="4"/>
      <c r="W22" s="4"/>
      <c r="X22" s="4"/>
      <c r="Y22" s="4"/>
    </row>
    <row r="23" spans="1:25">
      <c r="A23" t="s">
        <v>24</v>
      </c>
      <c r="B23" s="61" t="s">
        <v>49</v>
      </c>
      <c r="D23" s="62">
        <f>IF(QTS!$C$5=Estimates!$C$2,QTS!H$181,Estimates!D23)</f>
        <v>8.3599999999999941</v>
      </c>
      <c r="E23" s="62">
        <f>IF(QTS!$C$5=Estimates!$C$2,QTS!I$181,Estimates!E23)</f>
        <v>9.773000000000005</v>
      </c>
      <c r="F23" s="62">
        <f>IF(QTS!$C$5=Estimates!$C$2,QTS!J$181,Estimates!F23)</f>
        <v>12.932000000000006</v>
      </c>
      <c r="G23" s="62">
        <f>IF(QTS!$C$5=Estimates!$C$2,QTS!K$181,Estimates!G23)</f>
        <v>16.291999999999998</v>
      </c>
      <c r="H23" s="62">
        <f>IF(QTS!$C$5=Estimates!$C$2,QTS!L$181,Estimates!H23)</f>
        <v>17.732000000000003</v>
      </c>
      <c r="I23" s="62">
        <f>IF(QTS!$C$5=Estimates!$C$2,QTS!M$181,Estimates!I23)</f>
        <v>18.713999999999992</v>
      </c>
      <c r="J23" s="62">
        <f>IF(QTS!$C$5=Estimates!$C$2,QTS!N$181,Estimates!J23)</f>
        <v>12.879999999999999</v>
      </c>
      <c r="K23" s="62">
        <f>IF(QTS!$C$5=Estimates!$C$2,QTS!O$181,Estimates!K23)</f>
        <v>19.702999999999999</v>
      </c>
      <c r="L23" s="62">
        <f>IF(QTS!$C$5=Estimates!$C$2,QTS!P$181,Estimates!L23)</f>
        <v>20.075000000000006</v>
      </c>
      <c r="M23" s="62">
        <f>IF(QTS!$C$5=Estimates!$C$2,QTS!Q$181,Estimates!M23)</f>
        <v>22.238000000000003</v>
      </c>
      <c r="N23" s="62">
        <f>IF(QTS!$C$5=Estimates!$C$2,QTS!R$181,Estimates!N23)</f>
        <v>29.670000000000005</v>
      </c>
      <c r="O23" s="62">
        <f>IF(QTS!$C$5=Estimates!$C$2,QTS!S$181,Estimates!O23)</f>
        <v>27.843000000000004</v>
      </c>
      <c r="S23" s="62">
        <f>IF(QTS!$C$5=Estimates!$C$2,QTS!BD$181,Estimates!S23)</f>
        <v>47.356999999999999</v>
      </c>
      <c r="T23" s="62">
        <f>IF(QTS!$C$5=Estimates!$C$2,QTS!BE$181,Estimates!T23)</f>
        <v>69.028999999999996</v>
      </c>
      <c r="U23" s="62">
        <f>IF(QTS!$C$5=Estimates!$C$2,QTS!BF$181,Estimates!U23)</f>
        <v>99.826000000000022</v>
      </c>
      <c r="V23" s="62">
        <f>IF(QTS!$C$5=Estimates!$C$2,QTS!BG$181,Estimates!V23)</f>
        <v>134.11900000000003</v>
      </c>
      <c r="W23" s="62">
        <f>IF(QTS!$C$5=Estimates!$C$2,QTS!BH$181,Estimates!W23)</f>
        <v>151.29499999999999</v>
      </c>
      <c r="X23" s="62">
        <f ca="1">IF(QTS!$C$5=Estimates!$C$2,QTS!BI$181,Estimates!X23)</f>
        <v>151.81376778352114</v>
      </c>
      <c r="Y23" s="62">
        <f ca="1">IF(QTS!$C$5=Estimates!$C$2,QTS!BJ$181,Estimates!Y23)</f>
        <v>166.12595761240027</v>
      </c>
    </row>
    <row r="24" spans="1:25">
      <c r="D24" s="10"/>
      <c r="E24" s="7"/>
      <c r="F24" s="7"/>
      <c r="G24" s="7"/>
      <c r="H24" s="7"/>
      <c r="I24" s="7"/>
      <c r="J24" s="7"/>
      <c r="K24" s="7"/>
      <c r="L24" s="4"/>
      <c r="M24" s="4"/>
      <c r="N24" s="4"/>
      <c r="O24" s="4"/>
      <c r="S24" s="4"/>
      <c r="T24" s="4"/>
      <c r="U24" s="4"/>
      <c r="V24" s="4"/>
      <c r="W24" s="4"/>
      <c r="X24" s="4"/>
      <c r="Y24" s="4"/>
    </row>
    <row r="25" spans="1:25">
      <c r="A25" t="s">
        <v>24</v>
      </c>
      <c r="B25" s="61" t="s">
        <v>216</v>
      </c>
      <c r="D25" s="10"/>
      <c r="E25" s="7"/>
      <c r="F25" s="83">
        <f>IF(QTS!$C$5=Estimates!$C$2,QTS!J$182,Estimates!F25)</f>
        <v>0</v>
      </c>
      <c r="G25" s="83">
        <f>IF(QTS!$C$5=Estimates!$C$2,QTS!K$182,Estimates!G25)</f>
        <v>0.44278699790170811</v>
      </c>
      <c r="H25" s="83">
        <f>IF(QTS!$C$5=Estimates!$C$2,QTS!L$182,Estimates!H25)</f>
        <v>0.48057242865022565</v>
      </c>
      <c r="I25" s="83">
        <f>IF(QTS!$C$5=Estimates!$C$2,QTS!M$182,Estimates!I25)</f>
        <v>0.50337507960892725</v>
      </c>
      <c r="J25" s="83">
        <f>IF(QTS!$C$5=Estimates!$C$2,QTS!N$182,Estimates!J25)</f>
        <v>0.34561655833904192</v>
      </c>
      <c r="K25" s="83">
        <f>IF(QTS!$C$5=Estimates!$C$2,QTS!O$182,Estimates!K25)</f>
        <v>0.53059191037862874</v>
      </c>
      <c r="L25" s="83">
        <f>IF(QTS!$C$5=Estimates!$C$2,QTS!P$182,Estimates!L25)</f>
        <v>0.48302622970778553</v>
      </c>
      <c r="M25" s="83">
        <f>IF(QTS!$C$5=Estimates!$C$2,QTS!Q$182,Estimates!M25)</f>
        <v>0.49405821568958092</v>
      </c>
      <c r="N25" s="83">
        <f>IF(QTS!$C$5=Estimates!$C$2,QTS!R$182,Estimates!N25)</f>
        <v>0.60882248416933304</v>
      </c>
      <c r="O25" s="83">
        <f>IF(QTS!$C$5=Estimates!$C$2,QTS!S$182,Estimates!O25)</f>
        <v>0.5702059438138154</v>
      </c>
      <c r="S25" s="83">
        <f>IF(QTS!$C$5=Estimates!$C$2,QTS!BD$182,Estimates!S25)</f>
        <v>1.287077329955266</v>
      </c>
      <c r="T25" s="83">
        <f>IF(QTS!$C$5=Estimates!$C$2,QTS!BE$182,Estimates!T25)</f>
        <v>1.8601559769768237</v>
      </c>
      <c r="U25" s="83">
        <f>IF(QTS!$C$5=Estimates!$C$2,QTS!BF$182,Estimates!U25)</f>
        <v>2.1561128733805148</v>
      </c>
      <c r="V25" s="83">
        <f>IF(QTS!$C$5=Estimates!$C$2,QTS!BG$182,Estimates!V25)</f>
        <v>2.4852008810627124</v>
      </c>
      <c r="W25" s="83">
        <f>IF(QTS!$C$5=Estimates!$C$2,QTS!BH$182,Estimates!W25)</f>
        <v>2.6801078765192159</v>
      </c>
      <c r="X25" s="83">
        <f ca="1">IF(QTS!$C$5=Estimates!$C$2,QTS!BI$182,Estimates!X25)</f>
        <v>2.618332656317369</v>
      </c>
      <c r="Y25" s="83">
        <f ca="1">IF(QTS!$C$5=Estimates!$C$2,QTS!BJ$182,Estimates!Y25)</f>
        <v>2.8488651286835784</v>
      </c>
    </row>
    <row r="26" spans="1:25">
      <c r="E26" s="4"/>
      <c r="F26" s="4"/>
      <c r="G26" s="4"/>
      <c r="H26" s="4"/>
      <c r="I26" s="4"/>
      <c r="J26" s="4"/>
      <c r="K26" s="4"/>
      <c r="L26" s="4"/>
      <c r="M26" s="4"/>
      <c r="N26" s="4"/>
      <c r="O26" s="4"/>
      <c r="S26" s="4"/>
      <c r="T26" s="4"/>
      <c r="U26" s="4"/>
      <c r="V26" s="4"/>
      <c r="W26" s="4"/>
      <c r="X26" s="4"/>
      <c r="Y26" s="4"/>
    </row>
    <row r="27" spans="1:25">
      <c r="A27" t="s">
        <v>24</v>
      </c>
      <c r="B27" s="61" t="s">
        <v>163</v>
      </c>
      <c r="E27" s="62">
        <f>IF(QTS!$C$5=Estimates!$C$2,QTS!I$185,Estimates!E27)</f>
        <v>0</v>
      </c>
      <c r="F27" s="62">
        <f>IF(QTS!$C$5=Estimates!$C$2,QTS!J$185,Estimates!F27)</f>
        <v>0</v>
      </c>
      <c r="G27" s="62">
        <f>IF(QTS!$C$5=Estimates!$C$2,QTS!K$185,Estimates!G27)</f>
        <v>8.8306115999999992</v>
      </c>
      <c r="H27" s="62">
        <f>IF(QTS!$C$5=Estimates!$C$2,QTS!L$185,Estimates!H27)</f>
        <v>10.700322560000002</v>
      </c>
      <c r="I27" s="62">
        <f>IF(QTS!$C$5=Estimates!$C$2,QTS!M$185,Estimates!I27)</f>
        <v>10.78134421</v>
      </c>
      <c r="J27" s="62">
        <f>IF(QTS!$C$5=Estimates!$C$2,QTS!N$185,Estimates!J27)</f>
        <v>10.807352569999999</v>
      </c>
      <c r="K27" s="62">
        <f>IF(QTS!$C$5=Estimates!$C$2,QTS!O$185,Estimates!K27)</f>
        <v>10.76886</v>
      </c>
      <c r="L27" s="62">
        <f>IF(QTS!$C$5=Estimates!$C$2,QTS!P$185,Estimates!L27)</f>
        <v>13.2994848</v>
      </c>
      <c r="M27" s="62">
        <f>IF(QTS!$C$5=Estimates!$C$2,QTS!Q$185,Estimates!M27)</f>
        <v>14.403484800000001</v>
      </c>
      <c r="N27" s="62">
        <f>IF(QTS!$C$5=Estimates!$C$2,QTS!R$185,Estimates!N27)</f>
        <v>15.594693440000002</v>
      </c>
      <c r="O27" s="62">
        <f>IF(QTS!$C$5=Estimates!$C$2,QTS!S$185,Estimates!O27)</f>
        <v>17.57870136</v>
      </c>
      <c r="S27" s="62">
        <f>IF(QTS!$C$5=Estimates!$C$2,QTS!BD$185,Estimates!S27)</f>
        <v>8.8306115999999992</v>
      </c>
      <c r="T27" s="62">
        <f>IF(QTS!$C$5=Estimates!$C$2,QTS!BE$185,Estimates!T27)</f>
        <v>43.05787934</v>
      </c>
      <c r="U27" s="62">
        <f>IF(QTS!$C$5=Estimates!$C$2,QTS!BF$185,Estimates!U27)</f>
        <v>60.8763644</v>
      </c>
      <c r="V27" s="62">
        <f>IF(QTS!$C$5=Estimates!$C$2,QTS!BG$185,Estimates!V27)</f>
        <v>79.358081459999994</v>
      </c>
      <c r="W27" s="62">
        <f>IF(QTS!$C$5=Estimates!$C$2,QTS!BH$185,Estimates!W27)</f>
        <v>88.021374090000009</v>
      </c>
      <c r="X27" s="62">
        <f ca="1">IF(QTS!$C$5=Estimates!$C$2,QTS!BI$185,Estimates!X27)</f>
        <v>95.087476140520423</v>
      </c>
      <c r="Y27" s="62">
        <f ca="1">IF(QTS!$C$5=Estimates!$C$2,QTS!BJ$185,Estimates!Y27)</f>
        <v>99.894688875985807</v>
      </c>
    </row>
    <row r="28" spans="1:25">
      <c r="E28" s="4"/>
      <c r="F28" s="4"/>
      <c r="G28" s="4"/>
      <c r="H28" s="4"/>
      <c r="I28" s="4"/>
      <c r="J28" s="4"/>
      <c r="K28" s="4"/>
      <c r="L28" s="4"/>
      <c r="M28" s="4"/>
      <c r="N28" s="4"/>
      <c r="O28" s="4"/>
      <c r="S28" s="4"/>
      <c r="T28" s="4"/>
      <c r="U28" s="4"/>
      <c r="V28" s="4"/>
      <c r="W28" s="4"/>
      <c r="X28" s="4"/>
      <c r="Y28" s="4"/>
    </row>
    <row r="29" spans="1:25">
      <c r="A29" t="s">
        <v>24</v>
      </c>
      <c r="B29" s="61" t="s">
        <v>186</v>
      </c>
      <c r="E29" s="4"/>
      <c r="F29" s="62">
        <f>IF(QTS!$C$5=Estimates!$C$2,-QTS!J$223,Estimates!F29)</f>
        <v>37.572000000000003</v>
      </c>
      <c r="G29" s="62">
        <f>IF(QTS!$C$5=Estimates!$C$2,-QTS!K$223,Estimates!G29)</f>
        <v>44.739999999999981</v>
      </c>
      <c r="H29" s="62">
        <f>IF(QTS!$C$5=Estimates!$C$2,-QTS!L$223,Estimates!H29)</f>
        <v>59.164999999999999</v>
      </c>
      <c r="I29" s="62">
        <f>IF(QTS!$C$5=Estimates!$C$2,-QTS!M$223,Estimates!I29)</f>
        <v>54.991999999999997</v>
      </c>
      <c r="J29" s="62">
        <f>IF(QTS!$C$5=Estimates!$C$2,-QTS!N$223,Estimates!J29)</f>
        <v>41.85100000000002</v>
      </c>
      <c r="K29" s="62">
        <f>IF(QTS!$C$5=Estimates!$C$2,-QTS!O$223,Estimates!K29)</f>
        <v>45.136999999999993</v>
      </c>
      <c r="L29" s="62">
        <f>IF(QTS!$C$5=Estimates!$C$2,-QTS!P$223,Estimates!L29)</f>
        <v>73.399000000000001</v>
      </c>
      <c r="M29" s="62">
        <f>IF(QTS!$C$5=Estimates!$C$2,-QTS!Q$223,Estimates!M29)</f>
        <v>96.751000000000005</v>
      </c>
      <c r="N29" s="62">
        <f>IF(QTS!$C$5=Estimates!$C$2,-QTS!R$223,Estimates!N29)</f>
        <v>82.006</v>
      </c>
      <c r="O29" s="62">
        <f>IF(QTS!$C$5=Estimates!$C$2,-QTS!S$223,Estimates!O29)</f>
        <v>67.901999999999987</v>
      </c>
      <c r="S29" s="62">
        <f>IF(QTS!$C$5=Estimates!$C$2,-SUM(QTS!BD$223,,QTS!BD$222),Estimates!S29)</f>
        <v>168.83799999999999</v>
      </c>
      <c r="T29" s="62">
        <f>IF(QTS!$C$5=Estimates!$C$2,-SUM(QTS!BE$223,,QTS!BE$222),Estimates!T29)</f>
        <v>292.209</v>
      </c>
      <c r="U29" s="62">
        <f>IF(QTS!$C$5=Estimates!$C$2,-SUM(QTS!BF$223,,QTS!BF$222),Estimates!U29)</f>
        <v>612.74299999999994</v>
      </c>
      <c r="V29" s="62">
        <f>IF(QTS!$C$5=Estimates!$C$2,-SUM(QTS!BG$223,,QTS!BG$222),Estimates!V29)</f>
        <v>452.97199999999998</v>
      </c>
      <c r="W29" s="62">
        <f>IF(QTS!$C$5=Estimates!$C$2,-SUM(QTS!BH$223,,QTS!BH$222),Estimates!W29)</f>
        <v>434.35199999999998</v>
      </c>
      <c r="X29" s="62">
        <f ca="1">IF(QTS!$C$5=Estimates!$C$2,-SUM(QTS!BI$223,,QTS!BI$222),Estimates!X29)</f>
        <v>414.12465121854467</v>
      </c>
      <c r="Y29" s="62">
        <f ca="1">IF(QTS!$C$5=Estimates!$C$2,-SUM(QTS!BJ$223,,QTS!BJ$222),Estimates!Y29)</f>
        <v>215.30400137139861</v>
      </c>
    </row>
    <row r="33" spans="1:25">
      <c r="B33" s="9" t="s">
        <v>247</v>
      </c>
      <c r="C33" s="82">
        <v>1</v>
      </c>
    </row>
    <row r="34" spans="1:25">
      <c r="B34" s="2" t="s">
        <v>0</v>
      </c>
      <c r="C34" s="2"/>
      <c r="D34" s="2"/>
      <c r="E34" s="2"/>
      <c r="F34" s="2"/>
      <c r="G34" s="2"/>
      <c r="H34" s="2"/>
      <c r="I34" s="2"/>
      <c r="J34" s="2"/>
      <c r="K34" s="2"/>
      <c r="L34" s="2"/>
      <c r="M34" s="2"/>
      <c r="N34" s="2"/>
      <c r="O34" s="2"/>
      <c r="Q34" s="2"/>
      <c r="R34" s="2"/>
      <c r="S34" s="2"/>
      <c r="T34" s="2"/>
      <c r="U34" s="2"/>
      <c r="V34" s="2"/>
      <c r="W34" s="2"/>
      <c r="X34" s="2"/>
      <c r="Y34" s="2"/>
    </row>
    <row r="35" spans="1:25">
      <c r="B35" s="2" t="s">
        <v>183</v>
      </c>
      <c r="C35" s="2"/>
      <c r="D35" s="3" t="s">
        <v>26</v>
      </c>
      <c r="E35" s="3" t="s">
        <v>25</v>
      </c>
      <c r="F35" s="3" t="s">
        <v>27</v>
      </c>
      <c r="G35" s="3" t="s">
        <v>28</v>
      </c>
      <c r="H35" s="3" t="s">
        <v>29</v>
      </c>
      <c r="I35" s="3" t="s">
        <v>30</v>
      </c>
      <c r="J35" s="3" t="s">
        <v>31</v>
      </c>
      <c r="K35" s="3" t="s">
        <v>32</v>
      </c>
      <c r="L35" s="3" t="s">
        <v>143</v>
      </c>
      <c r="M35" s="3" t="s">
        <v>144</v>
      </c>
      <c r="N35" s="3" t="s">
        <v>145</v>
      </c>
      <c r="O35" s="3" t="s">
        <v>146</v>
      </c>
      <c r="Q35" s="3">
        <f>+Q4</f>
        <v>2011</v>
      </c>
      <c r="R35" s="3">
        <f t="shared" ref="R35:Y35" si="7">+R4</f>
        <v>2012</v>
      </c>
      <c r="S35" s="3">
        <f t="shared" si="7"/>
        <v>2013</v>
      </c>
      <c r="T35" s="3">
        <f t="shared" si="7"/>
        <v>2014</v>
      </c>
      <c r="U35" s="3">
        <f t="shared" si="7"/>
        <v>2015</v>
      </c>
      <c r="V35" s="3">
        <f t="shared" si="7"/>
        <v>2016</v>
      </c>
      <c r="W35" s="3" t="str">
        <f t="shared" si="7"/>
        <v>2017E</v>
      </c>
      <c r="X35" s="3" t="str">
        <f t="shared" si="7"/>
        <v>2018E</v>
      </c>
      <c r="Y35" s="3" t="str">
        <f t="shared" si="7"/>
        <v>2019E</v>
      </c>
    </row>
    <row r="37" spans="1:25">
      <c r="B37" s="61" t="s">
        <v>185</v>
      </c>
    </row>
    <row r="39" spans="1:25">
      <c r="A39" t="s">
        <v>24</v>
      </c>
      <c r="B39" s="61" t="s">
        <v>8</v>
      </c>
      <c r="D39" s="62">
        <f ca="1">IF(QTS!$C$5=Estimates!$C$33,QTS!H$86,Estimates!D39)</f>
        <v>41.497999999999998</v>
      </c>
      <c r="E39" s="62">
        <f ca="1">IF(QTS!$C$5=Estimates!$C$33,QTS!I$86,Estimates!E39)</f>
        <v>42.940000000000005</v>
      </c>
      <c r="F39" s="62">
        <f ca="1">IF(QTS!$C$5=Estimates!$C$33,QTS!J$86,Estimates!F39)</f>
        <v>46.02</v>
      </c>
      <c r="G39" s="62">
        <f ca="1">IF(QTS!$C$5=Estimates!$C$33,QTS!K$86,Estimates!G39)</f>
        <v>47.429000000000002</v>
      </c>
      <c r="H39" s="62">
        <f ca="1">IF(QTS!$C$5=Estimates!$C$33,QTS!L$86,Estimates!H39)</f>
        <v>48.943000000000005</v>
      </c>
      <c r="I39" s="62">
        <f ca="1">IF(QTS!$C$5=Estimates!$C$33,QTS!M$86,Estimates!I39)</f>
        <v>51.337999999999994</v>
      </c>
      <c r="J39" s="62">
        <f ca="1">IF(QTS!$C$5=Estimates!$C$33,QTS!N$86,Estimates!J39)</f>
        <v>57.945</v>
      </c>
      <c r="K39" s="62">
        <f ca="1">IF(QTS!$C$5=Estimates!$C$33,QTS!O$86,Estimates!K39)</f>
        <v>59.562999999999995</v>
      </c>
      <c r="L39" s="62">
        <f ca="1">IF(QTS!$C$5=Estimates!$C$33,QTS!P$86,Estimates!L39)</f>
        <v>61.386000000000003</v>
      </c>
      <c r="M39" s="62">
        <f ca="1">IF(QTS!$C$5=Estimates!$C$33,QTS!Q$86,Estimates!M39)</f>
        <v>68.117000000000004</v>
      </c>
      <c r="N39" s="62">
        <f ca="1">IF(QTS!$C$5=Estimates!$C$33,QTS!R$86,Estimates!N39)</f>
        <v>88.89</v>
      </c>
      <c r="O39" s="62">
        <f ca="1">IF(QTS!$C$5=Estimates!$C$33,QTS!S$86,Estimates!O39)</f>
        <v>92.690000000000012</v>
      </c>
      <c r="Q39" s="62">
        <f ca="1">IF(QTS!$C$5=Estimates!$C$33,QTS!BB$86,Estimates!Q39)</f>
        <v>130.39599999999999</v>
      </c>
      <c r="R39" s="62">
        <f ca="1">IF(QTS!$C$5=Estimates!$C$33,QTS!BC$86,Estimates!R39)</f>
        <v>145.75899999999999</v>
      </c>
      <c r="S39" s="62">
        <f ca="1">IF(QTS!$C$5=Estimates!$C$33,QTS!BD$86,Estimates!S39)</f>
        <v>177.887</v>
      </c>
      <c r="T39" s="62">
        <f ca="1">IF(QTS!$C$5=Estimates!$C$33,QTS!BE$86,Estimates!T39)</f>
        <v>217.78899999999999</v>
      </c>
      <c r="U39" s="62">
        <f ca="1">IF(QTS!$C$5=Estimates!$C$33,QTS!BF$86,Estimates!U39)</f>
        <v>311.08299999999997</v>
      </c>
      <c r="V39" s="62">
        <f ca="1">IF(QTS!$C$5=Estimates!$C$33,QTS!BG$86,Estimates!V39)</f>
        <v>402.36300000000006</v>
      </c>
      <c r="W39" s="62">
        <f ca="1">IF(QTS!$C$5=Estimates!$C$33,QTS!BH$86,Estimates!W39)</f>
        <v>446.51000000000005</v>
      </c>
      <c r="X39" s="62">
        <f ca="1">IF(QTS!$C$5=Estimates!$C$33,QTS!BI86,Estimates!X39)</f>
        <v>417.3323403125691</v>
      </c>
      <c r="Y39" s="62">
        <f ca="1">IF(QTS!$C$5=Estimates!$C$33,QTS!BJ86,Estimates!Y39)</f>
        <v>454.2718145766359</v>
      </c>
    </row>
    <row r="40" spans="1:25">
      <c r="B40" s="14" t="s">
        <v>218</v>
      </c>
      <c r="D40" s="7"/>
      <c r="E40" s="19">
        <f t="shared" ref="E40:O40" ca="1" si="8">+E39/D39-1</f>
        <v>3.4748662586148837E-2</v>
      </c>
      <c r="F40" s="19">
        <f t="shared" ca="1" si="8"/>
        <v>7.1727992547740982E-2</v>
      </c>
      <c r="G40" s="19">
        <f t="shared" ca="1" si="8"/>
        <v>3.0617122990004297E-2</v>
      </c>
      <c r="H40" s="19">
        <f t="shared" ca="1" si="8"/>
        <v>3.1921398300617909E-2</v>
      </c>
      <c r="I40" s="19">
        <f t="shared" ca="1" si="8"/>
        <v>4.8934474797212912E-2</v>
      </c>
      <c r="J40" s="19">
        <f t="shared" ca="1" si="8"/>
        <v>0.12869609256301384</v>
      </c>
      <c r="K40" s="19">
        <f t="shared" ca="1" si="8"/>
        <v>2.792303045991873E-2</v>
      </c>
      <c r="L40" s="19">
        <f t="shared" ca="1" si="8"/>
        <v>3.0606248845760131E-2</v>
      </c>
      <c r="M40" s="19">
        <f t="shared" ca="1" si="8"/>
        <v>0.10965040888802013</v>
      </c>
      <c r="N40" s="19">
        <f t="shared" ca="1" si="8"/>
        <v>0.30496058252712244</v>
      </c>
      <c r="O40" s="19">
        <f t="shared" ca="1" si="8"/>
        <v>4.2749465631679806E-2</v>
      </c>
      <c r="Q40" s="19"/>
      <c r="R40" s="19">
        <f t="shared" ref="R40:Y40" ca="1" si="9">+R39/Q39-1</f>
        <v>0.11781803122795176</v>
      </c>
      <c r="S40" s="19">
        <f t="shared" ca="1" si="9"/>
        <v>0.22041863624201596</v>
      </c>
      <c r="T40" s="19">
        <f t="shared" ca="1" si="9"/>
        <v>0.22431093896687226</v>
      </c>
      <c r="U40" s="19">
        <f t="shared" ca="1" si="9"/>
        <v>0.42836874222297716</v>
      </c>
      <c r="V40" s="19">
        <f t="shared" ca="1" si="9"/>
        <v>0.29342651318136981</v>
      </c>
      <c r="W40" s="19">
        <f t="shared" ca="1" si="9"/>
        <v>0.10971933304006587</v>
      </c>
      <c r="X40" s="19">
        <f t="shared" ca="1" si="9"/>
        <v>-6.5346038582407839E-2</v>
      </c>
      <c r="Y40" s="19">
        <f t="shared" ca="1" si="9"/>
        <v>8.8513327858560586E-2</v>
      </c>
    </row>
    <row r="41" spans="1:25">
      <c r="E41" s="4"/>
      <c r="F41" s="4"/>
      <c r="G41" s="4"/>
      <c r="H41" s="4"/>
      <c r="I41" s="4"/>
      <c r="J41" s="4"/>
      <c r="K41" s="4"/>
      <c r="L41" s="4"/>
      <c r="M41" s="4"/>
      <c r="N41" s="4"/>
      <c r="O41" s="4"/>
      <c r="S41" s="4"/>
      <c r="T41" s="4"/>
      <c r="U41" s="4"/>
      <c r="V41" s="4"/>
      <c r="W41" s="4"/>
      <c r="X41" s="4"/>
      <c r="Y41" s="4"/>
    </row>
    <row r="42" spans="1:25">
      <c r="A42" t="s">
        <v>24</v>
      </c>
      <c r="B42" s="61" t="s">
        <v>209</v>
      </c>
      <c r="D42" s="62">
        <f ca="1">IF(QTS!$C$5=Estimates!$C$33,QTS!H$102,Estimates!D42)</f>
        <v>25.976999999999997</v>
      </c>
      <c r="E42" s="62">
        <f ca="1">IF(QTS!$C$5=Estimates!$C$33,QTS!I$102,Estimates!E42)</f>
        <v>26.966000000000005</v>
      </c>
      <c r="F42" s="62">
        <f ca="1">IF(QTS!$C$5=Estimates!$C$33,QTS!J$102,Estimates!F42)</f>
        <v>29.281000000000002</v>
      </c>
      <c r="G42" s="62">
        <f ca="1">IF(QTS!$C$5=Estimates!$C$33,QTS!K$102,Estimates!G42)</f>
        <v>30.421000000000003</v>
      </c>
      <c r="H42" s="62">
        <f ca="1">IF(QTS!$C$5=Estimates!$C$33,QTS!L$102,Estimates!H42)</f>
        <v>31.502000000000006</v>
      </c>
      <c r="I42" s="62">
        <f ca="1">IF(QTS!$C$5=Estimates!$C$33,QTS!M$102,Estimates!I42)</f>
        <v>33.690999999999995</v>
      </c>
      <c r="J42" s="62">
        <f ca="1">IF(QTS!$C$5=Estimates!$C$33,QTS!N$102,Estimates!J42)</f>
        <v>36.199000000000005</v>
      </c>
      <c r="K42" s="62">
        <f ca="1">IF(QTS!$C$5=Estimates!$C$33,QTS!O$102,Estimates!K42)</f>
        <v>39.762999999999998</v>
      </c>
      <c r="L42" s="62">
        <f ca="1">IF(QTS!$C$5=Estimates!$C$33,QTS!P$102,Estimates!L42)</f>
        <v>40.565000000000005</v>
      </c>
      <c r="M42" s="62">
        <f ca="1">IF(QTS!$C$5=Estimates!$C$33,QTS!Q$102,Estimates!M42)</f>
        <v>44.612000000000009</v>
      </c>
      <c r="N42" s="62">
        <f ca="1">IF(QTS!$C$5=Estimates!$C$33,QTS!R$102,Estimates!N42)</f>
        <v>56.503</v>
      </c>
      <c r="O42" s="62">
        <f ca="1">IF(QTS!$C$5=Estimates!$C$33,QTS!S$102,Estimates!O42)</f>
        <v>59.179000000000002</v>
      </c>
      <c r="Q42" s="62">
        <f ca="1">IF(QTS!$C$5=Estimates!$C$33,QTS!BB$102,Estimates!Q42)</f>
        <v>73.231999999999971</v>
      </c>
      <c r="R42" s="62">
        <f ca="1">IF(QTS!$C$5=Estimates!$C$33,QTS!BC$102,Estimates!R42)</f>
        <v>86.432999999999993</v>
      </c>
      <c r="S42" s="62">
        <f ca="1">IF(QTS!$C$5=Estimates!$C$33,QTS!BD$102,Estimates!S42)</f>
        <v>112.645</v>
      </c>
      <c r="T42" s="62">
        <f ca="1">IF(QTS!$C$5=Estimates!$C$33,QTS!BE$102,Estimates!T42)</f>
        <v>141.15499999999997</v>
      </c>
      <c r="U42" s="62">
        <f ca="1">IF(QTS!$C$5=Estimates!$C$33,QTS!BF$102,Estimates!U42)</f>
        <v>200.85899999999995</v>
      </c>
      <c r="V42" s="62">
        <f ca="1">IF(QTS!$C$5=Estimates!$C$33,QTS!BG$102,Estimates!V42)</f>
        <v>257.03500000000008</v>
      </c>
      <c r="W42" s="62">
        <f ca="1">IF(QTS!$C$5=Estimates!$C$33,QTS!BH$102,Estimates!W42)</f>
        <v>281.34200000000004</v>
      </c>
      <c r="X42" s="62">
        <f ca="1">IF(QTS!$C$5=Estimates!$C$33,QTS!BI102,Estimates!X42)</f>
        <v>277.33385078454774</v>
      </c>
      <c r="Y42" s="62">
        <f ca="1">IF(QTS!$C$5=Estimates!$C$33,QTS!BJ102,Estimates!Y42)</f>
        <v>308.63210966328813</v>
      </c>
    </row>
    <row r="43" spans="1:25">
      <c r="B43" t="s">
        <v>184</v>
      </c>
      <c r="D43" s="7">
        <v>25.992999999999999</v>
      </c>
      <c r="E43" s="7">
        <v>26.97</v>
      </c>
      <c r="F43" s="7">
        <v>28.96</v>
      </c>
      <c r="G43" s="7">
        <v>31.218</v>
      </c>
      <c r="H43" s="7">
        <v>32.069000000000003</v>
      </c>
      <c r="I43" s="7">
        <v>33.210999999999999</v>
      </c>
      <c r="J43" s="7">
        <v>34.862000000000002</v>
      </c>
      <c r="K43" s="7">
        <v>38.835999999999999</v>
      </c>
      <c r="L43" s="4"/>
      <c r="M43" s="4"/>
      <c r="N43" s="4"/>
      <c r="O43" s="4"/>
      <c r="Q43" s="4">
        <f ca="1">+Q42</f>
        <v>73.231999999999971</v>
      </c>
      <c r="R43" s="4">
        <f ca="1">+R42</f>
        <v>86.432999999999993</v>
      </c>
      <c r="S43" s="4">
        <f>+SUM(D43:G43)</f>
        <v>113.14100000000001</v>
      </c>
      <c r="T43" s="4">
        <f>+SUM(H43:K43)</f>
        <v>138.97800000000001</v>
      </c>
      <c r="U43" s="4"/>
      <c r="V43" s="4"/>
      <c r="W43" s="4"/>
      <c r="X43" s="4"/>
      <c r="Y43" s="4"/>
    </row>
    <row r="44" spans="1:25">
      <c r="E44" s="4"/>
      <c r="F44" s="4"/>
      <c r="G44" s="4"/>
      <c r="H44" s="4"/>
      <c r="I44" s="4"/>
      <c r="J44" s="4"/>
      <c r="K44" s="4"/>
      <c r="L44" s="4"/>
      <c r="M44" s="4"/>
      <c r="N44" s="4"/>
      <c r="O44" s="4"/>
      <c r="S44" s="4"/>
      <c r="T44" s="4"/>
      <c r="U44" s="4"/>
      <c r="V44" s="4"/>
      <c r="W44" s="4"/>
      <c r="X44" s="4"/>
      <c r="Y44" s="4"/>
    </row>
    <row r="45" spans="1:25">
      <c r="A45" t="s">
        <v>24</v>
      </c>
      <c r="B45" s="61" t="s">
        <v>250</v>
      </c>
      <c r="D45" s="62">
        <f ca="1">IF(QTS!$C$5=Estimates!$C$33,QTS!H$108,Estimates!D45)</f>
        <v>15.284999999999995</v>
      </c>
      <c r="E45" s="62">
        <f ca="1">IF(QTS!$C$5=Estimates!$C$33,QTS!I$108,Estimates!E45)</f>
        <v>15.091000000000003</v>
      </c>
      <c r="F45" s="62">
        <f ca="1">IF(QTS!$C$5=Estimates!$C$33,QTS!J$108,Estimates!F45)</f>
        <v>19.184000000000005</v>
      </c>
      <c r="G45" s="62">
        <f ca="1">IF(QTS!$C$5=Estimates!$C$33,QTS!K$108,Estimates!G45)</f>
        <v>20.353999999999999</v>
      </c>
      <c r="H45" s="62">
        <f ca="1">IF(QTS!$C$5=Estimates!$C$33,QTS!L$108,Estimates!H45)</f>
        <v>20.660000000000004</v>
      </c>
      <c r="I45" s="62">
        <f ca="1">IF(QTS!$C$5=Estimates!$C$33,QTS!M$108,Estimates!I45)</f>
        <v>19.972999999999995</v>
      </c>
      <c r="J45" s="62">
        <f ca="1">IF(QTS!$C$5=Estimates!$C$33,QTS!N$108,Estimates!J45)</f>
        <v>24.653000000000002</v>
      </c>
      <c r="K45" s="62">
        <f ca="1">IF(QTS!$C$5=Estimates!$C$33,QTS!O$108,Estimates!K45)</f>
        <v>27.398999999999997</v>
      </c>
      <c r="L45" s="62">
        <f ca="1">IF(QTS!$C$5=Estimates!$C$33,QTS!P$108,Estimates!L45)</f>
        <v>26.622000000000003</v>
      </c>
      <c r="M45" s="62">
        <f ca="1">IF(QTS!$C$5=Estimates!$C$33,QTS!Q$108,Estimates!M45)</f>
        <v>25.245000000000008</v>
      </c>
      <c r="N45" s="62">
        <f ca="1">IF(QTS!$C$5=Estimates!$C$33,QTS!R$108,Estimates!N45)</f>
        <v>35.581000000000003</v>
      </c>
      <c r="O45" s="62">
        <f ca="1">IF(QTS!$C$5=Estimates!$C$33,QTS!S$108,Estimates!O45)</f>
        <v>33.878</v>
      </c>
      <c r="Q45" s="62">
        <f ca="1">IF(QTS!$C$5=Estimates!$C$33,QTS!BB$108,Estimates!Q45)</f>
        <v>44.897999999999975</v>
      </c>
      <c r="R45" s="62">
        <f ca="1">IF(QTS!$C$5=Estimates!$C$33,QTS!BC$108,Estimates!R45)</f>
        <v>50.243999999999993</v>
      </c>
      <c r="S45" s="62">
        <f ca="1">IF(QTS!$C$5=Estimates!$C$33,QTS!BD$108,Estimates!S45)</f>
        <v>69.914000000000001</v>
      </c>
      <c r="T45" s="62">
        <f ca="1">IF(QTS!$C$5=Estimates!$C$33,QTS!BE$108,Estimates!T45)</f>
        <v>92.684999999999974</v>
      </c>
      <c r="U45" s="62">
        <f ca="1">IF(QTS!$C$5=Estimates!$C$33,QTS!BF$108,Estimates!U45)</f>
        <v>121.32599999999996</v>
      </c>
      <c r="V45" s="62">
        <f ca="1">IF(QTS!$C$5=Estimates!$C$33,QTS!BG$108,Estimates!V45)</f>
        <v>162.65100000000007</v>
      </c>
      <c r="W45" s="62">
        <f ca="1">IF(QTS!$C$5=Estimates!$C$33,QTS!BH$108,Estimates!W45)</f>
        <v>163.05900000000005</v>
      </c>
      <c r="X45" s="62">
        <f ca="1">IF(QTS!$C$5=Estimates!$C$33,QTS!BI108,Estimates!X45)</f>
        <v>213.38186057591835</v>
      </c>
      <c r="Y45" s="62">
        <f ca="1">IF(QTS!$C$5=Estimates!$C$33,QTS!BJ108,Estimates!Y45)</f>
        <v>240.24099448177475</v>
      </c>
    </row>
    <row r="46" spans="1:25">
      <c r="B46" s="14" t="s">
        <v>112</v>
      </c>
      <c r="D46" s="19">
        <f t="shared" ref="D46:O46" ca="1" si="10">+D45/D39</f>
        <v>0.36833100390380247</v>
      </c>
      <c r="E46" s="19">
        <f t="shared" ca="1" si="10"/>
        <v>0.35144387517466236</v>
      </c>
      <c r="F46" s="19">
        <f t="shared" ca="1" si="10"/>
        <v>0.41686223381138643</v>
      </c>
      <c r="G46" s="19">
        <f t="shared" ca="1" si="10"/>
        <v>0.42914672457778991</v>
      </c>
      <c r="H46" s="19">
        <f t="shared" ca="1" si="10"/>
        <v>0.42212369491040602</v>
      </c>
      <c r="I46" s="19">
        <f t="shared" ca="1" si="10"/>
        <v>0.38904904748918923</v>
      </c>
      <c r="J46" s="19">
        <f t="shared" ca="1" si="10"/>
        <v>0.4254551730088878</v>
      </c>
      <c r="K46" s="19">
        <f t="shared" ca="1" si="10"/>
        <v>0.46000033577892313</v>
      </c>
      <c r="L46" s="19">
        <f t="shared" ca="1" si="10"/>
        <v>0.4336819470237514</v>
      </c>
      <c r="M46" s="19">
        <f t="shared" ca="1" si="10"/>
        <v>0.37061232878723382</v>
      </c>
      <c r="N46" s="19">
        <f t="shared" ca="1" si="10"/>
        <v>0.40028124648441898</v>
      </c>
      <c r="O46" s="19">
        <f t="shared" ca="1" si="10"/>
        <v>0.36549789621318368</v>
      </c>
      <c r="Q46" s="19">
        <f t="shared" ref="Q46:V46" ca="1" si="11">+Q45/Q39</f>
        <v>0.34432037792570308</v>
      </c>
      <c r="R46" s="19">
        <f t="shared" ca="1" si="11"/>
        <v>0.34470598728037377</v>
      </c>
      <c r="S46" s="19">
        <f t="shared" ca="1" si="11"/>
        <v>0.39302478539747143</v>
      </c>
      <c r="T46" s="19">
        <f t="shared" ca="1" si="11"/>
        <v>0.42557245774579971</v>
      </c>
      <c r="U46" s="19">
        <f t="shared" ca="1" si="11"/>
        <v>0.39001166891151229</v>
      </c>
      <c r="V46" s="19">
        <f t="shared" ca="1" si="11"/>
        <v>0.40423945541712347</v>
      </c>
      <c r="W46" s="19">
        <f ca="1">+W45/W39</f>
        <v>0.36518555015565168</v>
      </c>
      <c r="X46" s="19">
        <f ca="1">+X45/X39</f>
        <v>0.51129960456959045</v>
      </c>
      <c r="Y46" s="19">
        <f ca="1">+Y45/Y39</f>
        <v>0.52884855888686433</v>
      </c>
    </row>
    <row r="47" spans="1:25">
      <c r="E47" s="4"/>
      <c r="F47" s="4"/>
      <c r="G47" s="4"/>
      <c r="H47" s="4"/>
      <c r="I47" s="4"/>
      <c r="J47" s="4"/>
      <c r="K47" s="4"/>
      <c r="L47" s="4"/>
      <c r="M47" s="4"/>
      <c r="N47" s="4"/>
      <c r="O47" s="4"/>
      <c r="S47" s="4"/>
      <c r="T47" s="4"/>
      <c r="U47" s="4"/>
      <c r="V47" s="4"/>
      <c r="W47" s="4"/>
      <c r="X47" s="4"/>
      <c r="Y47" s="4"/>
    </row>
    <row r="48" spans="1:25">
      <c r="A48" t="s">
        <v>24</v>
      </c>
      <c r="B48" s="61" t="s">
        <v>19</v>
      </c>
      <c r="D48" s="62">
        <f ca="1">IF(QTS!$C$5=Estimates!$C$33,QTS!H$113,Estimates!D48)</f>
        <v>16.757999999999996</v>
      </c>
      <c r="E48" s="62">
        <f ca="1">IF(QTS!$C$5=Estimates!$C$33,QTS!I$113,Estimates!E48)</f>
        <v>17.690000000000001</v>
      </c>
      <c r="F48" s="62">
        <f ca="1">IF(QTS!$C$5=Estimates!$C$33,QTS!J$113,Estimates!F48)</f>
        <v>19.694000000000006</v>
      </c>
      <c r="G48" s="62">
        <f ca="1">IF(QTS!$C$5=Estimates!$C$33,QTS!K$113,Estimates!G48)</f>
        <v>21.228000000000002</v>
      </c>
      <c r="H48" s="62">
        <f ca="1">IF(QTS!$C$5=Estimates!$C$33,QTS!L$113,Estimates!H48)</f>
        <v>21.635000000000005</v>
      </c>
      <c r="I48" s="62">
        <f ca="1">IF(QTS!$C$5=Estimates!$C$33,QTS!M$113,Estimates!I48)</f>
        <v>23.282999999999998</v>
      </c>
      <c r="J48" s="62">
        <f ca="1">IF(QTS!$C$5=Estimates!$C$33,QTS!N$113,Estimates!J48)</f>
        <v>26.079000000000004</v>
      </c>
      <c r="K48" s="62">
        <f ca="1">IF(QTS!$C$5=Estimates!$C$33,QTS!O$113,Estimates!K48)</f>
        <v>29.027999999999995</v>
      </c>
      <c r="L48" s="62">
        <f ca="1">IF(QTS!$C$5=Estimates!$C$33,QTS!P$113,Estimates!L48)</f>
        <v>28.034000000000002</v>
      </c>
      <c r="M48" s="62">
        <f ca="1">IF(QTS!$C$5=Estimates!$C$33,QTS!Q$113,Estimates!M48)</f>
        <v>31.828000000000007</v>
      </c>
      <c r="N48" s="62">
        <f ca="1">IF(QTS!$C$5=Estimates!$C$33,QTS!R$113,Estimates!N48)</f>
        <v>39.131</v>
      </c>
      <c r="O48" s="62">
        <f ca="1">IF(QTS!$C$5=Estimates!$C$33,QTS!S$113,Estimates!O48)</f>
        <v>41.047000000000004</v>
      </c>
      <c r="Q48" s="62"/>
      <c r="R48" s="62"/>
      <c r="S48" s="62">
        <f ca="1">IF(QTS!$C$5=Estimates!$C$33,QTS!BD$113,Estimates!S48)</f>
        <v>78.646999999999991</v>
      </c>
      <c r="T48" s="62">
        <f ca="1">IF(QTS!$C$5=Estimates!$C$33,QTS!BE$113,Estimates!T48)</f>
        <v>100.02499999999998</v>
      </c>
      <c r="U48" s="62">
        <f ca="1">IF(QTS!$C$5=Estimates!$C$33,QTS!BF$113,Estimates!U48)</f>
        <v>140.03999999999996</v>
      </c>
      <c r="V48" s="62">
        <f ca="1">IF(QTS!$C$5=Estimates!$C$33,QTS!BG$113,Estimates!V48)</f>
        <v>184.33400000000009</v>
      </c>
      <c r="W48" s="62">
        <f ca="1">IF(QTS!$C$5=Estimates!$C$33,QTS!BH$113,Estimates!W48)</f>
        <v>207.97400000000005</v>
      </c>
      <c r="X48" s="62">
        <f ca="1">IF(QTS!$C$5=Estimates!$C$33,QTS!BI113,Estimates!X48)</f>
        <v>225.16014293910578</v>
      </c>
      <c r="Y48" s="62">
        <f ca="1">IF(QTS!$C$5=Estimates!$C$33,QTS!BJ113,Estimates!Y48)</f>
        <v>253.0618118133857</v>
      </c>
    </row>
    <row r="49" spans="1:25">
      <c r="B49" s="14" t="s">
        <v>112</v>
      </c>
      <c r="D49" s="19">
        <f t="shared" ref="D49:O49" ca="1" si="12">+D48/D39</f>
        <v>0.40382669044291281</v>
      </c>
      <c r="E49" s="19">
        <f t="shared" ca="1" si="12"/>
        <v>0.41197019096413601</v>
      </c>
      <c r="F49" s="19">
        <f t="shared" ca="1" si="12"/>
        <v>0.42794437201216873</v>
      </c>
      <c r="G49" s="19">
        <f t="shared" ca="1" si="12"/>
        <v>0.44757426890720869</v>
      </c>
      <c r="H49" s="19">
        <f t="shared" ca="1" si="12"/>
        <v>0.44204482765666187</v>
      </c>
      <c r="I49" s="19">
        <f t="shared" ca="1" si="12"/>
        <v>0.45352370563714989</v>
      </c>
      <c r="J49" s="19">
        <f t="shared" ca="1" si="12"/>
        <v>0.45006471654154812</v>
      </c>
      <c r="K49" s="19">
        <f t="shared" ca="1" si="12"/>
        <v>0.48734952907006024</v>
      </c>
      <c r="L49" s="19">
        <f t="shared" ca="1" si="12"/>
        <v>0.45668393444759392</v>
      </c>
      <c r="M49" s="19">
        <f t="shared" ca="1" si="12"/>
        <v>0.46725487029669543</v>
      </c>
      <c r="N49" s="19">
        <f t="shared" ca="1" si="12"/>
        <v>0.44021824727190911</v>
      </c>
      <c r="O49" s="19">
        <f t="shared" ca="1" si="12"/>
        <v>0.44284173049951447</v>
      </c>
      <c r="S49" s="19">
        <f t="shared" ref="S49:X49" ca="1" si="13">+S48/S39</f>
        <v>0.44211774890801459</v>
      </c>
      <c r="T49" s="19">
        <f t="shared" ca="1" si="13"/>
        <v>0.45927480267598447</v>
      </c>
      <c r="U49" s="19">
        <f t="shared" ca="1" si="13"/>
        <v>0.4501692474355718</v>
      </c>
      <c r="V49" s="19">
        <f t="shared" ca="1" si="13"/>
        <v>0.45812860526440069</v>
      </c>
      <c r="W49" s="19">
        <f t="shared" ca="1" si="13"/>
        <v>0.46577680231125845</v>
      </c>
      <c r="X49" s="19">
        <f t="shared" ca="1" si="13"/>
        <v>0.53952239304164096</v>
      </c>
      <c r="Y49" s="19">
        <f t="shared" ref="Y49" ca="1" si="14">+Y48/Y39</f>
        <v>0.55707134735891484</v>
      </c>
    </row>
    <row r="50" spans="1:25">
      <c r="E50" s="4"/>
      <c r="F50" s="4"/>
      <c r="G50" s="4"/>
      <c r="H50" s="4"/>
      <c r="I50" s="4"/>
      <c r="J50" s="4"/>
      <c r="K50" s="4"/>
      <c r="L50" s="4"/>
      <c r="M50" s="4"/>
      <c r="N50" s="4"/>
      <c r="O50" s="4"/>
      <c r="S50" s="4"/>
      <c r="T50" s="4"/>
      <c r="U50" s="4"/>
      <c r="V50" s="4"/>
      <c r="W50" s="4"/>
      <c r="X50" s="4"/>
      <c r="Y50" s="4"/>
    </row>
    <row r="51" spans="1:25">
      <c r="A51" t="s">
        <v>24</v>
      </c>
      <c r="B51" s="61" t="s">
        <v>40</v>
      </c>
      <c r="D51" s="62">
        <f ca="1">IF(QTS!$C$5=Estimates!$C$33,QTS!H$169,Estimates!D51)</f>
        <v>8.5309999999999935</v>
      </c>
      <c r="E51" s="62">
        <f ca="1">IF(QTS!$C$5=Estimates!$C$33,QTS!I$169,Estimates!E51)</f>
        <v>11.057000000000006</v>
      </c>
      <c r="F51" s="62">
        <f ca="1">IF(QTS!$C$5=Estimates!$C$33,QTS!J$169,Estimates!F51)</f>
        <v>13.440000000000007</v>
      </c>
      <c r="G51" s="62">
        <f ca="1">IF(QTS!$C$5=Estimates!$C$33,QTS!K$169,Estimates!G51)</f>
        <v>16.431999999999999</v>
      </c>
      <c r="H51" s="62">
        <f ca="1">IF(QTS!$C$5=Estimates!$C$33,QTS!L$169,Estimates!H51)</f>
        <v>17.256000000000004</v>
      </c>
      <c r="I51" s="62">
        <f ca="1">IF(QTS!$C$5=Estimates!$C$33,QTS!M$169,Estimates!I51)</f>
        <v>18.368999999999993</v>
      </c>
      <c r="J51" s="62">
        <f ca="1">IF(QTS!$C$5=Estimates!$C$33,QTS!N$169,Estimates!J51)</f>
        <v>18.102999999999998</v>
      </c>
      <c r="K51" s="62">
        <f ca="1">IF(QTS!$C$5=Estimates!$C$33,QTS!O$169,Estimates!K51)</f>
        <v>20.416999999999998</v>
      </c>
      <c r="L51" s="62">
        <f ca="1">IF(QTS!$C$5=Estimates!$C$33,QTS!P$169,Estimates!L51)</f>
        <v>19.444000000000006</v>
      </c>
      <c r="M51" s="62">
        <f ca="1">IF(QTS!$C$5=Estimates!$C$33,QTS!Q$169,Estimates!M51)</f>
        <v>23.422000000000004</v>
      </c>
      <c r="N51" s="62">
        <f ca="1">IF(QTS!$C$5=Estimates!$C$33,QTS!R$169,Estimates!N51)</f>
        <v>29.536000000000005</v>
      </c>
      <c r="O51" s="62">
        <f ca="1">IF(QTS!$C$5=Estimates!$C$33,QTS!S$169,Estimates!O51)</f>
        <v>31.514000000000003</v>
      </c>
      <c r="S51" s="62">
        <f ca="1">IF(QTS!$C$5=Estimates!$C$33,QTS!BD$169,Estimates!S51)</f>
        <v>49.46</v>
      </c>
      <c r="T51" s="62">
        <f ca="1">IF(QTS!$C$5=Estimates!$C$33,QTS!BE$169,Estimates!T51)</f>
        <v>74.144999999999996</v>
      </c>
      <c r="U51" s="62">
        <f ca="1">IF(QTS!$C$5=Estimates!$C$33,QTS!BF$169,Estimates!U51)</f>
        <v>103.91600000000003</v>
      </c>
      <c r="V51" s="62">
        <f ca="1">IF(QTS!$C$5=Estimates!$C$33,QTS!BG$169,Estimates!V51)</f>
        <v>140.666</v>
      </c>
      <c r="W51" s="62">
        <f ca="1">IF(QTS!$C$5=Estimates!$C$33,QTS!BH$169,Estimates!W51)</f>
        <v>156.06399999999996</v>
      </c>
      <c r="X51" s="62">
        <f ca="1">IF(QTS!$C$5=Estimates!$C$33,QTS!BI169,Estimates!X51)</f>
        <v>156.58789462557539</v>
      </c>
      <c r="Y51" s="62">
        <f ca="1">IF(QTS!$C$5=Estimates!$C$33,QTS!BJ169,Estimates!Y51)</f>
        <v>177.53776025920496</v>
      </c>
    </row>
    <row r="52" spans="1:25">
      <c r="E52" s="4"/>
      <c r="F52" s="4"/>
      <c r="G52" s="4"/>
      <c r="H52" s="4"/>
      <c r="I52" s="4"/>
      <c r="J52" s="4"/>
      <c r="K52" s="4"/>
      <c r="L52" s="4"/>
      <c r="M52" s="4"/>
      <c r="N52" s="4"/>
      <c r="O52" s="4"/>
      <c r="S52" s="4"/>
      <c r="T52" s="4"/>
      <c r="U52" s="4"/>
      <c r="V52" s="4"/>
      <c r="W52" s="4"/>
      <c r="X52" s="4"/>
      <c r="Y52" s="4"/>
    </row>
    <row r="53" spans="1:25">
      <c r="A53" t="s">
        <v>24</v>
      </c>
      <c r="B53" s="61" t="s">
        <v>215</v>
      </c>
      <c r="E53" s="4"/>
      <c r="F53" s="83">
        <f ca="1">IF(QTS!$C$5=Estimates!$C$33,QTS!J$170,Estimates!F53)</f>
        <v>0</v>
      </c>
      <c r="G53" s="83">
        <f ca="1">IF(QTS!$C$5=Estimates!$C$33,QTS!K$170,Estimates!G53)</f>
        <v>0.44659194386943701</v>
      </c>
      <c r="H53" s="83">
        <f ca="1">IF(QTS!$C$5=Estimates!$C$33,QTS!L$170,Estimates!H53)</f>
        <v>0.46767188296798412</v>
      </c>
      <c r="I53" s="83">
        <f ca="1">IF(QTS!$C$5=Estimates!$C$33,QTS!M$170,Estimates!I53)</f>
        <v>0.49409516069981751</v>
      </c>
      <c r="J53" s="83">
        <f ca="1">IF(QTS!$C$5=Estimates!$C$33,QTS!N$170,Estimates!J53)</f>
        <v>0.48576836611891888</v>
      </c>
      <c r="K53" s="83">
        <f ca="1">IF(QTS!$C$5=Estimates!$C$33,QTS!O$170,Estimates!K53)</f>
        <v>0.54981957235956258</v>
      </c>
      <c r="L53" s="83">
        <f ca="1">IF(QTS!$C$5=Estimates!$C$33,QTS!P$170,Estimates!L53)</f>
        <v>0.4678436866967961</v>
      </c>
      <c r="M53" s="83">
        <f ca="1">IF(QTS!$C$5=Estimates!$C$33,QTS!Q$170,Estimates!M53)</f>
        <v>0.52036296105231428</v>
      </c>
      <c r="N53" s="83">
        <f ca="1">IF(QTS!$C$5=Estimates!$C$33,QTS!R$170,Estimates!N53)</f>
        <v>0.60607283088727404</v>
      </c>
      <c r="O53" s="83">
        <f ca="1">IF(QTS!$C$5=Estimates!$C$33,QTS!S$170,Estimates!O53)</f>
        <v>0.64538555878851345</v>
      </c>
      <c r="S53" s="83">
        <f ca="1">IF(QTS!$C$5=Estimates!$C$33,QTS!BD$170,Estimates!S53)</f>
        <v>1.3442330540276508</v>
      </c>
      <c r="T53" s="83">
        <f ca="1">IF(QTS!$C$5=Estimates!$C$33,QTS!BE$170,Estimates!T53)</f>
        <v>1.997354982146283</v>
      </c>
      <c r="U53" s="83">
        <f ca="1">IF(QTS!$C$5=Estimates!$C$33,QTS!BF$170,Estimates!U53)</f>
        <v>2.2396650374248979</v>
      </c>
      <c r="V53" s="83">
        <f ca="1">IF(QTS!$C$5=Estimates!$C$33,QTS!BG$170,Estimates!V53)</f>
        <v>2.6099802852503151</v>
      </c>
      <c r="W53" s="83">
        <f ca="1">IF(QTS!$C$5=Estimates!$C$33,QTS!BH$170,Estimates!W53)</f>
        <v>2.7615931886141936</v>
      </c>
      <c r="X53" s="83">
        <f ca="1">IF(QTS!$C$5=Estimates!$C$33,QTS!BI170,Estimates!X53)</f>
        <v>2.700782262881015</v>
      </c>
      <c r="Y53" s="83">
        <f ca="1">IF(QTS!$C$5=Estimates!$C$33,QTS!BJ170,Estimates!Y53)</f>
        <v>3.0441650631330375</v>
      </c>
    </row>
    <row r="54" spans="1:25">
      <c r="E54" s="4"/>
      <c r="F54" s="4"/>
      <c r="G54" s="4"/>
      <c r="H54" s="4"/>
      <c r="I54" s="4"/>
      <c r="J54" s="4"/>
      <c r="K54" s="4"/>
      <c r="L54" s="4"/>
      <c r="M54" s="4"/>
      <c r="N54" s="4"/>
      <c r="O54" s="4"/>
      <c r="S54" s="4"/>
      <c r="T54" s="4"/>
      <c r="U54" s="4"/>
      <c r="V54" s="4"/>
      <c r="W54" s="4"/>
      <c r="X54" s="4"/>
      <c r="Y54" s="4"/>
    </row>
    <row r="55" spans="1:25">
      <c r="A55" t="s">
        <v>24</v>
      </c>
      <c r="B55" s="61" t="s">
        <v>49</v>
      </c>
      <c r="D55" s="62">
        <f ca="1">IF(QTS!$C$5=Estimates!$C$33,QTS!H$181,Estimates!D55)</f>
        <v>8.3599999999999941</v>
      </c>
      <c r="E55" s="62">
        <f ca="1">IF(QTS!$C$5=Estimates!$C$33,QTS!I$181,Estimates!E55)</f>
        <v>9.773000000000005</v>
      </c>
      <c r="F55" s="62">
        <f ca="1">IF(QTS!$C$5=Estimates!$C$33,QTS!J$181,Estimates!F55)</f>
        <v>12.932000000000006</v>
      </c>
      <c r="G55" s="62">
        <f ca="1">IF(QTS!$C$5=Estimates!$C$33,QTS!K$181,Estimates!G55)</f>
        <v>16.291999999999998</v>
      </c>
      <c r="H55" s="62">
        <f ca="1">IF(QTS!$C$5=Estimates!$C$33,QTS!L$181,Estimates!H55)</f>
        <v>17.732000000000003</v>
      </c>
      <c r="I55" s="62">
        <f ca="1">IF(QTS!$C$5=Estimates!$C$33,QTS!M$181,Estimates!I55)</f>
        <v>18.713999999999992</v>
      </c>
      <c r="J55" s="62">
        <f ca="1">IF(QTS!$C$5=Estimates!$C$33,QTS!N$181,Estimates!J55)</f>
        <v>12.879999999999999</v>
      </c>
      <c r="K55" s="62">
        <f ca="1">IF(QTS!$C$5=Estimates!$C$33,QTS!O$181,Estimates!K55)</f>
        <v>19.702999999999999</v>
      </c>
      <c r="L55" s="62">
        <f ca="1">IF(QTS!$C$5=Estimates!$C$33,QTS!P$181,Estimates!L55)</f>
        <v>20.075000000000006</v>
      </c>
      <c r="M55" s="62">
        <f ca="1">IF(QTS!$C$5=Estimates!$C$33,QTS!Q$181,Estimates!M55)</f>
        <v>22.238000000000003</v>
      </c>
      <c r="N55" s="62">
        <f ca="1">IF(QTS!$C$5=Estimates!$C$33,QTS!R$181,Estimates!N55)</f>
        <v>29.670000000000005</v>
      </c>
      <c r="O55" s="62">
        <f ca="1">IF(QTS!$C$5=Estimates!$C$33,QTS!S$181,Estimates!O55)</f>
        <v>27.843000000000004</v>
      </c>
      <c r="S55" s="62">
        <f ca="1">IF(QTS!$C$5=Estimates!$C$33,QTS!BD$181,Estimates!S55)</f>
        <v>47.356999999999999</v>
      </c>
      <c r="T55" s="62">
        <f ca="1">IF(QTS!$C$5=Estimates!$C$33,QTS!BE$181,Estimates!T55)</f>
        <v>69.028999999999996</v>
      </c>
      <c r="U55" s="62">
        <f ca="1">IF(QTS!$C$5=Estimates!$C$33,QTS!BF$181,Estimates!U55)</f>
        <v>99.826000000000022</v>
      </c>
      <c r="V55" s="62">
        <f ca="1">IF(QTS!$C$5=Estimates!$C$33,QTS!BG$181,Estimates!V55)</f>
        <v>134.11900000000003</v>
      </c>
      <c r="W55" s="62">
        <f ca="1">IF(QTS!$C$5=Estimates!$C$33,QTS!BH$181,Estimates!W55)</f>
        <v>151.29499999999999</v>
      </c>
      <c r="X55" s="62">
        <f ca="1">IF(QTS!$C$5=Estimates!$C$33,QTS!BI181,Estimates!X55)</f>
        <v>155.25349230053783</v>
      </c>
      <c r="Y55" s="62">
        <f ca="1">IF(QTS!$C$5=Estimates!$C$33,QTS!BJ181,Estimates!Y55)</f>
        <v>173.46806701016277</v>
      </c>
    </row>
    <row r="56" spans="1:25">
      <c r="D56" s="10"/>
      <c r="E56" s="7"/>
      <c r="F56" s="7"/>
      <c r="G56" s="7"/>
      <c r="H56" s="7"/>
      <c r="I56" s="7"/>
      <c r="J56" s="7"/>
      <c r="K56" s="7"/>
      <c r="L56" s="4"/>
      <c r="M56" s="4"/>
      <c r="N56" s="4"/>
      <c r="O56" s="4"/>
      <c r="S56" s="4"/>
      <c r="T56" s="4"/>
      <c r="U56" s="4"/>
      <c r="V56" s="4"/>
      <c r="W56" s="4"/>
      <c r="X56" s="4"/>
      <c r="Y56" s="4"/>
    </row>
    <row r="57" spans="1:25">
      <c r="A57" t="s">
        <v>24</v>
      </c>
      <c r="B57" s="61" t="s">
        <v>216</v>
      </c>
      <c r="D57" s="10"/>
      <c r="E57" s="7"/>
      <c r="F57" s="83">
        <f ca="1">IF(QTS!$C$5=Estimates!$C$33,QTS!J$182,Estimates!F57)</f>
        <v>0</v>
      </c>
      <c r="G57" s="83">
        <f ca="1">IF(QTS!$C$5=Estimates!$C$33,QTS!K$182,Estimates!G57)</f>
        <v>0.44278699790170811</v>
      </c>
      <c r="H57" s="83">
        <f ca="1">IF(QTS!$C$5=Estimates!$C$33,QTS!L$182,Estimates!H57)</f>
        <v>0.48057242865022565</v>
      </c>
      <c r="I57" s="83">
        <f ca="1">IF(QTS!$C$5=Estimates!$C$33,QTS!M$182,Estimates!I57)</f>
        <v>0.50337507960892725</v>
      </c>
      <c r="J57" s="83">
        <f ca="1">IF(QTS!$C$5=Estimates!$C$33,QTS!N$182,Estimates!J57)</f>
        <v>0.34561655833904192</v>
      </c>
      <c r="K57" s="83">
        <f ca="1">IF(QTS!$C$5=Estimates!$C$33,QTS!O$182,Estimates!K57)</f>
        <v>0.53059191037862874</v>
      </c>
      <c r="L57" s="83">
        <f ca="1">IF(QTS!$C$5=Estimates!$C$33,QTS!P$182,Estimates!L57)</f>
        <v>0.48302622970778553</v>
      </c>
      <c r="M57" s="83">
        <f ca="1">IF(QTS!$C$5=Estimates!$C$33,QTS!Q$182,Estimates!M57)</f>
        <v>0.49405821568958092</v>
      </c>
      <c r="N57" s="83">
        <f ca="1">IF(QTS!$C$5=Estimates!$C$33,QTS!R$182,Estimates!N57)</f>
        <v>0.60882248416933304</v>
      </c>
      <c r="O57" s="83">
        <f ca="1">IF(QTS!$C$5=Estimates!$C$33,QTS!S$182,Estimates!O57)</f>
        <v>0.5702059438138154</v>
      </c>
      <c r="S57" s="83">
        <f ca="1">IF(QTS!$C$5=Estimates!$C$33,QTS!BD$182,Estimates!S57)</f>
        <v>1.287077329955266</v>
      </c>
      <c r="T57" s="83">
        <f ca="1">IF(QTS!$C$5=Estimates!$C$33,QTS!BE$182,Estimates!T57)</f>
        <v>1.8601559769768237</v>
      </c>
      <c r="U57" s="83">
        <f ca="1">IF(QTS!$C$5=Estimates!$C$33,QTS!BF$182,Estimates!U57)</f>
        <v>2.1561128733805148</v>
      </c>
      <c r="V57" s="83">
        <f ca="1">IF(QTS!$C$5=Estimates!$C$33,QTS!BG$182,Estimates!V57)</f>
        <v>2.4852008810627124</v>
      </c>
      <c r="W57" s="83">
        <f ca="1">IF(QTS!$C$5=Estimates!$C$33,QTS!BH$182,Estimates!W57)</f>
        <v>2.6801078765192159</v>
      </c>
      <c r="X57" s="83">
        <f ca="1">IF(QTS!$C$5=Estimates!$C$33,QTS!BI182,Estimates!X57)</f>
        <v>2.6775775193497626</v>
      </c>
      <c r="Y57" s="83">
        <f ca="1">IF(QTS!$C$5=Estimates!$C$33,QTS!BJ182,Estimates!Y57)</f>
        <v>2.9744053071500618</v>
      </c>
    </row>
    <row r="58" spans="1:25">
      <c r="E58" s="4"/>
      <c r="F58" s="4"/>
      <c r="G58" s="4"/>
      <c r="H58" s="4"/>
      <c r="I58" s="4"/>
      <c r="J58" s="4"/>
      <c r="K58" s="4"/>
      <c r="L58" s="4"/>
      <c r="M58" s="4"/>
      <c r="N58" s="4"/>
      <c r="O58" s="4"/>
      <c r="S58" s="4"/>
      <c r="T58" s="4"/>
      <c r="U58" s="4"/>
      <c r="V58" s="4"/>
      <c r="W58" s="4"/>
      <c r="X58" s="4"/>
      <c r="Y58" s="4"/>
    </row>
    <row r="59" spans="1:25">
      <c r="A59" t="s">
        <v>24</v>
      </c>
      <c r="B59" s="61" t="s">
        <v>163</v>
      </c>
      <c r="E59" s="62">
        <f ca="1">IF(QTS!$C$5=Estimates!$C$33,QTS!I$185,Estimates!E59)</f>
        <v>0</v>
      </c>
      <c r="F59" s="62">
        <f ca="1">IF(QTS!$C$5=Estimates!$C$33,QTS!J$185,Estimates!F59)</f>
        <v>0</v>
      </c>
      <c r="G59" s="62">
        <f ca="1">IF(QTS!$C$5=Estimates!$C$33,QTS!K$185,Estimates!G59)</f>
        <v>8.8306115999999992</v>
      </c>
      <c r="H59" s="62">
        <f ca="1">IF(QTS!$C$5=Estimates!$C$33,QTS!L$185,Estimates!H59)</f>
        <v>10.700322560000002</v>
      </c>
      <c r="I59" s="62">
        <f ca="1">IF(QTS!$C$5=Estimates!$C$33,QTS!M$185,Estimates!I59)</f>
        <v>10.78134421</v>
      </c>
      <c r="J59" s="62">
        <f ca="1">IF(QTS!$C$5=Estimates!$C$33,QTS!N$185,Estimates!J59)</f>
        <v>10.807352569999999</v>
      </c>
      <c r="K59" s="62">
        <f ca="1">IF(QTS!$C$5=Estimates!$C$33,QTS!O$185,Estimates!K59)</f>
        <v>10.76886</v>
      </c>
      <c r="L59" s="62">
        <f ca="1">IF(QTS!$C$5=Estimates!$C$33,QTS!P$185,Estimates!L59)</f>
        <v>13.2994848</v>
      </c>
      <c r="M59" s="62">
        <f ca="1">IF(QTS!$C$5=Estimates!$C$33,QTS!Q$185,Estimates!M59)</f>
        <v>14.403484800000001</v>
      </c>
      <c r="N59" s="62">
        <f ca="1">IF(QTS!$C$5=Estimates!$C$33,QTS!R$185,Estimates!N59)</f>
        <v>15.594693440000002</v>
      </c>
      <c r="O59" s="62">
        <f ca="1">IF(QTS!$C$5=Estimates!$C$33,QTS!S$185,Estimates!O59)</f>
        <v>17.57870136</v>
      </c>
      <c r="S59" s="62">
        <f ca="1">IF(QTS!$C$5=Estimates!$C$33,QTS!BD$185,Estimates!S59)</f>
        <v>8.8306115999999992</v>
      </c>
      <c r="T59" s="62">
        <f ca="1">IF(QTS!$C$5=Estimates!$C$33,QTS!BE$185,Estimates!T59)</f>
        <v>43.05787934</v>
      </c>
      <c r="U59" s="62">
        <f ca="1">IF(QTS!$C$5=Estimates!$C$33,QTS!BF$185,Estimates!U59)</f>
        <v>60.8763644</v>
      </c>
      <c r="V59" s="62">
        <f ca="1">IF(QTS!$C$5=Estimates!$C$33,QTS!BG$185,Estimates!V59)</f>
        <v>79.358081459999994</v>
      </c>
      <c r="W59" s="62">
        <f ca="1">IF(QTS!$C$5=Estimates!$C$33,QTS!BH$185,Estimates!W59)</f>
        <v>88.021374090000009</v>
      </c>
      <c r="X59" s="62">
        <f ca="1">IF(QTS!$C$5=Estimates!$C$33,QTS!BI185,Estimates!X59)</f>
        <v>95.089595824431598</v>
      </c>
      <c r="Y59" s="62">
        <f ca="1">IF(QTS!$C$5=Estimates!$C$33,QTS!BJ185,Estimates!Y59)</f>
        <v>104.3145809711967</v>
      </c>
    </row>
    <row r="60" spans="1:25">
      <c r="E60" s="4"/>
      <c r="F60" s="4"/>
      <c r="G60" s="4"/>
      <c r="H60" s="4"/>
      <c r="I60" s="4"/>
      <c r="J60" s="4"/>
      <c r="K60" s="4"/>
      <c r="L60" s="4"/>
      <c r="M60" s="4"/>
      <c r="N60" s="4"/>
      <c r="O60" s="4"/>
      <c r="S60" s="4"/>
      <c r="T60" s="4"/>
      <c r="U60" s="4"/>
      <c r="V60" s="4"/>
      <c r="W60" s="4"/>
      <c r="X60" s="4"/>
      <c r="Y60" s="4"/>
    </row>
    <row r="61" spans="1:25">
      <c r="A61" t="s">
        <v>24</v>
      </c>
      <c r="B61" s="61" t="s">
        <v>186</v>
      </c>
      <c r="E61" s="4"/>
      <c r="F61" s="62">
        <f ca="1">IF(QTS!$C$5=Estimates!$C$33,-QTS!J$223,Estimates!F61)</f>
        <v>37.572000000000003</v>
      </c>
      <c r="G61" s="62">
        <f ca="1">IF(QTS!$C$5=Estimates!$C$33,-QTS!K$223,Estimates!G61)</f>
        <v>44.739999999999981</v>
      </c>
      <c r="H61" s="62">
        <f ca="1">IF(QTS!$C$5=Estimates!$C$33,-QTS!L$223,Estimates!H61)</f>
        <v>59.164999999999999</v>
      </c>
      <c r="I61" s="62">
        <f ca="1">IF(QTS!$C$5=Estimates!$C$33,-QTS!M$223,Estimates!I61)</f>
        <v>54.991999999999997</v>
      </c>
      <c r="J61" s="62">
        <f ca="1">IF(QTS!$C$5=Estimates!$C$33,-QTS!N$223,Estimates!J61)</f>
        <v>41.85100000000002</v>
      </c>
      <c r="K61" s="62">
        <f ca="1">IF(QTS!$C$5=Estimates!$C$33,-QTS!O$223,Estimates!K61)</f>
        <v>45.136999999999993</v>
      </c>
      <c r="L61" s="62">
        <f ca="1">IF(QTS!$C$5=Estimates!$C$33,-QTS!P$223,Estimates!L61)</f>
        <v>73.399000000000001</v>
      </c>
      <c r="M61" s="62">
        <f ca="1">IF(QTS!$C$5=Estimates!$C$33,-QTS!Q$223,Estimates!M61)</f>
        <v>96.751000000000005</v>
      </c>
      <c r="N61" s="62">
        <f ca="1">IF(QTS!$C$5=Estimates!$C$33,-QTS!R$223,Estimates!N61)</f>
        <v>82.006</v>
      </c>
      <c r="O61" s="62">
        <f ca="1">IF(QTS!$C$5=Estimates!$C$33,-QTS!S$223,Estimates!O61)</f>
        <v>67.901999999999987</v>
      </c>
      <c r="S61" s="62">
        <f ca="1">IF(QTS!$C$5=Estimates!$C$33,-SUM(QTS!BD$223,,QTS!BD$222),Estimates!S61)</f>
        <v>168.83799999999999</v>
      </c>
      <c r="T61" s="62">
        <f ca="1">IF(QTS!$C$5=Estimates!$C$33,-SUM(QTS!BE$223,,QTS!BE$222),Estimates!T61)</f>
        <v>292.209</v>
      </c>
      <c r="U61" s="62">
        <f ca="1">IF(QTS!$C$5=Estimates!$C$33,-SUM(QTS!BF$223,,QTS!BF$222),Estimates!U61)</f>
        <v>612.74299999999994</v>
      </c>
      <c r="V61" s="62">
        <f ca="1">IF(QTS!$C$5=Estimates!$C$33,-SUM(QTS!BG$223,,QTS!BG$222),Estimates!V61)</f>
        <v>452.97199999999998</v>
      </c>
      <c r="W61" s="62">
        <f ca="1">IF(QTS!$C$5=Estimates!$C$33,-SUM(QTS!BH$223,,QTS!BH$222),Estimates!W61)</f>
        <v>434.35199999999998</v>
      </c>
      <c r="X61" s="62">
        <f ca="1">IF(QTS!$C$5=Estimates!$C$33,-SUM(QTS!BI223,,QTS!BI222),Estimates!X61)</f>
        <v>396.46572329694061</v>
      </c>
      <c r="Y61" s="62">
        <f ca="1">IF(QTS!$C$5=Estimates!$C$33,-SUM(QTS!BJ223,,QTS!BJ222),Estimates!Y61)</f>
        <v>197.09055169356867</v>
      </c>
    </row>
    <row r="65" spans="1:25">
      <c r="B65" s="9" t="s">
        <v>248</v>
      </c>
      <c r="C65" s="82">
        <v>3</v>
      </c>
    </row>
    <row r="66" spans="1:25">
      <c r="B66" s="2" t="s">
        <v>0</v>
      </c>
      <c r="C66" s="2"/>
      <c r="D66" s="2"/>
      <c r="E66" s="2"/>
      <c r="F66" s="2"/>
      <c r="G66" s="2"/>
      <c r="H66" s="2"/>
      <c r="I66" s="2"/>
      <c r="J66" s="2"/>
      <c r="K66" s="2"/>
      <c r="L66" s="2"/>
      <c r="M66" s="2"/>
      <c r="N66" s="2"/>
      <c r="O66" s="2"/>
      <c r="Q66" s="2"/>
      <c r="R66" s="2"/>
      <c r="S66" s="2"/>
      <c r="T66" s="2"/>
      <c r="U66" s="2"/>
      <c r="V66" s="2"/>
      <c r="W66" s="2"/>
      <c r="X66" s="2"/>
      <c r="Y66" s="2"/>
    </row>
    <row r="67" spans="1:25">
      <c r="B67" s="2" t="s">
        <v>183</v>
      </c>
      <c r="C67" s="2"/>
      <c r="D67" s="3" t="s">
        <v>26</v>
      </c>
      <c r="E67" s="3" t="s">
        <v>25</v>
      </c>
      <c r="F67" s="3" t="s">
        <v>27</v>
      </c>
      <c r="G67" s="3" t="s">
        <v>28</v>
      </c>
      <c r="H67" s="3" t="s">
        <v>29</v>
      </c>
      <c r="I67" s="3" t="s">
        <v>30</v>
      </c>
      <c r="J67" s="3" t="s">
        <v>31</v>
      </c>
      <c r="K67" s="3" t="s">
        <v>32</v>
      </c>
      <c r="L67" s="3" t="s">
        <v>143</v>
      </c>
      <c r="M67" s="3" t="s">
        <v>144</v>
      </c>
      <c r="N67" s="3" t="s">
        <v>145</v>
      </c>
      <c r="O67" s="3" t="s">
        <v>146</v>
      </c>
      <c r="Q67" s="3">
        <f>+Q4</f>
        <v>2011</v>
      </c>
      <c r="R67" s="3">
        <f t="shared" ref="R67:Y67" si="15">+R4</f>
        <v>2012</v>
      </c>
      <c r="S67" s="3">
        <f t="shared" si="15"/>
        <v>2013</v>
      </c>
      <c r="T67" s="3">
        <f t="shared" si="15"/>
        <v>2014</v>
      </c>
      <c r="U67" s="3">
        <f t="shared" si="15"/>
        <v>2015</v>
      </c>
      <c r="V67" s="3">
        <f t="shared" si="15"/>
        <v>2016</v>
      </c>
      <c r="W67" s="3" t="str">
        <f t="shared" si="15"/>
        <v>2017E</v>
      </c>
      <c r="X67" s="3" t="str">
        <f t="shared" si="15"/>
        <v>2018E</v>
      </c>
      <c r="Y67" s="3" t="str">
        <f t="shared" si="15"/>
        <v>2019E</v>
      </c>
    </row>
    <row r="69" spans="1:25">
      <c r="B69" s="61" t="s">
        <v>185</v>
      </c>
    </row>
    <row r="71" spans="1:25">
      <c r="A71" t="s">
        <v>24</v>
      </c>
      <c r="B71" s="61" t="s">
        <v>8</v>
      </c>
      <c r="D71" s="62">
        <f ca="1">IF(QTS!$C$5=Estimates!$C$65,QTS!H$86,Estimates!D71)</f>
        <v>41.497999999999998</v>
      </c>
      <c r="E71" s="62">
        <f ca="1">IF(QTS!$C$5=Estimates!$C$65,QTS!I$86,Estimates!E71)</f>
        <v>42.940000000000005</v>
      </c>
      <c r="F71" s="62">
        <f ca="1">IF(QTS!$C$5=Estimates!$C$65,QTS!J$86,Estimates!F71)</f>
        <v>46.02</v>
      </c>
      <c r="G71" s="62">
        <f ca="1">IF(QTS!$C$5=Estimates!$C$65,QTS!K$86,Estimates!G71)</f>
        <v>47.429000000000002</v>
      </c>
      <c r="H71" s="62">
        <f ca="1">IF(QTS!$C$5=Estimates!$C$65,QTS!L$86,Estimates!H71)</f>
        <v>48.943000000000005</v>
      </c>
      <c r="I71" s="62">
        <f ca="1">IF(QTS!$C$5=Estimates!$C$65,QTS!M$86,Estimates!I71)</f>
        <v>51.337999999999994</v>
      </c>
      <c r="J71" s="62">
        <f ca="1">IF(QTS!$C$5=Estimates!$C$65,QTS!N$86,Estimates!J71)</f>
        <v>57.945</v>
      </c>
      <c r="K71" s="62">
        <f ca="1">IF(QTS!$C$5=Estimates!$C$65,QTS!O$86,Estimates!K71)</f>
        <v>59.562999999999995</v>
      </c>
      <c r="L71" s="62">
        <f ca="1">IF(QTS!$C$5=Estimates!$C$65,QTS!P$86,Estimates!L71)</f>
        <v>61.386000000000003</v>
      </c>
      <c r="M71" s="62">
        <f ca="1">IF(QTS!$C$5=Estimates!$C$65,QTS!Q$86,Estimates!M71)</f>
        <v>68.117000000000004</v>
      </c>
      <c r="N71" s="62">
        <f ca="1">IF(QTS!$C$5=Estimates!$C$65,QTS!R$86,Estimates!N71)</f>
        <v>88.89</v>
      </c>
      <c r="O71" s="62">
        <f ca="1">IF(QTS!$C$5=Estimates!$C$65,QTS!S$86,Estimates!O71)</f>
        <v>92.690000000000012</v>
      </c>
      <c r="Q71" s="62">
        <f ca="1">IF(QTS!$C$5=Estimates!$C$65,QTS!BB$86,Estimates!Q71)</f>
        <v>130.39599999999999</v>
      </c>
      <c r="R71" s="62">
        <f ca="1">IF(QTS!$C$5=Estimates!$C$65,QTS!BC$86,Estimates!R71)</f>
        <v>145.75899999999999</v>
      </c>
      <c r="S71" s="62">
        <f ca="1">IF(QTS!$C$5=Estimates!$C$65,QTS!BD$86,Estimates!S71)</f>
        <v>177.887</v>
      </c>
      <c r="T71" s="62">
        <f ca="1">IF(QTS!$C$5=Estimates!$C$65,QTS!BE$86,Estimates!T71)</f>
        <v>217.78899999999999</v>
      </c>
      <c r="U71" s="62">
        <f ca="1">IF(QTS!$C$5=Estimates!$C$65,QTS!BF$86,Estimates!U71)</f>
        <v>311.08299999999997</v>
      </c>
      <c r="V71" s="62">
        <f ca="1">IF(QTS!$C$5=Estimates!$C$65,QTS!BG$86,Estimates!V71)</f>
        <v>402.36300000000006</v>
      </c>
      <c r="W71" s="62">
        <f ca="1">IF(QTS!$C$5=Estimates!$C$65,QTS!BH$86,Estimates!W71)</f>
        <v>446.51000000000005</v>
      </c>
      <c r="X71" s="62">
        <f ca="1">IF(QTS!$C$5=Estimates!$C$65,QTS!BI86,Estimates!X71)</f>
        <v>407.18909422130889</v>
      </c>
      <c r="Y71" s="62">
        <f ca="1">IF(QTS!$C$5=Estimates!$C$65,QTS!BJ$86,Estimates!Y71)</f>
        <v>424.366577983225</v>
      </c>
    </row>
    <row r="72" spans="1:25">
      <c r="B72" s="14" t="s">
        <v>218</v>
      </c>
      <c r="D72" s="7"/>
      <c r="E72" s="19">
        <f t="shared" ref="E72:O72" ca="1" si="16">+E71/D71-1</f>
        <v>3.4748662586148837E-2</v>
      </c>
      <c r="F72" s="19">
        <f t="shared" ca="1" si="16"/>
        <v>7.1727992547740982E-2</v>
      </c>
      <c r="G72" s="19">
        <f t="shared" ca="1" si="16"/>
        <v>3.0617122990004297E-2</v>
      </c>
      <c r="H72" s="19">
        <f t="shared" ca="1" si="16"/>
        <v>3.1921398300617909E-2</v>
      </c>
      <c r="I72" s="19">
        <f t="shared" ca="1" si="16"/>
        <v>4.8934474797212912E-2</v>
      </c>
      <c r="J72" s="19">
        <f t="shared" ca="1" si="16"/>
        <v>0.12869609256301384</v>
      </c>
      <c r="K72" s="19">
        <f t="shared" ca="1" si="16"/>
        <v>2.792303045991873E-2</v>
      </c>
      <c r="L72" s="19">
        <f t="shared" ca="1" si="16"/>
        <v>3.0606248845760131E-2</v>
      </c>
      <c r="M72" s="19">
        <f t="shared" ca="1" si="16"/>
        <v>0.10965040888802013</v>
      </c>
      <c r="N72" s="19">
        <f t="shared" ca="1" si="16"/>
        <v>0.30496058252712244</v>
      </c>
      <c r="O72" s="19">
        <f t="shared" ca="1" si="16"/>
        <v>4.2749465631679806E-2</v>
      </c>
      <c r="Q72" s="19"/>
      <c r="R72" s="19">
        <f t="shared" ref="R72:Y72" ca="1" si="17">+R71/Q71-1</f>
        <v>0.11781803122795176</v>
      </c>
      <c r="S72" s="19">
        <f t="shared" ca="1" si="17"/>
        <v>0.22041863624201596</v>
      </c>
      <c r="T72" s="19">
        <f t="shared" ca="1" si="17"/>
        <v>0.22431093896687226</v>
      </c>
      <c r="U72" s="19">
        <f t="shared" ca="1" si="17"/>
        <v>0.42836874222297716</v>
      </c>
      <c r="V72" s="19">
        <f t="shared" ca="1" si="17"/>
        <v>0.29342651318136981</v>
      </c>
      <c r="W72" s="19">
        <f t="shared" ca="1" si="17"/>
        <v>0.10971933304006587</v>
      </c>
      <c r="X72" s="19">
        <f t="shared" ca="1" si="17"/>
        <v>-8.8062766295695871E-2</v>
      </c>
      <c r="Y72" s="19">
        <f t="shared" ca="1" si="17"/>
        <v>4.2185520205951565E-2</v>
      </c>
    </row>
    <row r="73" spans="1:25">
      <c r="E73" s="4"/>
      <c r="F73" s="4"/>
      <c r="G73" s="4"/>
      <c r="H73" s="4"/>
      <c r="I73" s="4"/>
      <c r="J73" s="4"/>
      <c r="K73" s="4"/>
      <c r="L73" s="4"/>
      <c r="M73" s="4"/>
      <c r="N73" s="4"/>
      <c r="O73" s="4"/>
      <c r="S73" s="4"/>
      <c r="T73" s="4"/>
      <c r="U73" s="4"/>
      <c r="V73" s="4"/>
      <c r="W73" s="4"/>
      <c r="X73" s="4"/>
      <c r="Y73" s="4"/>
    </row>
    <row r="74" spans="1:25">
      <c r="A74" t="s">
        <v>24</v>
      </c>
      <c r="B74" s="61" t="s">
        <v>209</v>
      </c>
      <c r="D74" s="62">
        <f ca="1">IF(QTS!$C$5=Estimates!$C$65,QTS!H$102,Estimates!D74)</f>
        <v>25.976999999999997</v>
      </c>
      <c r="E74" s="62">
        <f ca="1">IF(QTS!$C$5=Estimates!$C$65,QTS!I$102,Estimates!E74)</f>
        <v>26.966000000000005</v>
      </c>
      <c r="F74" s="62">
        <f ca="1">IF(QTS!$C$5=Estimates!$C$65,QTS!J$102,Estimates!F74)</f>
        <v>29.281000000000002</v>
      </c>
      <c r="G74" s="62">
        <f ca="1">IF(QTS!$C$5=Estimates!$C$65,QTS!K$102,Estimates!G74)</f>
        <v>30.421000000000003</v>
      </c>
      <c r="H74" s="62">
        <f ca="1">IF(QTS!$C$5=Estimates!$C$65,QTS!L$102,Estimates!H74)</f>
        <v>31.502000000000006</v>
      </c>
      <c r="I74" s="62">
        <f ca="1">IF(QTS!$C$5=Estimates!$C$65,QTS!M$102,Estimates!I74)</f>
        <v>33.690999999999995</v>
      </c>
      <c r="J74" s="62">
        <f ca="1">IF(QTS!$C$5=Estimates!$C$65,QTS!N$102,Estimates!J74)</f>
        <v>36.199000000000005</v>
      </c>
      <c r="K74" s="62">
        <f ca="1">IF(QTS!$C$5=Estimates!$C$65,QTS!O$102,Estimates!K74)</f>
        <v>39.762999999999998</v>
      </c>
      <c r="L74" s="62">
        <f ca="1">IF(QTS!$C$5=Estimates!$C$65,QTS!P$102,Estimates!L74)</f>
        <v>40.565000000000005</v>
      </c>
      <c r="M74" s="62">
        <f ca="1">IF(QTS!$C$5=Estimates!$C$65,QTS!Q$102,Estimates!M74)</f>
        <v>44.612000000000009</v>
      </c>
      <c r="N74" s="62">
        <f ca="1">IF(QTS!$C$5=Estimates!$C$65,QTS!R$102,Estimates!N74)</f>
        <v>56.503</v>
      </c>
      <c r="O74" s="62">
        <f ca="1">IF(QTS!$C$5=Estimates!$C$65,QTS!S$102,Estimates!O74)</f>
        <v>59.179000000000002</v>
      </c>
      <c r="Q74" s="62">
        <f ca="1">IF(QTS!$C$5=Estimates!$C$65,QTS!BB$102,Estimates!Q74)</f>
        <v>73.231999999999971</v>
      </c>
      <c r="R74" s="62">
        <f ca="1">IF(QTS!$C$5=Estimates!$C$65,QTS!BC$102,Estimates!R74)</f>
        <v>86.432999999999993</v>
      </c>
      <c r="S74" s="62">
        <f ca="1">IF(QTS!$C$5=Estimates!$C$65,QTS!BD$102,Estimates!S74)</f>
        <v>112.645</v>
      </c>
      <c r="T74" s="62">
        <f ca="1">IF(QTS!$C$5=Estimates!$C$65,QTS!BE$102,Estimates!T74)</f>
        <v>141.15499999999997</v>
      </c>
      <c r="U74" s="62">
        <f ca="1">IF(QTS!$C$5=Estimates!$C$65,QTS!BF$102,Estimates!U74)</f>
        <v>200.85899999999995</v>
      </c>
      <c r="V74" s="62">
        <f ca="1">IF(QTS!$C$5=Estimates!$C$65,QTS!BG$102,Estimates!V74)</f>
        <v>257.03500000000008</v>
      </c>
      <c r="W74" s="62">
        <f ca="1">IF(QTS!$C$5=Estimates!$C$65,QTS!BH$102,Estimates!W74)</f>
        <v>281.34200000000004</v>
      </c>
      <c r="X74" s="62">
        <f ca="1">IF(QTS!$C$5=Estimates!$C$65,QTS!BI102,Estimates!X74)</f>
        <v>265.93277574384376</v>
      </c>
      <c r="Y74" s="62">
        <f ca="1">IF(QTS!$C$5=Estimates!$C$65,QTS!BJ$102,Estimates!Y74)</f>
        <v>283.49986960040417</v>
      </c>
    </row>
    <row r="75" spans="1:25">
      <c r="E75" s="4"/>
      <c r="F75" s="4"/>
      <c r="G75" s="4"/>
      <c r="H75" s="4"/>
      <c r="I75" s="4"/>
      <c r="J75" s="4"/>
      <c r="K75" s="4"/>
      <c r="L75" s="4"/>
      <c r="M75" s="4"/>
      <c r="N75" s="4"/>
      <c r="O75" s="4"/>
      <c r="S75" s="4"/>
      <c r="T75" s="4"/>
      <c r="U75" s="4"/>
      <c r="V75" s="4"/>
      <c r="W75" s="4"/>
      <c r="X75" s="4"/>
      <c r="Y75" s="4"/>
    </row>
    <row r="76" spans="1:25">
      <c r="A76" t="s">
        <v>24</v>
      </c>
      <c r="B76" s="61" t="s">
        <v>250</v>
      </c>
      <c r="D76" s="62">
        <f ca="1">IF(QTS!$C$5=Estimates!$C$65,QTS!H$108,Estimates!D76)</f>
        <v>15.284999999999995</v>
      </c>
      <c r="E76" s="62">
        <f ca="1">IF(QTS!$C$5=Estimates!$C$65,QTS!I$108,Estimates!E76)</f>
        <v>15.091000000000003</v>
      </c>
      <c r="F76" s="62">
        <f ca="1">IF(QTS!$C$5=Estimates!$C$65,QTS!J$108,Estimates!F76)</f>
        <v>19.184000000000005</v>
      </c>
      <c r="G76" s="62">
        <f ca="1">IF(QTS!$C$5=Estimates!$C$65,QTS!K$108,Estimates!G76)</f>
        <v>20.353999999999999</v>
      </c>
      <c r="H76" s="62">
        <f ca="1">IF(QTS!$C$5=Estimates!$C$65,QTS!L$108,Estimates!H76)</f>
        <v>20.660000000000004</v>
      </c>
      <c r="I76" s="62">
        <f ca="1">IF(QTS!$C$5=Estimates!$C$65,QTS!M$108,Estimates!I76)</f>
        <v>19.972999999999995</v>
      </c>
      <c r="J76" s="62">
        <f ca="1">IF(QTS!$C$5=Estimates!$C$65,QTS!N$108,Estimates!J76)</f>
        <v>24.653000000000002</v>
      </c>
      <c r="K76" s="62">
        <f ca="1">IF(QTS!$C$5=Estimates!$C$65,QTS!O$108,Estimates!K76)</f>
        <v>27.398999999999997</v>
      </c>
      <c r="L76" s="62">
        <f ca="1">IF(QTS!$C$5=Estimates!$C$65,QTS!P$108,Estimates!L76)</f>
        <v>26.622000000000003</v>
      </c>
      <c r="M76" s="62">
        <f ca="1">IF(QTS!$C$5=Estimates!$C$65,QTS!Q$108,Estimates!M76)</f>
        <v>25.245000000000008</v>
      </c>
      <c r="N76" s="62">
        <f ca="1">IF(QTS!$C$5=Estimates!$C$65,QTS!R$108,Estimates!N76)</f>
        <v>35.581000000000003</v>
      </c>
      <c r="O76" s="62">
        <f ca="1">IF(QTS!$C$5=Estimates!$C$65,QTS!S$108,Estimates!O76)</f>
        <v>33.878</v>
      </c>
      <c r="Q76" s="62">
        <f ca="1">IF(QTS!$C$5=Estimates!$C$65,QTS!BB$108,Estimates!Q76)</f>
        <v>44.897999999999975</v>
      </c>
      <c r="R76" s="62">
        <f ca="1">IF(QTS!$C$5=Estimates!$C$65,QTS!BC$108,Estimates!R76)</f>
        <v>50.243999999999993</v>
      </c>
      <c r="S76" s="62">
        <f ca="1">IF(QTS!$C$5=Estimates!$C$65,QTS!BD$108,Estimates!S76)</f>
        <v>69.914000000000001</v>
      </c>
      <c r="T76" s="62">
        <f ca="1">IF(QTS!$C$5=Estimates!$C$65,QTS!BE$108,Estimates!T76)</f>
        <v>92.684999999999974</v>
      </c>
      <c r="U76" s="62">
        <f ca="1">IF(QTS!$C$5=Estimates!$C$65,QTS!BF$108,Estimates!U76)</f>
        <v>121.32599999999996</v>
      </c>
      <c r="V76" s="62">
        <f ca="1">IF(QTS!$C$5=Estimates!$C$65,QTS!BG$108,Estimates!V76)</f>
        <v>162.65100000000007</v>
      </c>
      <c r="W76" s="62">
        <f ca="1">IF(QTS!$C$5=Estimates!$C$65,QTS!BH$108,Estimates!W76)</f>
        <v>163.05900000000005</v>
      </c>
      <c r="X76" s="62">
        <f ca="1">IF(QTS!$C$5=Estimates!$C$65,QTS!BI108,Estimates!X76)</f>
        <v>198.38974583765065</v>
      </c>
      <c r="Y76" s="62">
        <f ca="1">IF(QTS!$C$5=Estimates!$C$65,QTS!BJ$108,Estimates!Y76)</f>
        <v>214.21998811437419</v>
      </c>
    </row>
    <row r="77" spans="1:25">
      <c r="B77" s="14" t="s">
        <v>112</v>
      </c>
      <c r="D77" s="19">
        <f t="shared" ref="D77:O77" ca="1" si="18">+D76/D71</f>
        <v>0.36833100390380247</v>
      </c>
      <c r="E77" s="19">
        <f t="shared" ca="1" si="18"/>
        <v>0.35144387517466236</v>
      </c>
      <c r="F77" s="19">
        <f t="shared" ca="1" si="18"/>
        <v>0.41686223381138643</v>
      </c>
      <c r="G77" s="19">
        <f t="shared" ca="1" si="18"/>
        <v>0.42914672457778991</v>
      </c>
      <c r="H77" s="19">
        <f t="shared" ca="1" si="18"/>
        <v>0.42212369491040602</v>
      </c>
      <c r="I77" s="19">
        <f t="shared" ca="1" si="18"/>
        <v>0.38904904748918923</v>
      </c>
      <c r="J77" s="19">
        <f t="shared" ca="1" si="18"/>
        <v>0.4254551730088878</v>
      </c>
      <c r="K77" s="19">
        <f t="shared" ca="1" si="18"/>
        <v>0.46000033577892313</v>
      </c>
      <c r="L77" s="19">
        <f t="shared" ca="1" si="18"/>
        <v>0.4336819470237514</v>
      </c>
      <c r="M77" s="19">
        <f t="shared" ca="1" si="18"/>
        <v>0.37061232878723382</v>
      </c>
      <c r="N77" s="19">
        <f t="shared" ca="1" si="18"/>
        <v>0.40028124648441898</v>
      </c>
      <c r="O77" s="19">
        <f t="shared" ca="1" si="18"/>
        <v>0.36549789621318368</v>
      </c>
      <c r="Q77" s="19">
        <f t="shared" ref="Q77:V77" ca="1" si="19">+Q76/Q71</f>
        <v>0.34432037792570308</v>
      </c>
      <c r="R77" s="19">
        <f t="shared" ca="1" si="19"/>
        <v>0.34470598728037377</v>
      </c>
      <c r="S77" s="19">
        <f t="shared" ca="1" si="19"/>
        <v>0.39302478539747143</v>
      </c>
      <c r="T77" s="19">
        <f t="shared" ca="1" si="19"/>
        <v>0.42557245774579971</v>
      </c>
      <c r="U77" s="19">
        <f t="shared" ca="1" si="19"/>
        <v>0.39001166891151229</v>
      </c>
      <c r="V77" s="19">
        <f t="shared" ca="1" si="19"/>
        <v>0.40423945541712347</v>
      </c>
      <c r="W77" s="19">
        <f ca="1">+W76/W71</f>
        <v>0.36518555015565168</v>
      </c>
      <c r="X77" s="19">
        <f ca="1">+X76/X71</f>
        <v>0.48721772919051959</v>
      </c>
      <c r="Y77" s="19">
        <f ca="1">+Y76/Y71</f>
        <v>0.5047993862580813</v>
      </c>
    </row>
    <row r="78" spans="1:25">
      <c r="E78" s="4"/>
      <c r="F78" s="4"/>
      <c r="G78" s="4"/>
      <c r="H78" s="4"/>
      <c r="I78" s="4"/>
      <c r="J78" s="4"/>
      <c r="K78" s="4"/>
      <c r="L78" s="4"/>
      <c r="M78" s="4"/>
      <c r="N78" s="4"/>
      <c r="O78" s="4"/>
      <c r="S78" s="4"/>
      <c r="T78" s="4"/>
      <c r="U78" s="4"/>
      <c r="V78" s="4"/>
      <c r="W78" s="4"/>
      <c r="X78" s="4"/>
      <c r="Y78" s="4"/>
    </row>
    <row r="79" spans="1:25">
      <c r="A79" t="s">
        <v>24</v>
      </c>
      <c r="B79" s="61" t="s">
        <v>19</v>
      </c>
      <c r="D79" s="62">
        <f ca="1">IF(QTS!$C$5=Estimates!$C$65,QTS!H$113,Estimates!D79)</f>
        <v>16.757999999999996</v>
      </c>
      <c r="E79" s="62">
        <f ca="1">IF(QTS!$C$5=Estimates!$C$65,QTS!I$113,Estimates!E79)</f>
        <v>17.690000000000001</v>
      </c>
      <c r="F79" s="62">
        <f ca="1">IF(QTS!$C$5=Estimates!$C$65,QTS!J$113,Estimates!F79)</f>
        <v>19.694000000000006</v>
      </c>
      <c r="G79" s="62">
        <f ca="1">IF(QTS!$C$5=Estimates!$C$65,QTS!K$113,Estimates!G79)</f>
        <v>21.228000000000002</v>
      </c>
      <c r="H79" s="62">
        <f ca="1">IF(QTS!$C$5=Estimates!$C$65,QTS!L$113,Estimates!H79)</f>
        <v>21.635000000000005</v>
      </c>
      <c r="I79" s="62">
        <f ca="1">IF(QTS!$C$5=Estimates!$C$65,QTS!M$113,Estimates!I79)</f>
        <v>23.282999999999998</v>
      </c>
      <c r="J79" s="62">
        <f ca="1">IF(QTS!$C$5=Estimates!$C$65,QTS!N$113,Estimates!J79)</f>
        <v>26.079000000000004</v>
      </c>
      <c r="K79" s="62">
        <f ca="1">IF(QTS!$C$5=Estimates!$C$65,QTS!O$113,Estimates!K79)</f>
        <v>29.027999999999995</v>
      </c>
      <c r="L79" s="62">
        <f ca="1">IF(QTS!$C$5=Estimates!$C$65,QTS!P$113,Estimates!L79)</f>
        <v>28.034000000000002</v>
      </c>
      <c r="M79" s="62">
        <f ca="1">IF(QTS!$C$5=Estimates!$C$65,QTS!Q$113,Estimates!M79)</f>
        <v>31.828000000000007</v>
      </c>
      <c r="N79" s="62">
        <f ca="1">IF(QTS!$C$5=Estimates!$C$65,QTS!R$113,Estimates!N79)</f>
        <v>39.131</v>
      </c>
      <c r="O79" s="62">
        <f ca="1">IF(QTS!$C$5=Estimates!$C$65,QTS!S$113,Estimates!O79)</f>
        <v>41.047000000000004</v>
      </c>
      <c r="Q79" s="62"/>
      <c r="R79" s="62"/>
      <c r="S79" s="62">
        <f ca="1">IF(QTS!$C$5=Estimates!$C$65,QTS!BD$113,Estimates!S79)</f>
        <v>78.646999999999991</v>
      </c>
      <c r="T79" s="62">
        <f ca="1">IF(QTS!$C$5=Estimates!$C$65,QTS!BE$113,Estimates!T79)</f>
        <v>100.02499999999998</v>
      </c>
      <c r="U79" s="62">
        <f ca="1">IF(QTS!$C$5=Estimates!$C$65,QTS!BF$113,Estimates!U79)</f>
        <v>140.03999999999996</v>
      </c>
      <c r="V79" s="62">
        <f ca="1">IF(QTS!$C$5=Estimates!$C$65,QTS!BG$113,Estimates!V79)</f>
        <v>184.33400000000009</v>
      </c>
      <c r="W79" s="62">
        <f ca="1">IF(QTS!$C$5=Estimates!$C$65,QTS!BH$113,Estimates!W79)</f>
        <v>207.97400000000005</v>
      </c>
      <c r="X79" s="62">
        <f ca="1">IF(QTS!$C$5=Estimates!$C$65,QTS!BI113,Estimates!X79)</f>
        <v>209.88175751198452</v>
      </c>
      <c r="Y79" s="62">
        <f ca="1">IF(QTS!$C$5=Estimates!$C$65,QTS!BJ$113,Estimates!Y79)</f>
        <v>226.19679627940269</v>
      </c>
    </row>
    <row r="80" spans="1:25">
      <c r="B80" s="14" t="s">
        <v>112</v>
      </c>
      <c r="D80" s="19">
        <f t="shared" ref="D80:O80" ca="1" si="20">+D79/D71</f>
        <v>0.40382669044291281</v>
      </c>
      <c r="E80" s="19">
        <f t="shared" ca="1" si="20"/>
        <v>0.41197019096413601</v>
      </c>
      <c r="F80" s="19">
        <f t="shared" ca="1" si="20"/>
        <v>0.42794437201216873</v>
      </c>
      <c r="G80" s="19">
        <f t="shared" ca="1" si="20"/>
        <v>0.44757426890720869</v>
      </c>
      <c r="H80" s="19">
        <f t="shared" ca="1" si="20"/>
        <v>0.44204482765666187</v>
      </c>
      <c r="I80" s="19">
        <f t="shared" ca="1" si="20"/>
        <v>0.45352370563714989</v>
      </c>
      <c r="J80" s="19">
        <f t="shared" ca="1" si="20"/>
        <v>0.45006471654154812</v>
      </c>
      <c r="K80" s="19">
        <f t="shared" ca="1" si="20"/>
        <v>0.48734952907006024</v>
      </c>
      <c r="L80" s="19">
        <f t="shared" ca="1" si="20"/>
        <v>0.45668393444759392</v>
      </c>
      <c r="M80" s="19">
        <f t="shared" ca="1" si="20"/>
        <v>0.46725487029669543</v>
      </c>
      <c r="N80" s="19">
        <f t="shared" ca="1" si="20"/>
        <v>0.44021824727190911</v>
      </c>
      <c r="O80" s="19">
        <f t="shared" ca="1" si="20"/>
        <v>0.44284173049951447</v>
      </c>
      <c r="S80" s="19">
        <f t="shared" ref="S80:X80" ca="1" si="21">+S79/S71</f>
        <v>0.44211774890801459</v>
      </c>
      <c r="T80" s="19">
        <f t="shared" ca="1" si="21"/>
        <v>0.45927480267598447</v>
      </c>
      <c r="U80" s="19">
        <f t="shared" ca="1" si="21"/>
        <v>0.4501692474355718</v>
      </c>
      <c r="V80" s="19">
        <f t="shared" ca="1" si="21"/>
        <v>0.45812860526440069</v>
      </c>
      <c r="W80" s="19">
        <f t="shared" ca="1" si="21"/>
        <v>0.46577680231125845</v>
      </c>
      <c r="X80" s="19">
        <f t="shared" ca="1" si="21"/>
        <v>0.51544051766257015</v>
      </c>
      <c r="Y80" s="19">
        <f t="shared" ref="Y80" ca="1" si="22">+Y79/Y71</f>
        <v>0.53302217473013191</v>
      </c>
    </row>
    <row r="81" spans="1:25">
      <c r="E81" s="4"/>
      <c r="F81" s="4"/>
      <c r="G81" s="4"/>
      <c r="H81" s="4"/>
      <c r="I81" s="4"/>
      <c r="J81" s="4"/>
      <c r="K81" s="4"/>
      <c r="L81" s="4"/>
      <c r="M81" s="4"/>
      <c r="N81" s="4"/>
      <c r="O81" s="4"/>
      <c r="S81" s="4"/>
      <c r="T81" s="4"/>
      <c r="U81" s="4"/>
      <c r="V81" s="4"/>
      <c r="W81" s="4"/>
      <c r="X81" s="4"/>
      <c r="Y81" s="4"/>
    </row>
    <row r="82" spans="1:25">
      <c r="A82" t="s">
        <v>24</v>
      </c>
      <c r="B82" s="61" t="s">
        <v>40</v>
      </c>
      <c r="D82" s="62">
        <f ca="1">IF(QTS!$C$5=Estimates!$C$65,QTS!H$169,Estimates!D82)</f>
        <v>8.5309999999999935</v>
      </c>
      <c r="E82" s="62">
        <f ca="1">IF(QTS!$C$5=Estimates!$C$65,QTS!I$169,Estimates!E82)</f>
        <v>11.057000000000006</v>
      </c>
      <c r="F82" s="62">
        <f ca="1">IF(QTS!$C$5=Estimates!$C$65,QTS!J$169,Estimates!F82)</f>
        <v>13.440000000000007</v>
      </c>
      <c r="G82" s="62">
        <f ca="1">IF(QTS!$C$5=Estimates!$C$65,QTS!K$169,Estimates!G82)</f>
        <v>16.431999999999999</v>
      </c>
      <c r="H82" s="62">
        <f ca="1">IF(QTS!$C$5=Estimates!$C$65,QTS!L$169,Estimates!H82)</f>
        <v>17.256000000000004</v>
      </c>
      <c r="I82" s="62">
        <f ca="1">IF(QTS!$C$5=Estimates!$C$65,QTS!M$169,Estimates!I82)</f>
        <v>18.368999999999993</v>
      </c>
      <c r="J82" s="62">
        <f ca="1">IF(QTS!$C$5=Estimates!$C$65,QTS!N$169,Estimates!J82)</f>
        <v>18.102999999999998</v>
      </c>
      <c r="K82" s="62">
        <f ca="1">IF(QTS!$C$5=Estimates!$C$65,QTS!O$169,Estimates!K82)</f>
        <v>20.416999999999998</v>
      </c>
      <c r="L82" s="62">
        <f ca="1">IF(QTS!$C$5=Estimates!$C$65,QTS!P$169,Estimates!L82)</f>
        <v>19.444000000000006</v>
      </c>
      <c r="M82" s="62">
        <f ca="1">IF(QTS!$C$5=Estimates!$C$65,QTS!Q$169,Estimates!M82)</f>
        <v>23.422000000000004</v>
      </c>
      <c r="N82" s="62">
        <f ca="1">IF(QTS!$C$5=Estimates!$C$65,QTS!R$169,Estimates!N82)</f>
        <v>29.536000000000005</v>
      </c>
      <c r="O82" s="62">
        <f ca="1">IF(QTS!$C$5=Estimates!$C$65,QTS!S$169,Estimates!O82)</f>
        <v>31.514000000000003</v>
      </c>
      <c r="S82" s="62">
        <f ca="1">IF(QTS!$C$5=Estimates!$C$65,QTS!BD$169,Estimates!S82)</f>
        <v>49.46</v>
      </c>
      <c r="T82" s="62">
        <f ca="1">IF(QTS!$C$5=Estimates!$C$65,QTS!BE$169,Estimates!T82)</f>
        <v>74.144999999999996</v>
      </c>
      <c r="U82" s="62">
        <f ca="1">IF(QTS!$C$5=Estimates!$C$65,QTS!BF$169,Estimates!U82)</f>
        <v>103.91600000000003</v>
      </c>
      <c r="V82" s="62">
        <f ca="1">IF(QTS!$C$5=Estimates!$C$65,QTS!BG$169,Estimates!V82)</f>
        <v>140.666</v>
      </c>
      <c r="W82" s="62">
        <f ca="1">IF(QTS!$C$5=Estimates!$C$65,QTS!BH$169,Estimates!W82)</f>
        <v>156.06399999999996</v>
      </c>
      <c r="X82" s="62">
        <f ca="1">IF(QTS!$C$5=Estimates!$C$65,QTS!BI169,Estimates!X82)</f>
        <v>132.44386083122538</v>
      </c>
      <c r="Y82" s="62">
        <f ca="1">IF(QTS!$C$5=Estimates!$C$65,QTS!BJ$169,Estimates!Y82)</f>
        <v>125.21471723136996</v>
      </c>
    </row>
    <row r="83" spans="1:25">
      <c r="E83" s="4"/>
      <c r="F83" s="4"/>
      <c r="G83" s="4"/>
      <c r="H83" s="4"/>
      <c r="I83" s="4"/>
      <c r="J83" s="4"/>
      <c r="K83" s="4"/>
      <c r="L83" s="4"/>
      <c r="M83" s="4"/>
      <c r="N83" s="4"/>
      <c r="O83" s="4"/>
      <c r="S83" s="4"/>
      <c r="T83" s="4"/>
      <c r="U83" s="4"/>
      <c r="V83" s="4"/>
      <c r="W83" s="4"/>
      <c r="X83" s="4"/>
      <c r="Y83" s="4"/>
    </row>
    <row r="84" spans="1:25">
      <c r="A84" t="s">
        <v>24</v>
      </c>
      <c r="B84" s="61" t="s">
        <v>215</v>
      </c>
      <c r="E84" s="4"/>
      <c r="F84" s="83">
        <f ca="1">IF(QTS!$C$5=Estimates!$C$65,QTS!J$170,Estimates!F84)</f>
        <v>0</v>
      </c>
      <c r="G84" s="83">
        <f ca="1">IF(QTS!$C$5=Estimates!$C$65,QTS!K$170,Estimates!G84)</f>
        <v>0.44659194386943701</v>
      </c>
      <c r="H84" s="83">
        <f ca="1">IF(QTS!$C$5=Estimates!$C$65,QTS!L$170,Estimates!H84)</f>
        <v>0.46767188296798412</v>
      </c>
      <c r="I84" s="83">
        <f ca="1">IF(QTS!$C$5=Estimates!$C$65,QTS!M$170,Estimates!I84)</f>
        <v>0.49409516069981751</v>
      </c>
      <c r="J84" s="83">
        <f ca="1">IF(QTS!$C$5=Estimates!$C$65,QTS!N$170,Estimates!J84)</f>
        <v>0.48576836611891888</v>
      </c>
      <c r="K84" s="83">
        <f ca="1">IF(QTS!$C$5=Estimates!$C$65,QTS!O$170,Estimates!K84)</f>
        <v>0.54981957235956258</v>
      </c>
      <c r="L84" s="83">
        <f ca="1">IF(QTS!$C$5=Estimates!$C$65,QTS!P$170,Estimates!L84)</f>
        <v>0.4678436866967961</v>
      </c>
      <c r="M84" s="83">
        <f ca="1">IF(QTS!$C$5=Estimates!$C$65,QTS!Q$170,Estimates!M84)</f>
        <v>0.52036296105231428</v>
      </c>
      <c r="N84" s="83">
        <f ca="1">IF(QTS!$C$5=Estimates!$C$65,QTS!R$170,Estimates!N84)</f>
        <v>0.60607283088727404</v>
      </c>
      <c r="O84" s="83">
        <f ca="1">IF(QTS!$C$5=Estimates!$C$65,QTS!S$170,Estimates!O84)</f>
        <v>0.64538555878851345</v>
      </c>
      <c r="S84" s="83">
        <f ca="1">IF(QTS!$C$5=Estimates!$C$65,QTS!BD$170,Estimates!S84)</f>
        <v>1.3442330540276508</v>
      </c>
      <c r="T84" s="83">
        <f ca="1">IF(QTS!$C$5=Estimates!$C$65,QTS!BE$170,Estimates!T84)</f>
        <v>1.997354982146283</v>
      </c>
      <c r="U84" s="83">
        <f ca="1">IF(QTS!$C$5=Estimates!$C$65,QTS!BF$170,Estimates!U84)</f>
        <v>2.2396650374248979</v>
      </c>
      <c r="V84" s="83">
        <f ca="1">IF(QTS!$C$5=Estimates!$C$65,QTS!BG$170,Estimates!V84)</f>
        <v>2.6099802852503151</v>
      </c>
      <c r="W84" s="83">
        <f ca="1">IF(QTS!$C$5=Estimates!$C$65,QTS!BH$170,Estimates!W84)</f>
        <v>2.7615931886141936</v>
      </c>
      <c r="X84" s="83">
        <f ca="1">IF(QTS!$C$5=Estimates!$C$65,QTS!BI170,Estimates!X84)</f>
        <v>2.284687922038092</v>
      </c>
      <c r="Y84" s="83">
        <f ca="1">IF(QTS!$C$5=Estimates!$C$65,QTS!BJ$170,Estimates!Y84)</f>
        <v>2.1479540170003162</v>
      </c>
    </row>
    <row r="85" spans="1:25">
      <c r="E85" s="4"/>
      <c r="F85" s="4"/>
      <c r="G85" s="4"/>
      <c r="H85" s="4"/>
      <c r="I85" s="4"/>
      <c r="J85" s="4"/>
      <c r="K85" s="4"/>
      <c r="L85" s="4"/>
      <c r="M85" s="4"/>
      <c r="N85" s="4"/>
      <c r="O85" s="4"/>
      <c r="S85" s="4"/>
      <c r="T85" s="4"/>
      <c r="U85" s="4"/>
      <c r="V85" s="4"/>
      <c r="W85" s="4"/>
      <c r="X85" s="4"/>
      <c r="Y85" s="4"/>
    </row>
    <row r="86" spans="1:25">
      <c r="A86" t="s">
        <v>24</v>
      </c>
      <c r="B86" s="61" t="s">
        <v>49</v>
      </c>
      <c r="D86" s="62">
        <f ca="1">IF(QTS!$C$5=Estimates!$C$65,QTS!H$181,Estimates!D86)</f>
        <v>8.3599999999999941</v>
      </c>
      <c r="E86" s="62">
        <f ca="1">IF(QTS!$C$5=Estimates!$C$65,QTS!I$181,Estimates!E86)</f>
        <v>9.773000000000005</v>
      </c>
      <c r="F86" s="62">
        <f ca="1">IF(QTS!$C$5=Estimates!$C$65,QTS!J$181,Estimates!F86)</f>
        <v>12.932000000000006</v>
      </c>
      <c r="G86" s="62">
        <f ca="1">IF(QTS!$C$5=Estimates!$C$65,QTS!K$181,Estimates!G86)</f>
        <v>16.291999999999998</v>
      </c>
      <c r="H86" s="62">
        <f ca="1">IF(QTS!$C$5=Estimates!$C$65,QTS!L$181,Estimates!H86)</f>
        <v>17.732000000000003</v>
      </c>
      <c r="I86" s="62">
        <f ca="1">IF(QTS!$C$5=Estimates!$C$65,QTS!M$181,Estimates!I86)</f>
        <v>18.713999999999992</v>
      </c>
      <c r="J86" s="62">
        <f ca="1">IF(QTS!$C$5=Estimates!$C$65,QTS!N$181,Estimates!J86)</f>
        <v>12.879999999999999</v>
      </c>
      <c r="K86" s="62">
        <f ca="1">IF(QTS!$C$5=Estimates!$C$65,QTS!O$181,Estimates!K86)</f>
        <v>19.702999999999999</v>
      </c>
      <c r="L86" s="62">
        <f ca="1">IF(QTS!$C$5=Estimates!$C$65,QTS!P$181,Estimates!L86)</f>
        <v>20.075000000000006</v>
      </c>
      <c r="M86" s="62">
        <f ca="1">IF(QTS!$C$5=Estimates!$C$65,QTS!Q$181,Estimates!M86)</f>
        <v>22.238000000000003</v>
      </c>
      <c r="N86" s="62">
        <f ca="1">IF(QTS!$C$5=Estimates!$C$65,QTS!R$181,Estimates!N86)</f>
        <v>29.670000000000005</v>
      </c>
      <c r="O86" s="62">
        <f ca="1">IF(QTS!$C$5=Estimates!$C$65,QTS!S$181,Estimates!O86)</f>
        <v>27.843000000000004</v>
      </c>
      <c r="S86" s="62">
        <f ca="1">IF(QTS!$C$5=Estimates!$C$65,QTS!BD$181,Estimates!S86)</f>
        <v>47.356999999999999</v>
      </c>
      <c r="T86" s="62">
        <f ca="1">IF(QTS!$C$5=Estimates!$C$65,QTS!BE$181,Estimates!T86)</f>
        <v>69.028999999999996</v>
      </c>
      <c r="U86" s="62">
        <f ca="1">IF(QTS!$C$5=Estimates!$C$65,QTS!BF$181,Estimates!U86)</f>
        <v>99.826000000000022</v>
      </c>
      <c r="V86" s="62">
        <f ca="1">IF(QTS!$C$5=Estimates!$C$65,QTS!BG$181,Estimates!V86)</f>
        <v>134.11900000000003</v>
      </c>
      <c r="W86" s="62">
        <f ca="1">IF(QTS!$C$5=Estimates!$C$65,QTS!BH$181,Estimates!W86)</f>
        <v>151.29499999999999</v>
      </c>
      <c r="X86" s="62">
        <f ca="1">IF(QTS!$C$5=Estimates!$C$65,QTS!BI181,Estimates!X86)</f>
        <v>139.71531412897872</v>
      </c>
      <c r="Y86" s="62">
        <f ca="1">IF(QTS!$C$5=Estimates!$C$65,QTS!BJ$181,Estimates!Y86)</f>
        <v>144.99201905843563</v>
      </c>
    </row>
    <row r="87" spans="1:25">
      <c r="D87" s="10"/>
      <c r="E87" s="7"/>
      <c r="F87" s="7"/>
      <c r="G87" s="7"/>
      <c r="H87" s="7"/>
      <c r="I87" s="7"/>
      <c r="J87" s="7"/>
      <c r="K87" s="7"/>
      <c r="L87" s="4"/>
      <c r="M87" s="4"/>
      <c r="N87" s="4"/>
      <c r="O87" s="4"/>
      <c r="S87" s="4"/>
      <c r="T87" s="4"/>
      <c r="U87" s="4"/>
      <c r="V87" s="4"/>
      <c r="W87" s="4"/>
      <c r="X87" s="4"/>
      <c r="Y87" s="4"/>
    </row>
    <row r="88" spans="1:25">
      <c r="A88" t="s">
        <v>24</v>
      </c>
      <c r="B88" s="61" t="s">
        <v>216</v>
      </c>
      <c r="D88" s="10"/>
      <c r="E88" s="7"/>
      <c r="F88" s="83">
        <f ca="1">IF(QTS!$C$5=Estimates!$C$65,QTS!J$182,Estimates!F88)</f>
        <v>0</v>
      </c>
      <c r="G88" s="83">
        <f ca="1">IF(QTS!$C$5=Estimates!$C$65,QTS!K$182,Estimates!G88)</f>
        <v>0.44278699790170811</v>
      </c>
      <c r="H88" s="83">
        <f ca="1">IF(QTS!$C$5=Estimates!$C$65,QTS!L$182,Estimates!H88)</f>
        <v>0.48057242865022565</v>
      </c>
      <c r="I88" s="83">
        <f ca="1">IF(QTS!$C$5=Estimates!$C$65,QTS!M$182,Estimates!I88)</f>
        <v>0.50337507960892725</v>
      </c>
      <c r="J88" s="83">
        <f ca="1">IF(QTS!$C$5=Estimates!$C$65,QTS!N$182,Estimates!J88)</f>
        <v>0.34561655833904192</v>
      </c>
      <c r="K88" s="83">
        <f ca="1">IF(QTS!$C$5=Estimates!$C$65,QTS!O$182,Estimates!K88)</f>
        <v>0.53059191037862874</v>
      </c>
      <c r="L88" s="83">
        <f ca="1">IF(QTS!$C$5=Estimates!$C$65,QTS!P$182,Estimates!L88)</f>
        <v>0.48302622970778553</v>
      </c>
      <c r="M88" s="83">
        <f ca="1">IF(QTS!$C$5=Estimates!$C$65,QTS!Q$182,Estimates!M88)</f>
        <v>0.49405821568958092</v>
      </c>
      <c r="N88" s="83">
        <f ca="1">IF(QTS!$C$5=Estimates!$C$65,QTS!R$182,Estimates!N88)</f>
        <v>0.60882248416933304</v>
      </c>
      <c r="O88" s="83">
        <f ca="1">IF(QTS!$C$5=Estimates!$C$65,QTS!S$182,Estimates!O88)</f>
        <v>0.5702059438138154</v>
      </c>
      <c r="S88" s="83">
        <f ca="1">IF(QTS!$C$5=Estimates!$C$65,QTS!BD$182,Estimates!S88)</f>
        <v>1.287077329955266</v>
      </c>
      <c r="T88" s="83">
        <f ca="1">IF(QTS!$C$5=Estimates!$C$65,QTS!BE$182,Estimates!T88)</f>
        <v>1.8601559769768237</v>
      </c>
      <c r="U88" s="83">
        <f ca="1">IF(QTS!$C$5=Estimates!$C$65,QTS!BF$182,Estimates!U88)</f>
        <v>2.1561128733805148</v>
      </c>
      <c r="V88" s="83">
        <f ca="1">IF(QTS!$C$5=Estimates!$C$65,QTS!BG$182,Estimates!V88)</f>
        <v>2.4852008810627124</v>
      </c>
      <c r="W88" s="83">
        <f ca="1">IF(QTS!$C$5=Estimates!$C$65,QTS!BH$182,Estimates!W88)</f>
        <v>2.6801078765192159</v>
      </c>
      <c r="X88" s="83">
        <f ca="1">IF(QTS!$C$5=Estimates!$C$65,QTS!BI182,Estimates!X88)</f>
        <v>2.4098351443224533</v>
      </c>
      <c r="Y88" s="83">
        <f ca="1">IF(QTS!$C$5=Estimates!$C$65,QTS!BJ$182,Estimates!Y88)</f>
        <v>2.4871111630337017</v>
      </c>
    </row>
    <row r="89" spans="1:25">
      <c r="E89" s="4"/>
      <c r="F89" s="4"/>
      <c r="G89" s="4"/>
      <c r="H89" s="4"/>
      <c r="I89" s="4"/>
      <c r="J89" s="4"/>
      <c r="K89" s="4"/>
      <c r="L89" s="4"/>
      <c r="M89" s="4"/>
      <c r="N89" s="4"/>
      <c r="O89" s="4"/>
      <c r="S89" s="4"/>
      <c r="T89" s="4"/>
      <c r="U89" s="4"/>
      <c r="V89" s="4"/>
      <c r="W89" s="4"/>
      <c r="X89" s="4"/>
      <c r="Y89" s="4"/>
    </row>
    <row r="90" spans="1:25">
      <c r="A90" t="s">
        <v>24</v>
      </c>
      <c r="B90" s="61" t="s">
        <v>163</v>
      </c>
      <c r="E90" s="62">
        <f ca="1">IF(QTS!$C$5=Estimates!$C$65,QTS!I$185,Estimates!E90)</f>
        <v>0</v>
      </c>
      <c r="F90" s="62">
        <f ca="1">IF(QTS!$C$5=Estimates!$C$65,QTS!J$185,Estimates!F90)</f>
        <v>0</v>
      </c>
      <c r="G90" s="62">
        <f ca="1">IF(QTS!$C$5=Estimates!$C$65,QTS!K$185,Estimates!G90)</f>
        <v>8.8306115999999992</v>
      </c>
      <c r="H90" s="62">
        <f ca="1">IF(QTS!$C$5=Estimates!$C$65,QTS!L$185,Estimates!H90)</f>
        <v>10.700322560000002</v>
      </c>
      <c r="I90" s="62">
        <f ca="1">IF(QTS!$C$5=Estimates!$C$65,QTS!M$185,Estimates!I90)</f>
        <v>10.78134421</v>
      </c>
      <c r="J90" s="62">
        <f ca="1">IF(QTS!$C$5=Estimates!$C$65,QTS!N$185,Estimates!J90)</f>
        <v>10.807352569999999</v>
      </c>
      <c r="K90" s="62">
        <f ca="1">IF(QTS!$C$5=Estimates!$C$65,QTS!O$185,Estimates!K90)</f>
        <v>10.76886</v>
      </c>
      <c r="L90" s="62">
        <f ca="1">IF(QTS!$C$5=Estimates!$C$65,QTS!P$185,Estimates!L90)</f>
        <v>13.2994848</v>
      </c>
      <c r="M90" s="62">
        <f ca="1">IF(QTS!$C$5=Estimates!$C$65,QTS!Q$185,Estimates!M90)</f>
        <v>14.403484800000001</v>
      </c>
      <c r="N90" s="62">
        <f ca="1">IF(QTS!$C$5=Estimates!$C$65,QTS!R$185,Estimates!N90)</f>
        <v>15.594693440000002</v>
      </c>
      <c r="O90" s="62">
        <f ca="1">IF(QTS!$C$5=Estimates!$C$65,QTS!S$185,Estimates!O90)</f>
        <v>17.57870136</v>
      </c>
      <c r="S90" s="62">
        <f ca="1">IF(QTS!$C$5=Estimates!$C$65,QTS!BD$185,Estimates!S90)</f>
        <v>8.8306115999999992</v>
      </c>
      <c r="T90" s="62">
        <f ca="1">IF(QTS!$C$5=Estimates!$C$65,QTS!BE$185,Estimates!T90)</f>
        <v>43.05787934</v>
      </c>
      <c r="U90" s="62">
        <f ca="1">IF(QTS!$C$5=Estimates!$C$65,QTS!BF$185,Estimates!U90)</f>
        <v>60.8763644</v>
      </c>
      <c r="V90" s="62">
        <f ca="1">IF(QTS!$C$5=Estimates!$C$65,QTS!BG$185,Estimates!V90)</f>
        <v>79.358081459999994</v>
      </c>
      <c r="W90" s="62">
        <f ca="1">IF(QTS!$C$5=Estimates!$C$65,QTS!BH$185,Estimates!W90)</f>
        <v>88.021374090000009</v>
      </c>
      <c r="X90" s="62">
        <f ca="1">IF(QTS!$C$5=Estimates!$C$65,QTS!BI185,Estimates!X90)</f>
        <v>95.083162292765564</v>
      </c>
      <c r="Y90" s="62">
        <f ca="1">IF(QTS!$C$5=Estimates!$C$65,QTS!BJ$185,Estimates!Y90)</f>
        <v>87.177510421744074</v>
      </c>
    </row>
    <row r="91" spans="1:25">
      <c r="E91" s="4"/>
      <c r="F91" s="4"/>
      <c r="G91" s="4"/>
      <c r="H91" s="4"/>
      <c r="I91" s="4"/>
      <c r="J91" s="4"/>
      <c r="K91" s="4"/>
      <c r="L91" s="4"/>
      <c r="M91" s="4"/>
      <c r="N91" s="4"/>
      <c r="O91" s="4"/>
      <c r="S91" s="4"/>
      <c r="T91" s="4"/>
      <c r="U91" s="4"/>
      <c r="V91" s="4"/>
      <c r="W91" s="4"/>
      <c r="X91" s="4"/>
      <c r="Y91" s="4"/>
    </row>
    <row r="92" spans="1:25">
      <c r="A92" t="s">
        <v>24</v>
      </c>
      <c r="B92" s="61" t="s">
        <v>186</v>
      </c>
      <c r="E92" s="4"/>
      <c r="F92" s="62">
        <f ca="1">IF(QTS!$C$5=Estimates!$C$65,-QTS!J$223,Estimates!F92)</f>
        <v>37.572000000000003</v>
      </c>
      <c r="G92" s="62">
        <f ca="1">IF(QTS!$C$5=Estimates!$C$65,-QTS!K$223,Estimates!G92)</f>
        <v>44.739999999999981</v>
      </c>
      <c r="H92" s="62">
        <f ca="1">IF(QTS!$C$5=Estimates!$C$65,-QTS!L$223,Estimates!H92)</f>
        <v>59.164999999999999</v>
      </c>
      <c r="I92" s="62">
        <f ca="1">IF(QTS!$C$5=Estimates!$C$65,-QTS!M$223,Estimates!I92)</f>
        <v>54.991999999999997</v>
      </c>
      <c r="J92" s="62">
        <f ca="1">IF(QTS!$C$5=Estimates!$C$65,-QTS!N$223,Estimates!J92)</f>
        <v>41.85100000000002</v>
      </c>
      <c r="K92" s="62">
        <f ca="1">IF(QTS!$C$5=Estimates!$C$65,-QTS!O$223,Estimates!K92)</f>
        <v>45.136999999999993</v>
      </c>
      <c r="L92" s="62">
        <f ca="1">IF(QTS!$C$5=Estimates!$C$65,-QTS!P$223,Estimates!L92)</f>
        <v>73.399000000000001</v>
      </c>
      <c r="M92" s="62">
        <f ca="1">IF(QTS!$C$5=Estimates!$C$65,-QTS!Q$223,Estimates!M92)</f>
        <v>96.751000000000005</v>
      </c>
      <c r="N92" s="62">
        <f ca="1">IF(QTS!$C$5=Estimates!$C$65,-QTS!R$223,Estimates!N92)</f>
        <v>82.006</v>
      </c>
      <c r="O92" s="62">
        <f ca="1">IF(QTS!$C$5=Estimates!$C$65,-QTS!S$223,Estimates!O92)</f>
        <v>67.901999999999987</v>
      </c>
      <c r="S92" s="62">
        <f ca="1">IF(QTS!$C$5=Estimates!$C$65,-SUM(QTS!BD$223,,QTS!BD$222),Estimates!S92)</f>
        <v>168.83799999999999</v>
      </c>
      <c r="T92" s="62">
        <f ca="1">IF(QTS!$C$5=Estimates!$C$65,-SUM(QTS!BE$223,,QTS!BE$222),Estimates!T92)</f>
        <v>292.209</v>
      </c>
      <c r="U92" s="62">
        <f ca="1">IF(QTS!$C$5=Estimates!$C$65,-SUM(QTS!BF$223,,QTS!BF$222),Estimates!U92)</f>
        <v>612.74299999999994</v>
      </c>
      <c r="V92" s="62">
        <f ca="1">IF(QTS!$C$5=Estimates!$C$65,-SUM(QTS!BG$223,,QTS!BG$222),Estimates!V92)</f>
        <v>452.97199999999998</v>
      </c>
      <c r="W92" s="62">
        <f ca="1">IF(QTS!$C$5=Estimates!$C$65,-SUM(QTS!BH$223,,QTS!BH$222),Estimates!W92)</f>
        <v>434.35199999999998</v>
      </c>
      <c r="X92" s="62">
        <f ca="1">IF(QTS!$C$5=Estimates!$C$65,-SUM(QTS!BI223,,QTS!BI222),Estimates!X92)</f>
        <v>468.26745835450521</v>
      </c>
      <c r="Y92" s="62">
        <f ca="1">IF(QTS!$C$5=Estimates!$C$65,-SUM(QTS!BJ$223,,QTS!BJ$222),Estimates!Y92)</f>
        <v>269.19707017036188</v>
      </c>
    </row>
  </sheetData>
  <phoneticPr fontId="2" type="noConversion"/>
  <pageMargins left="0.75" right="0.75" top="1" bottom="1" header="0.5" footer="0.5"/>
  <pageSetup scale="48"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24"/>
    <pageSetUpPr fitToPage="1"/>
  </sheetPr>
  <dimension ref="B1:AX89"/>
  <sheetViews>
    <sheetView showGridLines="0" zoomScale="85" zoomScaleNormal="85" zoomScaleSheetLayoutView="55" workbookViewId="0">
      <pane xSplit="3" ySplit="9" topLeftCell="W10" activePane="bottomRight" state="frozen"/>
      <selection activeCell="C3" sqref="C3:F34"/>
      <selection pane="topRight" activeCell="C3" sqref="C3:F34"/>
      <selection pane="bottomLeft" activeCell="C3" sqref="C3:F34"/>
      <selection pane="bottomRight" activeCell="W10" sqref="W10"/>
    </sheetView>
  </sheetViews>
  <sheetFormatPr defaultColWidth="8" defaultRowHeight="12.75" outlineLevelRow="1" outlineLevelCol="1"/>
  <cols>
    <col min="1" max="1" width="9.140625" style="111" customWidth="1"/>
    <col min="2" max="2" width="2.5703125" style="111" customWidth="1"/>
    <col min="3" max="3" width="27.140625" style="111" customWidth="1"/>
    <col min="4" max="22" width="8.42578125" style="111" hidden="1" customWidth="1" outlineLevel="1"/>
    <col min="23" max="23" width="9.85546875" style="111" customWidth="1" collapsed="1"/>
    <col min="24" max="24" width="9.85546875" style="128" hidden="1" customWidth="1" outlineLevel="1"/>
    <col min="25" max="25" width="9.85546875" style="111" hidden="1" customWidth="1" outlineLevel="1"/>
    <col min="26" max="26" width="9.85546875" style="111" customWidth="1" collapsed="1"/>
    <col min="27" max="27" width="9.42578125" style="111" bestFit="1" customWidth="1"/>
    <col min="28" max="28" width="9.42578125" style="111" customWidth="1" outlineLevel="1"/>
    <col min="29" max="29" width="10" style="111" customWidth="1" outlineLevel="1"/>
    <col min="30" max="30" width="10.5703125" style="111" customWidth="1"/>
    <col min="31" max="31" width="9" style="111" hidden="1" customWidth="1" outlineLevel="1"/>
    <col min="32" max="32" width="7.85546875" style="111" customWidth="1" collapsed="1"/>
    <col min="33" max="33" width="48.42578125" style="111" customWidth="1"/>
    <col min="34" max="35" width="9.140625" style="111" customWidth="1"/>
    <col min="36" max="36" width="22.7109375" style="111" customWidth="1"/>
    <col min="37" max="37" width="21.85546875" style="111" bestFit="1" customWidth="1"/>
    <col min="38" max="38" width="21.85546875" style="111" customWidth="1" outlineLevel="1"/>
    <col min="39" max="39" width="15.85546875" style="111" bestFit="1" customWidth="1" outlineLevel="1"/>
    <col min="40" max="40" width="13" style="111" customWidth="1"/>
    <col min="41" max="41" width="8" style="111" customWidth="1"/>
    <col min="42" max="42" width="8" style="111"/>
    <col min="43" max="43" width="9.28515625" style="111" customWidth="1"/>
    <col min="44" max="45" width="8" style="111"/>
    <col min="46" max="49" width="9.5703125" style="365" customWidth="1"/>
    <col min="50" max="16384" width="8" style="111"/>
  </cols>
  <sheetData>
    <row r="1" spans="2:50">
      <c r="D1" s="111" t="s">
        <v>251</v>
      </c>
    </row>
    <row r="6" spans="2:50">
      <c r="AB6" s="112"/>
    </row>
    <row r="7" spans="2:50">
      <c r="AB7" s="112"/>
    </row>
    <row r="8" spans="2:50">
      <c r="B8" s="113"/>
      <c r="C8" s="114"/>
      <c r="D8" s="115"/>
      <c r="E8" s="115"/>
      <c r="F8" s="115"/>
      <c r="G8" s="115"/>
      <c r="H8" s="115"/>
      <c r="I8" s="115"/>
      <c r="J8" s="115"/>
      <c r="K8" s="115"/>
      <c r="L8" s="115"/>
      <c r="M8" s="115"/>
      <c r="N8" s="115"/>
      <c r="O8" s="115"/>
      <c r="P8" s="115"/>
      <c r="Q8" s="115"/>
      <c r="R8" s="115"/>
      <c r="S8" s="115"/>
      <c r="T8" s="115"/>
      <c r="U8" s="115"/>
      <c r="V8" s="115"/>
      <c r="W8" s="115"/>
      <c r="X8" s="115"/>
      <c r="Y8" s="115"/>
      <c r="Z8" s="116"/>
      <c r="AA8" s="254" t="s">
        <v>252</v>
      </c>
      <c r="AB8" s="117" t="s">
        <v>253</v>
      </c>
      <c r="AC8" s="117" t="s">
        <v>254</v>
      </c>
      <c r="AD8" s="118"/>
      <c r="AE8" s="117" t="s">
        <v>254</v>
      </c>
      <c r="AF8" s="430" t="s">
        <v>255</v>
      </c>
      <c r="AG8" s="432"/>
    </row>
    <row r="9" spans="2:50">
      <c r="B9" s="113"/>
      <c r="C9" s="119"/>
      <c r="D9" s="120" t="s">
        <v>256</v>
      </c>
      <c r="E9" s="120" t="s">
        <v>257</v>
      </c>
      <c r="F9" s="120" t="s">
        <v>258</v>
      </c>
      <c r="G9" s="120" t="s">
        <v>259</v>
      </c>
      <c r="H9" s="120" t="s">
        <v>26</v>
      </c>
      <c r="I9" s="253" t="s">
        <v>25</v>
      </c>
      <c r="J9" s="253" t="s">
        <v>278</v>
      </c>
      <c r="K9" s="253" t="s">
        <v>341</v>
      </c>
      <c r="L9" s="253" t="s">
        <v>357</v>
      </c>
      <c r="M9" s="253" t="s">
        <v>375</v>
      </c>
      <c r="N9" s="253" t="s">
        <v>386</v>
      </c>
      <c r="O9" s="253" t="s">
        <v>391</v>
      </c>
      <c r="P9" s="253" t="s">
        <v>414</v>
      </c>
      <c r="Q9" s="253" t="s">
        <v>423</v>
      </c>
      <c r="R9" s="253" t="s">
        <v>432</v>
      </c>
      <c r="S9" s="253" t="s">
        <v>439</v>
      </c>
      <c r="T9" s="253" t="s">
        <v>458</v>
      </c>
      <c r="U9" s="253" t="s">
        <v>462</v>
      </c>
      <c r="V9" s="253" t="s">
        <v>472</v>
      </c>
      <c r="W9" s="253" t="s">
        <v>479</v>
      </c>
      <c r="X9" s="253" t="s">
        <v>489</v>
      </c>
      <c r="Y9" s="120" t="s">
        <v>493</v>
      </c>
      <c r="Z9" s="121" t="s">
        <v>503</v>
      </c>
      <c r="AA9" s="122" t="s">
        <v>511</v>
      </c>
      <c r="AB9" s="121" t="str">
        <f>+AA9</f>
        <v>4Q17</v>
      </c>
      <c r="AC9" s="121" t="s">
        <v>260</v>
      </c>
      <c r="AD9" s="122" t="s">
        <v>261</v>
      </c>
      <c r="AE9" s="121" t="s">
        <v>260</v>
      </c>
      <c r="AF9" s="431"/>
      <c r="AG9" s="433"/>
    </row>
    <row r="10" spans="2:50" ht="15" customHeight="1">
      <c r="B10" s="113"/>
      <c r="C10" s="270" t="s">
        <v>262</v>
      </c>
      <c r="D10" s="123"/>
      <c r="E10" s="123"/>
      <c r="F10" s="123"/>
      <c r="G10" s="123"/>
      <c r="H10" s="123"/>
      <c r="I10" s="250"/>
      <c r="J10" s="250"/>
      <c r="K10" s="250"/>
      <c r="L10" s="250"/>
      <c r="M10" s="250"/>
      <c r="N10" s="250"/>
      <c r="O10" s="250"/>
      <c r="P10" s="250"/>
      <c r="Q10" s="250"/>
      <c r="R10" s="250"/>
      <c r="S10" s="250"/>
      <c r="T10" s="250"/>
      <c r="U10" s="250"/>
      <c r="V10" s="250"/>
      <c r="W10" s="250"/>
      <c r="X10" s="250"/>
      <c r="Y10" s="123"/>
      <c r="Z10" s="124"/>
      <c r="AA10" s="126"/>
      <c r="AB10" s="124"/>
      <c r="AC10" s="124"/>
      <c r="AD10" s="126"/>
      <c r="AE10" s="125"/>
      <c r="AF10" s="305"/>
      <c r="AG10" s="302"/>
      <c r="AJ10" s="129" t="s">
        <v>512</v>
      </c>
      <c r="AK10" s="129"/>
      <c r="AL10" s="129"/>
      <c r="AM10" s="129"/>
      <c r="AN10" s="129"/>
      <c r="AO10" s="129"/>
      <c r="AX10" s="365"/>
    </row>
    <row r="11" spans="2:50" ht="15" customHeight="1">
      <c r="B11" s="131"/>
      <c r="C11" s="271" t="s">
        <v>263</v>
      </c>
      <c r="D11" s="132">
        <f>QTS!D86</f>
        <v>34.643000000000001</v>
      </c>
      <c r="E11" s="132">
        <f>QTS!E86</f>
        <v>36.689000000000007</v>
      </c>
      <c r="F11" s="132">
        <f>QTS!F86</f>
        <v>36.253999999999998</v>
      </c>
      <c r="G11" s="132">
        <f>QTS!G86</f>
        <v>38.172999999999995</v>
      </c>
      <c r="H11" s="132">
        <f>QTS!H86</f>
        <v>41.497999999999998</v>
      </c>
      <c r="I11" s="132">
        <f>QTS!I86</f>
        <v>42.940000000000005</v>
      </c>
      <c r="J11" s="132">
        <f>QTS!J86</f>
        <v>46.02</v>
      </c>
      <c r="K11" s="132">
        <f>QTS!K86</f>
        <v>47.429000000000002</v>
      </c>
      <c r="L11" s="132">
        <f>QTS!L86</f>
        <v>48.943000000000005</v>
      </c>
      <c r="M11" s="132">
        <f>QTS!M86</f>
        <v>51.337999999999994</v>
      </c>
      <c r="N11" s="132">
        <f>QTS!N86</f>
        <v>57.945</v>
      </c>
      <c r="O11" s="132">
        <f>QTS!O86</f>
        <v>59.562999999999995</v>
      </c>
      <c r="P11" s="132">
        <f>QTS!P86</f>
        <v>61.386000000000003</v>
      </c>
      <c r="Q11" s="132">
        <f>QTS!Q86</f>
        <v>68.117000000000004</v>
      </c>
      <c r="R11" s="132">
        <f>QTS!R86</f>
        <v>88.89</v>
      </c>
      <c r="S11" s="132">
        <f>QTS!S86</f>
        <v>92.690000000000012</v>
      </c>
      <c r="T11" s="132">
        <f>QTS!T86</f>
        <v>94.768000000000001</v>
      </c>
      <c r="U11" s="132">
        <f>QTS!U86</f>
        <v>98.687000000000012</v>
      </c>
      <c r="V11" s="132">
        <f>QTS!V86</f>
        <v>103.46499999999999</v>
      </c>
      <c r="W11" s="132">
        <f>QTS!W86</f>
        <v>105.44300000000001</v>
      </c>
      <c r="X11" s="132">
        <f>QTS!X86</f>
        <v>105.96400000000001</v>
      </c>
      <c r="Y11" s="132">
        <f>QTS!Y86</f>
        <v>107.86799999999999</v>
      </c>
      <c r="Z11" s="133">
        <f>QTS!Z86</f>
        <v>113.767</v>
      </c>
      <c r="AA11" s="133">
        <f>QTS!AA86</f>
        <v>118.91099999999999</v>
      </c>
      <c r="AB11" s="242">
        <f>+SUM(AB33:AB36)</f>
        <v>118.91099999999999</v>
      </c>
      <c r="AC11" s="241">
        <f>AB11-AA11</f>
        <v>0</v>
      </c>
      <c r="AD11" s="135">
        <v>118.23</v>
      </c>
      <c r="AE11" s="136">
        <f>AD11-AA11</f>
        <v>-0.68099999999998317</v>
      </c>
      <c r="AF11" s="423" t="s">
        <v>430</v>
      </c>
      <c r="AG11" s="424"/>
      <c r="AJ11" s="137" t="s">
        <v>301</v>
      </c>
      <c r="AK11" s="138" t="s">
        <v>184</v>
      </c>
      <c r="AL11" s="139" t="s">
        <v>252</v>
      </c>
      <c r="AM11" s="139" t="s">
        <v>261</v>
      </c>
      <c r="AR11" s="365"/>
      <c r="AS11" s="365"/>
      <c r="AW11" s="111"/>
    </row>
    <row r="12" spans="2:50" ht="15" customHeight="1">
      <c r="B12" s="131"/>
      <c r="C12" s="272" t="s">
        <v>264</v>
      </c>
      <c r="D12" s="142"/>
      <c r="E12" s="269"/>
      <c r="F12" s="269"/>
      <c r="G12" s="269"/>
      <c r="H12" s="269">
        <f t="shared" ref="H12:M12" si="0">+H11/D11-1</f>
        <v>0.19787547267846306</v>
      </c>
      <c r="I12" s="269">
        <f t="shared" si="0"/>
        <v>0.17037804246504384</v>
      </c>
      <c r="J12" s="269">
        <f t="shared" si="0"/>
        <v>0.26937717217410517</v>
      </c>
      <c r="K12" s="269">
        <f t="shared" si="0"/>
        <v>0.2424750478086608</v>
      </c>
      <c r="L12" s="269">
        <f t="shared" si="0"/>
        <v>0.1794062364451301</v>
      </c>
      <c r="M12" s="269">
        <f t="shared" si="0"/>
        <v>0.19557522123893767</v>
      </c>
      <c r="N12" s="269">
        <f>+N11/J11-1</f>
        <v>0.25912646675358531</v>
      </c>
      <c r="O12" s="269">
        <f>+O11/K11-1</f>
        <v>0.25583503763520188</v>
      </c>
      <c r="P12" s="269">
        <f>+P11/L11-1</f>
        <v>0.25423451770426819</v>
      </c>
      <c r="Q12" s="269">
        <f>+Q11/M11-1</f>
        <v>0.32683392418871038</v>
      </c>
      <c r="R12" s="269">
        <f>+R11/N11-1</f>
        <v>0.53404090085425837</v>
      </c>
      <c r="S12" s="269">
        <f t="shared" ref="S12" si="1">+S11/O11-1</f>
        <v>0.55616741937108638</v>
      </c>
      <c r="T12" s="269">
        <f t="shared" ref="T12" si="2">+T11/P11-1</f>
        <v>0.54380477633336577</v>
      </c>
      <c r="U12" s="269">
        <f t="shared" ref="U12" si="3">+U11/Q11-1</f>
        <v>0.44878664650527766</v>
      </c>
      <c r="V12" s="269">
        <f t="shared" ref="V12" si="4">+V11/R11-1</f>
        <v>0.16396670041624462</v>
      </c>
      <c r="W12" s="269">
        <f t="shared" ref="W12" si="5">+W11/S11-1</f>
        <v>0.13758765778401116</v>
      </c>
      <c r="X12" s="269">
        <f t="shared" ref="X12" si="6">+X11/T11-1</f>
        <v>0.11814114469019099</v>
      </c>
      <c r="Y12" s="269">
        <f t="shared" ref="Y12" si="7">+Y11/U11-1</f>
        <v>9.3031503642830193E-2</v>
      </c>
      <c r="Z12" s="190">
        <f t="shared" ref="Z12" si="8">+Z11/V11-1</f>
        <v>9.9569902865703552E-2</v>
      </c>
      <c r="AA12" s="190">
        <f t="shared" ref="AA12" si="9">+AA11/W11-1</f>
        <v>0.12772777709283667</v>
      </c>
      <c r="AB12" s="190">
        <f>+AB11/W11-1</f>
        <v>0.12772777709283667</v>
      </c>
      <c r="AC12" s="239">
        <f>(AB12-AA12)*10000</f>
        <v>0</v>
      </c>
      <c r="AD12" s="144">
        <f>+AD11/W11-1</f>
        <v>0.12126931138150465</v>
      </c>
      <c r="AE12" s="143">
        <f>(AD12-AA12)*10000</f>
        <v>-64.584657113320176</v>
      </c>
      <c r="AF12" s="434"/>
      <c r="AG12" s="435"/>
      <c r="AJ12" s="137" t="s">
        <v>516</v>
      </c>
      <c r="AK12" s="145" t="s">
        <v>513</v>
      </c>
      <c r="AL12" s="146">
        <f ca="1">QTS!$BI$86</f>
        <v>414.12465121854461</v>
      </c>
      <c r="AM12" s="191"/>
      <c r="AR12" s="365"/>
      <c r="AS12" s="365"/>
      <c r="AW12" s="111"/>
    </row>
    <row r="13" spans="2:50" ht="15" customHeight="1">
      <c r="B13" s="131"/>
      <c r="C13" s="272" t="s">
        <v>266</v>
      </c>
      <c r="D13" s="205"/>
      <c r="E13" s="205">
        <f t="shared" ref="E13:K13" si="10">+E11/D11-1</f>
        <v>5.9059550269896066E-2</v>
      </c>
      <c r="F13" s="205">
        <f t="shared" si="10"/>
        <v>-1.1856414729210618E-2</v>
      </c>
      <c r="G13" s="205">
        <f t="shared" si="10"/>
        <v>5.2932090252109987E-2</v>
      </c>
      <c r="H13" s="205">
        <f t="shared" si="10"/>
        <v>8.7103450082519185E-2</v>
      </c>
      <c r="I13" s="205">
        <f t="shared" si="10"/>
        <v>3.4748662586148837E-2</v>
      </c>
      <c r="J13" s="205">
        <f t="shared" si="10"/>
        <v>7.1727992547740982E-2</v>
      </c>
      <c r="K13" s="205">
        <f t="shared" si="10"/>
        <v>3.0617122990004297E-2</v>
      </c>
      <c r="L13" s="205">
        <f t="shared" ref="L13:Q13" si="11">+L11/K11-1</f>
        <v>3.1921398300617909E-2</v>
      </c>
      <c r="M13" s="205">
        <f t="shared" si="11"/>
        <v>4.8934474797212912E-2</v>
      </c>
      <c r="N13" s="205">
        <f t="shared" si="11"/>
        <v>0.12869609256301384</v>
      </c>
      <c r="O13" s="205">
        <f t="shared" si="11"/>
        <v>2.792303045991873E-2</v>
      </c>
      <c r="P13" s="205">
        <f t="shared" si="11"/>
        <v>3.0606248845760131E-2</v>
      </c>
      <c r="Q13" s="205">
        <f t="shared" si="11"/>
        <v>0.10965040888802013</v>
      </c>
      <c r="R13" s="205">
        <f t="shared" ref="R13:S13" si="12">+R11/Q11-1</f>
        <v>0.30496058252712244</v>
      </c>
      <c r="S13" s="205">
        <f t="shared" si="12"/>
        <v>4.2749465631679806E-2</v>
      </c>
      <c r="T13" s="205">
        <f t="shared" ref="T13" si="13">+T11/S11-1</f>
        <v>2.2418815406192616E-2</v>
      </c>
      <c r="U13" s="205">
        <f t="shared" ref="U13" si="14">+U11/T11-1</f>
        <v>4.1353621475603619E-2</v>
      </c>
      <c r="V13" s="205">
        <f t="shared" ref="V13" si="15">+V11/U11-1</f>
        <v>4.8415698116266448E-2</v>
      </c>
      <c r="W13" s="205">
        <f t="shared" ref="W13" si="16">+W11/V11-1</f>
        <v>1.9117575991881575E-2</v>
      </c>
      <c r="X13" s="205">
        <f t="shared" ref="X13" si="17">+X11/W11-1</f>
        <v>4.9410582020616989E-3</v>
      </c>
      <c r="Y13" s="205">
        <f t="shared" ref="Y13" si="18">+Y11/X11-1</f>
        <v>1.7968366615076725E-2</v>
      </c>
      <c r="Z13" s="251">
        <f t="shared" ref="Z13" si="19">+Z11/Y11-1</f>
        <v>5.4687210294063204E-2</v>
      </c>
      <c r="AA13" s="251">
        <f t="shared" ref="AA13" si="20">+AA11/Z11-1</f>
        <v>4.5215220582418336E-2</v>
      </c>
      <c r="AB13" s="190">
        <f>+AB11/Z11-1</f>
        <v>4.5215220582418336E-2</v>
      </c>
      <c r="AC13" s="239">
        <f>(AB13-AA13)*10000</f>
        <v>0</v>
      </c>
      <c r="AD13" s="144">
        <f>+AD11/Z11-1</f>
        <v>3.9229301994427201E-2</v>
      </c>
      <c r="AE13" s="143">
        <f>(AD13-AA13)*10000</f>
        <v>-59.859185879911351</v>
      </c>
      <c r="AF13" s="420"/>
      <c r="AG13" s="422"/>
      <c r="AJ13" s="137" t="s">
        <v>517</v>
      </c>
      <c r="AK13" s="145" t="s">
        <v>514</v>
      </c>
      <c r="AL13" s="146">
        <f ca="1">QTS!$BI$113</f>
        <v>221.7643848107594</v>
      </c>
      <c r="AM13" s="145">
        <v>232.47</v>
      </c>
      <c r="AR13" s="365"/>
      <c r="AS13" s="365"/>
      <c r="AW13" s="111"/>
    </row>
    <row r="14" spans="2:50" s="128" customFormat="1" ht="15" customHeight="1">
      <c r="B14" s="113"/>
      <c r="C14" s="273" t="s">
        <v>279</v>
      </c>
      <c r="D14" s="150">
        <f>QTS!D100</f>
        <v>17.168999999999997</v>
      </c>
      <c r="E14" s="150">
        <f>QTS!E100</f>
        <v>13.203000000000001</v>
      </c>
      <c r="F14" s="150">
        <f>QTS!F100</f>
        <v>14.343</v>
      </c>
      <c r="G14" s="150">
        <f>QTS!G100</f>
        <v>14.611000000000001</v>
      </c>
      <c r="H14" s="150">
        <f>QTS!H100</f>
        <v>15.520999999999999</v>
      </c>
      <c r="I14" s="150">
        <f>QTS!I100</f>
        <v>15.974</v>
      </c>
      <c r="J14" s="150">
        <f>QTS!J100</f>
        <v>16.739000000000001</v>
      </c>
      <c r="K14" s="150">
        <f>QTS!K100</f>
        <v>17.007999999999999</v>
      </c>
      <c r="L14" s="150">
        <f>QTS!L100</f>
        <v>17.440999999999999</v>
      </c>
      <c r="M14" s="150">
        <f>QTS!M100</f>
        <v>17.646999999999998</v>
      </c>
      <c r="N14" s="150">
        <f>QTS!N100</f>
        <v>21.745999999999995</v>
      </c>
      <c r="O14" s="150">
        <f>QTS!O100</f>
        <v>19.799999999999997</v>
      </c>
      <c r="P14" s="150">
        <f>QTS!P100</f>
        <v>20.820999999999998</v>
      </c>
      <c r="Q14" s="150">
        <f>QTS!Q100</f>
        <v>23.504999999999999</v>
      </c>
      <c r="R14" s="150">
        <f>QTS!R100</f>
        <v>32.387</v>
      </c>
      <c r="S14" s="150">
        <f>QTS!S100</f>
        <v>33.51100000000001</v>
      </c>
      <c r="T14" s="150">
        <f>QTS!T100</f>
        <v>33.521000000000001</v>
      </c>
      <c r="U14" s="150">
        <f>QTS!U100</f>
        <v>34.666000000000004</v>
      </c>
      <c r="V14" s="150">
        <f>QTS!V100</f>
        <v>38.853999999999999</v>
      </c>
      <c r="W14" s="150">
        <f>QTS!W100</f>
        <v>38.286999999999999</v>
      </c>
      <c r="X14" s="150">
        <f>QTS!X100</f>
        <v>38.567999999999998</v>
      </c>
      <c r="Y14" s="150">
        <f>QTS!Y100</f>
        <v>39.791999999999994</v>
      </c>
      <c r="Z14" s="151">
        <f>QTS!Z100</f>
        <v>42.859000000000002</v>
      </c>
      <c r="AA14" s="151">
        <f>QTS!AA100</f>
        <v>43.949000000000005</v>
      </c>
      <c r="AB14" s="152">
        <f>41.199+2.75</f>
        <v>43.948999999999998</v>
      </c>
      <c r="AC14" s="227">
        <f>AA14-AB14</f>
        <v>0</v>
      </c>
      <c r="AD14" s="153"/>
      <c r="AE14" s="154"/>
      <c r="AF14" s="297"/>
      <c r="AG14" s="303"/>
      <c r="AH14" s="111"/>
      <c r="AI14" s="111"/>
      <c r="AJ14" s="137" t="s">
        <v>186</v>
      </c>
      <c r="AK14" s="145" t="s">
        <v>515</v>
      </c>
      <c r="AL14" s="146">
        <f ca="1">+QTS!BI321-SUM(QTS!AB317:AE317)</f>
        <v>414.12465121854467</v>
      </c>
      <c r="AM14" s="145">
        <v>379.58</v>
      </c>
      <c r="AN14" s="111"/>
      <c r="AO14" s="111"/>
      <c r="AP14" s="111"/>
      <c r="AQ14" s="111"/>
      <c r="AR14" s="365"/>
      <c r="AS14" s="365"/>
      <c r="AT14" s="365"/>
      <c r="AU14" s="366"/>
      <c r="AV14" s="366"/>
    </row>
    <row r="15" spans="2:50" s="128" customFormat="1" ht="15" customHeight="1">
      <c r="B15" s="113"/>
      <c r="C15" s="274" t="s">
        <v>268</v>
      </c>
      <c r="D15" s="156">
        <f t="shared" ref="D15:I15" si="21">+D11-D14</f>
        <v>17.474000000000004</v>
      </c>
      <c r="E15" s="156">
        <f t="shared" si="21"/>
        <v>23.486000000000004</v>
      </c>
      <c r="F15" s="156">
        <f t="shared" si="21"/>
        <v>21.910999999999998</v>
      </c>
      <c r="G15" s="156">
        <f t="shared" si="21"/>
        <v>23.561999999999994</v>
      </c>
      <c r="H15" s="156">
        <f t="shared" si="21"/>
        <v>25.976999999999997</v>
      </c>
      <c r="I15" s="156">
        <f t="shared" si="21"/>
        <v>26.966000000000005</v>
      </c>
      <c r="J15" s="156">
        <f t="shared" ref="J15:O15" si="22">+J11-J14</f>
        <v>29.281000000000002</v>
      </c>
      <c r="K15" s="156">
        <f t="shared" si="22"/>
        <v>30.421000000000003</v>
      </c>
      <c r="L15" s="156">
        <f t="shared" si="22"/>
        <v>31.502000000000006</v>
      </c>
      <c r="M15" s="156">
        <f t="shared" si="22"/>
        <v>33.690999999999995</v>
      </c>
      <c r="N15" s="156">
        <f t="shared" si="22"/>
        <v>36.199000000000005</v>
      </c>
      <c r="O15" s="156">
        <f t="shared" si="22"/>
        <v>39.762999999999998</v>
      </c>
      <c r="P15" s="156">
        <f>+P11-P14</f>
        <v>40.565000000000005</v>
      </c>
      <c r="Q15" s="156">
        <f>+Q11-Q14</f>
        <v>44.612000000000009</v>
      </c>
      <c r="R15" s="156">
        <f>+R11-R14</f>
        <v>56.503</v>
      </c>
      <c r="S15" s="156">
        <f t="shared" ref="S15" si="23">+S11-S14</f>
        <v>59.179000000000002</v>
      </c>
      <c r="T15" s="156">
        <f t="shared" ref="T15" si="24">+T11-T14</f>
        <v>61.247</v>
      </c>
      <c r="U15" s="156">
        <f t="shared" ref="U15:AA15" si="25">+U11-U14</f>
        <v>64.021000000000015</v>
      </c>
      <c r="V15" s="156">
        <f t="shared" si="25"/>
        <v>64.61099999999999</v>
      </c>
      <c r="W15" s="156">
        <f t="shared" si="25"/>
        <v>67.156000000000006</v>
      </c>
      <c r="X15" s="156">
        <f t="shared" si="25"/>
        <v>67.396000000000015</v>
      </c>
      <c r="Y15" s="156">
        <f t="shared" si="25"/>
        <v>68.075999999999993</v>
      </c>
      <c r="Z15" s="157">
        <f t="shared" si="25"/>
        <v>70.907999999999987</v>
      </c>
      <c r="AA15" s="157">
        <f t="shared" si="25"/>
        <v>74.961999999999989</v>
      </c>
      <c r="AB15" s="157">
        <f>+AB11-AB14</f>
        <v>74.961999999999989</v>
      </c>
      <c r="AC15" s="227">
        <f>AB15-AA15</f>
        <v>0</v>
      </c>
      <c r="AD15" s="166"/>
      <c r="AE15" s="154"/>
      <c r="AF15" s="419" t="s">
        <v>328</v>
      </c>
      <c r="AG15" s="436"/>
      <c r="AH15" s="111"/>
      <c r="AI15" s="111"/>
      <c r="AJ15" s="162" t="s">
        <v>289</v>
      </c>
      <c r="AK15" s="163"/>
      <c r="AL15" s="146">
        <f ca="1">+QTS!BI169</f>
        <v>150.85391993629997</v>
      </c>
      <c r="AM15" s="163"/>
      <c r="AN15" s="111"/>
      <c r="AO15" s="111"/>
      <c r="AP15" s="111"/>
      <c r="AQ15" s="111"/>
      <c r="AR15" s="365"/>
      <c r="AS15" s="365"/>
      <c r="AT15" s="365"/>
      <c r="AU15" s="366"/>
      <c r="AV15" s="366"/>
    </row>
    <row r="16" spans="2:50" ht="15" customHeight="1">
      <c r="B16" s="131"/>
      <c r="C16" s="272" t="s">
        <v>270</v>
      </c>
      <c r="D16" s="159">
        <f t="shared" ref="D16:I16" si="26">1-D14/D11</f>
        <v>0.50440204370291264</v>
      </c>
      <c r="E16" s="159">
        <f t="shared" si="26"/>
        <v>0.64013737087410405</v>
      </c>
      <c r="F16" s="159">
        <f t="shared" si="26"/>
        <v>0.60437468968941355</v>
      </c>
      <c r="G16" s="159">
        <f t="shared" si="26"/>
        <v>0.61724255363738756</v>
      </c>
      <c r="H16" s="159">
        <f t="shared" si="26"/>
        <v>0.62598197503494146</v>
      </c>
      <c r="I16" s="159">
        <f t="shared" si="26"/>
        <v>0.62799254774103397</v>
      </c>
      <c r="J16" s="159">
        <f t="shared" ref="J16:O16" si="27">1-J14/J11</f>
        <v>0.63626684050412863</v>
      </c>
      <c r="K16" s="159">
        <f t="shared" si="27"/>
        <v>0.64140083071538512</v>
      </c>
      <c r="L16" s="159">
        <f t="shared" si="27"/>
        <v>0.64364669104877104</v>
      </c>
      <c r="M16" s="159">
        <f t="shared" si="27"/>
        <v>0.65625852195254974</v>
      </c>
      <c r="N16" s="159">
        <f t="shared" si="27"/>
        <v>0.62471308999913722</v>
      </c>
      <c r="O16" s="159">
        <f t="shared" si="27"/>
        <v>0.6675788660745765</v>
      </c>
      <c r="P16" s="159">
        <f>1-P14/P11</f>
        <v>0.66081842765451415</v>
      </c>
      <c r="Q16" s="159">
        <f>1-Q14/Q11</f>
        <v>0.65493195531218351</v>
      </c>
      <c r="R16" s="159">
        <f>1-R14/R11</f>
        <v>0.63565080436494537</v>
      </c>
      <c r="S16" s="159">
        <f t="shared" ref="S16" si="28">1-S14/S11</f>
        <v>0.63846153846153841</v>
      </c>
      <c r="T16" s="159">
        <f t="shared" ref="T16" si="29">1-T14/T11</f>
        <v>0.64628355563059259</v>
      </c>
      <c r="U16" s="159">
        <f t="shared" ref="U16:AA16" si="30">1-U14/U11</f>
        <v>0.64872779596096752</v>
      </c>
      <c r="V16" s="159">
        <f t="shared" si="30"/>
        <v>0.62447204368627074</v>
      </c>
      <c r="W16" s="159">
        <f t="shared" si="30"/>
        <v>0.63689386682852356</v>
      </c>
      <c r="X16" s="159">
        <f t="shared" si="30"/>
        <v>0.63602733003661627</v>
      </c>
      <c r="Y16" s="159">
        <f t="shared" si="30"/>
        <v>0.63110468350205817</v>
      </c>
      <c r="Z16" s="160">
        <f t="shared" si="30"/>
        <v>0.62327388434255981</v>
      </c>
      <c r="AA16" s="160">
        <f t="shared" si="30"/>
        <v>0.63040425191950278</v>
      </c>
      <c r="AB16" s="160">
        <f>1-AB14/AB11</f>
        <v>0.63040425191950278</v>
      </c>
      <c r="AC16" s="239">
        <f>(AB16-AA16)*10000</f>
        <v>0</v>
      </c>
      <c r="AD16" s="165"/>
      <c r="AE16" s="143"/>
      <c r="AF16" s="420"/>
      <c r="AG16" s="422"/>
      <c r="AJ16" s="162" t="s">
        <v>346</v>
      </c>
      <c r="AK16" s="163" t="s">
        <v>468</v>
      </c>
      <c r="AL16" s="164">
        <f ca="1">+QTS!BI170</f>
        <v>2.6019888728129104</v>
      </c>
      <c r="AM16" s="163">
        <v>2.92</v>
      </c>
      <c r="AR16" s="365"/>
      <c r="AS16" s="365"/>
      <c r="AW16" s="111"/>
    </row>
    <row r="17" spans="2:50" s="128" customFormat="1" ht="15" customHeight="1">
      <c r="B17" s="113"/>
      <c r="C17" s="274" t="s">
        <v>280</v>
      </c>
      <c r="D17" s="150">
        <f>QTS!D105</f>
        <v>8.3580000000000005</v>
      </c>
      <c r="E17" s="150">
        <f>QTS!E105</f>
        <v>8.8290000000000006</v>
      </c>
      <c r="F17" s="150">
        <f>QTS!F105</f>
        <v>8.6720000000000006</v>
      </c>
      <c r="G17" s="150">
        <f>QTS!G105</f>
        <v>10.126999999999995</v>
      </c>
      <c r="H17" s="150">
        <f>QTS!H105</f>
        <v>9.5939999999999994</v>
      </c>
      <c r="I17" s="150">
        <f>QTS!I105</f>
        <v>9.6959999999999997</v>
      </c>
      <c r="J17" s="150">
        <f>QTS!J105</f>
        <v>10.097</v>
      </c>
      <c r="K17" s="150">
        <f>QTS!K105</f>
        <v>9.8480000000000008</v>
      </c>
      <c r="L17" s="150">
        <f>QTS!L105</f>
        <v>10.778</v>
      </c>
      <c r="M17" s="150">
        <f>QTS!M105</f>
        <v>11.473000000000001</v>
      </c>
      <c r="N17" s="150">
        <f>QTS!N105</f>
        <v>11.045</v>
      </c>
      <c r="O17" s="150">
        <f>QTS!O105</f>
        <v>11.987</v>
      </c>
      <c r="P17" s="150">
        <f>QTS!P105</f>
        <v>13.837999999999999</v>
      </c>
      <c r="Q17" s="150">
        <f>QTS!Q105</f>
        <v>14.615</v>
      </c>
      <c r="R17" s="150">
        <f>QTS!R105</f>
        <v>19.440000000000001</v>
      </c>
      <c r="S17" s="150">
        <f>QTS!S105</f>
        <v>19.89</v>
      </c>
      <c r="T17" s="150">
        <f>QTS!T105</f>
        <v>20.286000000000001</v>
      </c>
      <c r="U17" s="150">
        <f>QTS!U105</f>
        <v>21.608000000000001</v>
      </c>
      <c r="V17" s="150">
        <f>QTS!V105</f>
        <v>19.942</v>
      </c>
      <c r="W17" s="150">
        <f>QTS!W105</f>
        <v>21.45</v>
      </c>
      <c r="X17" s="150">
        <f>QTS!X105</f>
        <v>22.196999999999999</v>
      </c>
      <c r="Y17" s="150">
        <f>QTS!Y105</f>
        <v>22.562000000000001</v>
      </c>
      <c r="Z17" s="151">
        <f>QTS!Z105</f>
        <v>21.652000000000001</v>
      </c>
      <c r="AA17" s="151">
        <f>QTS!AA105</f>
        <v>20.82</v>
      </c>
      <c r="AB17" s="152">
        <v>20.82</v>
      </c>
      <c r="AC17" s="227">
        <f>AA17-AB17</f>
        <v>0</v>
      </c>
      <c r="AD17" s="158"/>
      <c r="AE17" s="154"/>
      <c r="AF17" s="297" t="s">
        <v>348</v>
      </c>
      <c r="AG17" s="303"/>
      <c r="AH17" s="111"/>
      <c r="AI17" s="111"/>
      <c r="AJ17" s="162" t="s">
        <v>105</v>
      </c>
      <c r="AK17" s="163"/>
      <c r="AL17" s="163"/>
      <c r="AM17" s="163"/>
      <c r="AN17" s="111"/>
      <c r="AO17" s="111"/>
      <c r="AP17" s="111"/>
      <c r="AQ17" s="111"/>
      <c r="AR17" s="365"/>
      <c r="AS17" s="365"/>
      <c r="AT17" s="365"/>
      <c r="AU17" s="366"/>
      <c r="AV17" s="366"/>
    </row>
    <row r="18" spans="2:50" s="128" customFormat="1" ht="15" customHeight="1">
      <c r="B18" s="113"/>
      <c r="C18" s="274" t="s">
        <v>7</v>
      </c>
      <c r="D18" s="150">
        <f>QTS!D119</f>
        <v>1.4339999999999999</v>
      </c>
      <c r="E18" s="150">
        <f>QTS!E119</f>
        <v>0</v>
      </c>
      <c r="F18" s="150">
        <f>QTS!F119</f>
        <v>-0.54399999999999993</v>
      </c>
      <c r="G18" s="150">
        <f>QTS!G119</f>
        <v>-0.68699999999999994</v>
      </c>
      <c r="H18" s="150">
        <f>QTS!H119</f>
        <v>1.0980000000000003</v>
      </c>
      <c r="I18" s="150">
        <f>QTS!I119</f>
        <v>2.1789999999999998</v>
      </c>
      <c r="J18" s="150">
        <f>QTS!J119</f>
        <v>0</v>
      </c>
      <c r="K18" s="150">
        <f>QTS!K119</f>
        <v>0.219</v>
      </c>
      <c r="L18" s="150">
        <f>QTS!L119</f>
        <v>6.4000000000000001E-2</v>
      </c>
      <c r="M18" s="150">
        <f>QTS!M119</f>
        <v>2.2449999999999997</v>
      </c>
      <c r="N18" s="150">
        <f>QTS!N119</f>
        <v>0.50099999999999989</v>
      </c>
      <c r="O18" s="150">
        <f>QTS!O119</f>
        <v>0.377</v>
      </c>
      <c r="P18" s="150">
        <f>QTS!P119</f>
        <v>0.105</v>
      </c>
      <c r="Q18" s="150">
        <f>QTS!Q119</f>
        <v>4.7519999999999998</v>
      </c>
      <c r="R18" s="150">
        <f>QTS!R119</f>
        <v>1.482</v>
      </c>
      <c r="S18" s="150">
        <f>QTS!S119</f>
        <v>5.4109999999999996</v>
      </c>
      <c r="T18" s="150">
        <f>QTS!T119</f>
        <v>2.0870000000000002</v>
      </c>
      <c r="U18" s="150">
        <f>QTS!U119</f>
        <v>3.8330000000000002</v>
      </c>
      <c r="V18" s="150">
        <f>QTS!V119</f>
        <v>3.464</v>
      </c>
      <c r="W18" s="150">
        <f>QTS!W119</f>
        <v>1.714</v>
      </c>
      <c r="X18" s="150">
        <f>QTS!X119</f>
        <v>0.33600000000000002</v>
      </c>
      <c r="Y18" s="150">
        <f>QTS!Y119</f>
        <v>0.161</v>
      </c>
      <c r="Z18" s="151">
        <f>QTS!Z119</f>
        <v>1.1140000000000001</v>
      </c>
      <c r="AA18" s="151">
        <f>QTS!AA119</f>
        <v>29.441000000000003</v>
      </c>
      <c r="AB18" s="152">
        <f>-(24.701-(AB11-AB14-AB17))</f>
        <v>29.440999999999988</v>
      </c>
      <c r="AC18" s="227"/>
      <c r="AD18" s="158"/>
      <c r="AE18" s="154"/>
      <c r="AF18" s="297"/>
      <c r="AG18" s="303"/>
      <c r="AH18" s="111"/>
      <c r="AI18" s="111"/>
      <c r="AJ18" s="111"/>
      <c r="AK18" s="111"/>
      <c r="AL18" s="111"/>
      <c r="AM18" s="111"/>
      <c r="AN18" s="111"/>
      <c r="AO18" s="111"/>
      <c r="AP18" s="111"/>
      <c r="AQ18" s="111"/>
      <c r="AR18" s="111"/>
      <c r="AS18" s="111"/>
      <c r="AT18" s="365"/>
      <c r="AU18" s="365"/>
      <c r="AV18" s="365"/>
      <c r="AW18" s="365"/>
      <c r="AX18" s="111"/>
    </row>
    <row r="19" spans="2:50" s="128" customFormat="1" ht="15" customHeight="1">
      <c r="B19" s="113"/>
      <c r="C19" s="274" t="s">
        <v>17</v>
      </c>
      <c r="D19" s="156">
        <f t="shared" ref="D19:I19" si="31">+D11-D14-D17-D18</f>
        <v>7.682000000000003</v>
      </c>
      <c r="E19" s="156">
        <f t="shared" si="31"/>
        <v>14.657000000000004</v>
      </c>
      <c r="F19" s="156">
        <f t="shared" si="31"/>
        <v>13.782999999999998</v>
      </c>
      <c r="G19" s="156">
        <f t="shared" si="31"/>
        <v>14.121999999999998</v>
      </c>
      <c r="H19" s="156">
        <f t="shared" si="31"/>
        <v>15.284999999999995</v>
      </c>
      <c r="I19" s="156">
        <f t="shared" si="31"/>
        <v>15.091000000000003</v>
      </c>
      <c r="J19" s="156">
        <f t="shared" ref="J19:O19" si="32">+J11-J14-J17-J18</f>
        <v>19.184000000000005</v>
      </c>
      <c r="K19" s="156">
        <f t="shared" si="32"/>
        <v>20.353999999999999</v>
      </c>
      <c r="L19" s="156">
        <f t="shared" si="32"/>
        <v>20.660000000000004</v>
      </c>
      <c r="M19" s="156">
        <f t="shared" si="32"/>
        <v>19.972999999999995</v>
      </c>
      <c r="N19" s="156">
        <f t="shared" si="32"/>
        <v>24.653000000000002</v>
      </c>
      <c r="O19" s="156">
        <f t="shared" si="32"/>
        <v>27.398999999999997</v>
      </c>
      <c r="P19" s="156">
        <f>+P11-P14-P17-P18</f>
        <v>26.622000000000003</v>
      </c>
      <c r="Q19" s="156">
        <f>+Q11-Q14-Q17-Q18</f>
        <v>25.245000000000008</v>
      </c>
      <c r="R19" s="156">
        <f>+R11-R14-R17-R18</f>
        <v>35.581000000000003</v>
      </c>
      <c r="S19" s="156">
        <f t="shared" ref="S19" si="33">+S11-S14-S17-S18</f>
        <v>33.878</v>
      </c>
      <c r="T19" s="156">
        <f t="shared" ref="T19" si="34">+T11-T14-T17-T18</f>
        <v>38.873999999999995</v>
      </c>
      <c r="U19" s="156">
        <f t="shared" ref="U19:AA19" si="35">+U11-U14-U17-U18</f>
        <v>38.580000000000013</v>
      </c>
      <c r="V19" s="156">
        <f t="shared" si="35"/>
        <v>41.204999999999991</v>
      </c>
      <c r="W19" s="156">
        <f t="shared" si="35"/>
        <v>43.992000000000004</v>
      </c>
      <c r="X19" s="156">
        <f t="shared" si="35"/>
        <v>44.863000000000014</v>
      </c>
      <c r="Y19" s="156">
        <f t="shared" si="35"/>
        <v>45.352999999999994</v>
      </c>
      <c r="Z19" s="157">
        <f t="shared" si="35"/>
        <v>48.141999999999989</v>
      </c>
      <c r="AA19" s="157">
        <f t="shared" si="35"/>
        <v>24.700999999999986</v>
      </c>
      <c r="AB19" s="157">
        <f>+AB11-AB14-AB17-AB18</f>
        <v>24.701000000000001</v>
      </c>
      <c r="AC19" s="227">
        <f>AB19-AA19</f>
        <v>0</v>
      </c>
      <c r="AD19" s="166"/>
      <c r="AE19" s="154"/>
      <c r="AF19" s="155"/>
      <c r="AG19" s="303"/>
      <c r="AH19" s="111"/>
      <c r="AI19" s="138" t="s">
        <v>302</v>
      </c>
      <c r="AJ19" s="129" t="s">
        <v>480</v>
      </c>
      <c r="AK19" s="129"/>
      <c r="AL19" s="129"/>
      <c r="AM19" s="129"/>
      <c r="AN19" s="129"/>
      <c r="AO19" s="129"/>
      <c r="AP19"/>
      <c r="AQ19"/>
      <c r="AR19" s="111"/>
      <c r="AS19" s="111"/>
      <c r="AT19" s="111"/>
      <c r="AU19" s="365"/>
      <c r="AV19" s="366"/>
      <c r="AW19" s="366"/>
    </row>
    <row r="20" spans="2:50" s="128" customFormat="1" ht="15" customHeight="1">
      <c r="B20" s="113"/>
      <c r="C20" s="274" t="s">
        <v>272</v>
      </c>
      <c r="D20" s="150">
        <f>QTS!D110</f>
        <v>9.5000000000000001E-2</v>
      </c>
      <c r="E20" s="150">
        <f>QTS!E110</f>
        <v>9.4E-2</v>
      </c>
      <c r="F20" s="150">
        <f>QTS!F110</f>
        <v>0.152</v>
      </c>
      <c r="G20" s="150">
        <f>QTS!G110</f>
        <v>7.0999999999999952E-2</v>
      </c>
      <c r="H20" s="150">
        <f>QTS!H110</f>
        <v>0.375</v>
      </c>
      <c r="I20" s="150">
        <f>QTS!I110</f>
        <v>0.42</v>
      </c>
      <c r="J20" s="150">
        <f>QTS!J110</f>
        <v>0.51</v>
      </c>
      <c r="K20" s="150">
        <f>QTS!K110</f>
        <v>0.65500000000000003</v>
      </c>
      <c r="L20" s="150">
        <f>QTS!L110</f>
        <v>0.91100000000000003</v>
      </c>
      <c r="M20" s="150">
        <f>QTS!M110</f>
        <v>1.0649999999999999</v>
      </c>
      <c r="N20" s="150">
        <f>QTS!N110</f>
        <v>0.92500000000000004</v>
      </c>
      <c r="O20" s="150">
        <f>QTS!O110</f>
        <v>1.252</v>
      </c>
      <c r="P20" s="150">
        <f>QTS!P110</f>
        <v>1.3069999999999999</v>
      </c>
      <c r="Q20" s="150">
        <f>QTS!Q110</f>
        <v>1.831</v>
      </c>
      <c r="R20" s="150">
        <f>QTS!R110</f>
        <v>2.0680000000000001</v>
      </c>
      <c r="S20" s="150">
        <f>QTS!S110</f>
        <v>1.758</v>
      </c>
      <c r="T20" s="150">
        <f>QTS!T110</f>
        <v>2.0499999999999998</v>
      </c>
      <c r="U20" s="150">
        <f>QTS!U110</f>
        <v>3.2</v>
      </c>
      <c r="V20" s="150">
        <f>QTS!V110</f>
        <v>2.637</v>
      </c>
      <c r="W20" s="150">
        <f>QTS!W110</f>
        <v>2.698</v>
      </c>
      <c r="X20" s="150">
        <f>QTS!X110</f>
        <v>3.0819999999999999</v>
      </c>
      <c r="Y20" s="150">
        <f>QTS!Y110</f>
        <v>3.7320000000000002</v>
      </c>
      <c r="Z20" s="151">
        <f>QTS!Z110</f>
        <v>3.6930000000000001</v>
      </c>
      <c r="AA20" s="151">
        <f>QTS!AA110</f>
        <v>3.3559999999999999</v>
      </c>
      <c r="AB20" s="152">
        <v>3.3559999999999999</v>
      </c>
      <c r="AC20" s="227">
        <f>AA20-AB20</f>
        <v>0</v>
      </c>
      <c r="AD20" s="158"/>
      <c r="AE20" s="154"/>
      <c r="AF20" s="155"/>
      <c r="AG20" s="303"/>
      <c r="AH20" s="111"/>
      <c r="AI20" s="111"/>
      <c r="AJ20" s="137" t="s">
        <v>301</v>
      </c>
      <c r="AK20" s="138" t="s">
        <v>502</v>
      </c>
      <c r="AL20" s="138" t="s">
        <v>504</v>
      </c>
      <c r="AM20" s="138" t="s">
        <v>501</v>
      </c>
      <c r="AN20" s="139" t="s">
        <v>252</v>
      </c>
      <c r="AO20" s="139" t="s">
        <v>261</v>
      </c>
      <c r="AP20" s="111"/>
      <c r="AQ20" s="111"/>
      <c r="AR20" s="111"/>
      <c r="AS20" s="111"/>
      <c r="AT20" s="111"/>
      <c r="AU20" s="365"/>
      <c r="AV20" s="366"/>
      <c r="AW20" s="366"/>
    </row>
    <row r="21" spans="2:50" s="128" customFormat="1" ht="15" customHeight="1">
      <c r="B21" s="113"/>
      <c r="C21" s="274" t="s">
        <v>281</v>
      </c>
      <c r="D21" s="150">
        <f>QTS!D111</f>
        <v>1.4339999999999999</v>
      </c>
      <c r="E21" s="150">
        <f>QTS!E111</f>
        <v>0</v>
      </c>
      <c r="F21" s="150">
        <f>QTS!F111</f>
        <v>-0.54399999999999993</v>
      </c>
      <c r="G21" s="150">
        <f>QTS!G111</f>
        <v>-0.68699999999999994</v>
      </c>
      <c r="H21" s="150">
        <f>QTS!H111</f>
        <v>1.0980000000000003</v>
      </c>
      <c r="I21" s="150">
        <f>QTS!I111</f>
        <v>2.1789999999999998</v>
      </c>
      <c r="J21" s="150">
        <f>QTS!J111</f>
        <v>0</v>
      </c>
      <c r="K21" s="150">
        <f>QTS!K111</f>
        <v>0</v>
      </c>
      <c r="L21" s="150">
        <f>QTS!L111</f>
        <v>0</v>
      </c>
      <c r="M21" s="150">
        <f>QTS!M111</f>
        <v>0</v>
      </c>
      <c r="N21" s="150">
        <f>QTS!N111</f>
        <v>0</v>
      </c>
      <c r="O21" s="150">
        <f>QTS!O111</f>
        <v>0</v>
      </c>
      <c r="P21" s="150">
        <f>QTS!P111</f>
        <v>0</v>
      </c>
      <c r="Q21" s="150">
        <f>QTS!Q111</f>
        <v>0</v>
      </c>
      <c r="R21" s="150">
        <f>QTS!R111</f>
        <v>0</v>
      </c>
      <c r="S21" s="150">
        <f>QTS!S111</f>
        <v>0</v>
      </c>
      <c r="T21" s="150">
        <f>QTS!T111</f>
        <v>0</v>
      </c>
      <c r="U21" s="150">
        <f>QTS!U111</f>
        <v>0</v>
      </c>
      <c r="V21" s="150">
        <f>QTS!V111</f>
        <v>0</v>
      </c>
      <c r="W21" s="150">
        <f>QTS!W111</f>
        <v>0</v>
      </c>
      <c r="X21" s="150">
        <f>QTS!X111</f>
        <v>0</v>
      </c>
      <c r="Y21" s="150">
        <f>QTS!Y111</f>
        <v>0</v>
      </c>
      <c r="Z21" s="151">
        <f>QTS!Z111</f>
        <v>0</v>
      </c>
      <c r="AA21" s="151">
        <f>QTS!AA111</f>
        <v>0</v>
      </c>
      <c r="AB21" s="152">
        <f>9.449+19.992</f>
        <v>29.441000000000003</v>
      </c>
      <c r="AC21" s="227">
        <f>+AB21-AA21</f>
        <v>29.441000000000003</v>
      </c>
      <c r="AD21" s="158"/>
      <c r="AE21" s="154"/>
      <c r="AF21" s="155"/>
      <c r="AG21" s="303"/>
      <c r="AH21" s="111"/>
      <c r="AI21" s="111"/>
      <c r="AJ21" s="137" t="s">
        <v>350</v>
      </c>
      <c r="AK21" s="354" t="s">
        <v>494</v>
      </c>
      <c r="AL21" s="354" t="s">
        <v>494</v>
      </c>
      <c r="AM21" s="354" t="s">
        <v>485</v>
      </c>
      <c r="AN21" s="371">
        <f>+QTS!BH19</f>
        <v>0.10971933304006587</v>
      </c>
      <c r="AO21" s="191">
        <f>445.83/QTS!BG18-1</f>
        <v>0.10802931681093919</v>
      </c>
      <c r="AP21" s="361"/>
      <c r="AQ21" s="111"/>
      <c r="AR21" s="111"/>
      <c r="AS21" s="111"/>
      <c r="AT21" s="111"/>
      <c r="AU21" s="365"/>
      <c r="AV21" s="366"/>
      <c r="AW21" s="366"/>
    </row>
    <row r="22" spans="2:50" ht="15" customHeight="1">
      <c r="B22" s="131"/>
      <c r="C22" s="274" t="s">
        <v>287</v>
      </c>
      <c r="D22" s="156">
        <f t="shared" ref="D22:I22" si="36">+D19+D20+D21+D18</f>
        <v>10.645000000000001</v>
      </c>
      <c r="E22" s="156">
        <f t="shared" si="36"/>
        <v>14.751000000000003</v>
      </c>
      <c r="F22" s="156">
        <f t="shared" si="36"/>
        <v>12.846999999999996</v>
      </c>
      <c r="G22" s="156">
        <f t="shared" si="36"/>
        <v>12.818999999999999</v>
      </c>
      <c r="H22" s="156">
        <f t="shared" si="36"/>
        <v>17.855999999999995</v>
      </c>
      <c r="I22" s="156">
        <f t="shared" si="36"/>
        <v>19.869</v>
      </c>
      <c r="J22" s="156">
        <f t="shared" ref="J22:O22" si="37">+J19+J20+J21+J18</f>
        <v>19.694000000000006</v>
      </c>
      <c r="K22" s="156">
        <f t="shared" si="37"/>
        <v>21.228000000000002</v>
      </c>
      <c r="L22" s="156">
        <f t="shared" si="37"/>
        <v>21.635000000000005</v>
      </c>
      <c r="M22" s="156">
        <f t="shared" si="37"/>
        <v>23.282999999999998</v>
      </c>
      <c r="N22" s="156">
        <f t="shared" si="37"/>
        <v>26.079000000000004</v>
      </c>
      <c r="O22" s="156">
        <f t="shared" si="37"/>
        <v>29.027999999999995</v>
      </c>
      <c r="P22" s="156">
        <f>+P19+P20+P21+P18</f>
        <v>28.034000000000002</v>
      </c>
      <c r="Q22" s="156">
        <f>+Q19+Q20+Q21+Q18</f>
        <v>31.828000000000007</v>
      </c>
      <c r="R22" s="156">
        <f>+R19+R20+R21+R18</f>
        <v>39.131</v>
      </c>
      <c r="S22" s="156">
        <f t="shared" ref="S22" si="38">+S19+S20+S21+S18</f>
        <v>41.047000000000004</v>
      </c>
      <c r="T22" s="156">
        <f t="shared" ref="T22" si="39">+T19+T20+T21+T18</f>
        <v>43.010999999999996</v>
      </c>
      <c r="U22" s="156">
        <f t="shared" ref="U22:AA22" si="40">+U19+U20+U21+U18</f>
        <v>45.613000000000014</v>
      </c>
      <c r="V22" s="156">
        <f t="shared" si="40"/>
        <v>47.30599999999999</v>
      </c>
      <c r="W22" s="156">
        <f t="shared" si="40"/>
        <v>48.404000000000003</v>
      </c>
      <c r="X22" s="156">
        <f t="shared" si="40"/>
        <v>48.281000000000013</v>
      </c>
      <c r="Y22" s="156">
        <f t="shared" si="40"/>
        <v>49.245999999999995</v>
      </c>
      <c r="Z22" s="157">
        <f t="shared" si="40"/>
        <v>52.948999999999984</v>
      </c>
      <c r="AA22" s="157">
        <f t="shared" si="40"/>
        <v>57.49799999999999</v>
      </c>
      <c r="AB22" s="157">
        <f>+AB19+AB20+AB21</f>
        <v>57.498000000000005</v>
      </c>
      <c r="AC22" s="227">
        <f>AB22-AA22</f>
        <v>0</v>
      </c>
      <c r="AD22" s="161">
        <v>55.75</v>
      </c>
      <c r="AE22" s="154">
        <f>AD22-AA22</f>
        <v>-1.7479999999999905</v>
      </c>
      <c r="AF22" s="419" t="s">
        <v>348</v>
      </c>
      <c r="AG22" s="421"/>
      <c r="AI22" s="257">
        <v>207</v>
      </c>
      <c r="AJ22" s="137" t="s">
        <v>19</v>
      </c>
      <c r="AK22" s="145" t="s">
        <v>481</v>
      </c>
      <c r="AL22" s="145" t="s">
        <v>481</v>
      </c>
      <c r="AM22" s="145" t="s">
        <v>481</v>
      </c>
      <c r="AN22" s="146">
        <f>+QTS!BH113</f>
        <v>207.97400000000005</v>
      </c>
      <c r="AO22" s="145">
        <v>204.37</v>
      </c>
      <c r="AP22" s="362"/>
      <c r="AT22" s="111"/>
    </row>
    <row r="23" spans="2:50" s="128" customFormat="1" ht="15" customHeight="1">
      <c r="B23" s="113"/>
      <c r="C23" s="272" t="s">
        <v>112</v>
      </c>
      <c r="D23" s="159">
        <f t="shared" ref="D23:I23" si="41">+D22/D11</f>
        <v>0.3072770833934706</v>
      </c>
      <c r="E23" s="159">
        <f t="shared" si="41"/>
        <v>0.40205511188639648</v>
      </c>
      <c r="F23" s="159">
        <f t="shared" si="41"/>
        <v>0.35436089810779492</v>
      </c>
      <c r="G23" s="159">
        <f t="shared" si="41"/>
        <v>0.33581327116024418</v>
      </c>
      <c r="H23" s="159">
        <f t="shared" si="41"/>
        <v>0.43028579690587487</v>
      </c>
      <c r="I23" s="159">
        <f t="shared" si="41"/>
        <v>0.46271541686073586</v>
      </c>
      <c r="J23" s="159">
        <f t="shared" ref="J23:O23" si="42">+J22/J11</f>
        <v>0.42794437201216873</v>
      </c>
      <c r="K23" s="159">
        <f t="shared" si="42"/>
        <v>0.44757426890720869</v>
      </c>
      <c r="L23" s="159">
        <f t="shared" si="42"/>
        <v>0.44204482765666187</v>
      </c>
      <c r="M23" s="159">
        <f t="shared" si="42"/>
        <v>0.45352370563714989</v>
      </c>
      <c r="N23" s="159">
        <f t="shared" si="42"/>
        <v>0.45006471654154812</v>
      </c>
      <c r="O23" s="159">
        <f t="shared" si="42"/>
        <v>0.48734952907006024</v>
      </c>
      <c r="P23" s="159">
        <f>+P22/P11</f>
        <v>0.45668393444759392</v>
      </c>
      <c r="Q23" s="159">
        <f>+Q22/Q11</f>
        <v>0.46725487029669543</v>
      </c>
      <c r="R23" s="159">
        <f>+R22/R11</f>
        <v>0.44021824727190911</v>
      </c>
      <c r="S23" s="159">
        <f t="shared" ref="S23" si="43">+S22/S11</f>
        <v>0.44284173049951447</v>
      </c>
      <c r="T23" s="159">
        <f t="shared" ref="T23" si="44">+T22/T11</f>
        <v>0.45385573189262196</v>
      </c>
      <c r="U23" s="159">
        <f t="shared" ref="U23:AA23" si="45">+U22/U11</f>
        <v>0.46219866851763663</v>
      </c>
      <c r="V23" s="159">
        <f t="shared" si="45"/>
        <v>0.45721741651766296</v>
      </c>
      <c r="W23" s="159">
        <f t="shared" si="45"/>
        <v>0.45905370674203122</v>
      </c>
      <c r="X23" s="159">
        <f t="shared" si="45"/>
        <v>0.45563587633535924</v>
      </c>
      <c r="Y23" s="159">
        <f t="shared" si="45"/>
        <v>0.45653947417213631</v>
      </c>
      <c r="Z23" s="160">
        <f t="shared" si="45"/>
        <v>0.46541615758523991</v>
      </c>
      <c r="AA23" s="160">
        <f t="shared" si="45"/>
        <v>0.48353810833312305</v>
      </c>
      <c r="AB23" s="160">
        <f>+AB22/AB11</f>
        <v>0.48353810833312316</v>
      </c>
      <c r="AC23" s="239">
        <f>(AB23-AA23)*10000</f>
        <v>1.1102230246251565E-12</v>
      </c>
      <c r="AD23" s="165">
        <f>+AD22/AD11</f>
        <v>0.47153852660069356</v>
      </c>
      <c r="AE23" s="143">
        <f>(AD23-AA23)*10000</f>
        <v>-119.99581732429488</v>
      </c>
      <c r="AF23" s="420"/>
      <c r="AG23" s="422"/>
      <c r="AH23" s="111"/>
      <c r="AI23" s="257">
        <v>350</v>
      </c>
      <c r="AJ23" s="137" t="s">
        <v>186</v>
      </c>
      <c r="AK23" s="145" t="s">
        <v>482</v>
      </c>
      <c r="AL23" s="145" t="s">
        <v>482</v>
      </c>
      <c r="AM23" s="145" t="s">
        <v>482</v>
      </c>
      <c r="AN23" s="146">
        <f>+QTS!BH321-SUM(QTS!X317:AA317)</f>
        <v>307.31400000000008</v>
      </c>
      <c r="AO23" s="145">
        <v>363.87</v>
      </c>
      <c r="AP23" s="362"/>
      <c r="AQ23" s="111"/>
      <c r="AR23" s="111"/>
      <c r="AS23" s="111"/>
      <c r="AT23" s="111"/>
      <c r="AU23" s="365"/>
      <c r="AV23" s="366"/>
      <c r="AW23" s="366"/>
    </row>
    <row r="24" spans="2:50" s="128" customFormat="1" ht="15" customHeight="1">
      <c r="B24" s="113"/>
      <c r="C24" s="274" t="s">
        <v>286</v>
      </c>
      <c r="D24" s="150">
        <f>QTS!D126</f>
        <v>-6.1359999999999948</v>
      </c>
      <c r="E24" s="150">
        <f>QTS!E126</f>
        <v>-0.26599999999999824</v>
      </c>
      <c r="F24" s="150">
        <f>QTS!F126</f>
        <v>-1.7570000000000014</v>
      </c>
      <c r="G24" s="150">
        <f>QTS!G126</f>
        <v>-1.6080000000000076</v>
      </c>
      <c r="H24" s="150">
        <f>QTS!H126</f>
        <v>-2.0740000000000069</v>
      </c>
      <c r="I24" s="150">
        <f>QTS!I126</f>
        <v>-1.231999999999994</v>
      </c>
      <c r="J24" s="150">
        <f>QTS!J126</f>
        <v>2.7090000000000067</v>
      </c>
      <c r="K24" s="150">
        <f>QTS!K126</f>
        <v>4.4469999999999992</v>
      </c>
      <c r="L24" s="150">
        <f>QTS!L126</f>
        <v>5.3280000000000038</v>
      </c>
      <c r="M24" s="150">
        <f>QTS!M126</f>
        <v>3.9209999999999967</v>
      </c>
      <c r="N24" s="150">
        <f>QTS!N126</f>
        <v>4.0060000000000011</v>
      </c>
      <c r="O24" s="150">
        <f>QTS!O126</f>
        <v>5.8479999999999981</v>
      </c>
      <c r="P24" s="150">
        <f>QTS!P126</f>
        <v>5.0370000000000061</v>
      </c>
      <c r="Q24" s="150">
        <f>QTS!Q126</f>
        <v>5.5200000000000085</v>
      </c>
      <c r="R24" s="150">
        <f>QTS!R126</f>
        <v>8.2380000000000049</v>
      </c>
      <c r="S24" s="150">
        <f>QTS!S126</f>
        <v>5.3340000000000005</v>
      </c>
      <c r="T24" s="150">
        <f>QTS!T126</f>
        <v>6.8589999999999982</v>
      </c>
      <c r="U24" s="150">
        <f>QTS!U126</f>
        <v>5.8070000000000164</v>
      </c>
      <c r="V24" s="150">
        <f>QTS!V126</f>
        <v>6.5379999999999887</v>
      </c>
      <c r="W24" s="150">
        <f>QTS!W126</f>
        <v>5.4810000000000008</v>
      </c>
      <c r="X24" s="150">
        <f>QTS!X126</f>
        <v>5.5680000000000112</v>
      </c>
      <c r="Y24" s="150">
        <f>QTS!Y126</f>
        <v>4.6079999999999952</v>
      </c>
      <c r="Z24" s="151">
        <f>QTS!Z126</f>
        <v>7.3939999999999912</v>
      </c>
      <c r="AA24" s="151">
        <f>QTS!AA126</f>
        <v>-16.113000000000017</v>
      </c>
      <c r="AB24" s="152">
        <v>-16.113</v>
      </c>
      <c r="AC24" s="227">
        <f>AB24-AA24</f>
        <v>0</v>
      </c>
      <c r="AD24" s="166">
        <v>8.64</v>
      </c>
      <c r="AE24" s="153">
        <f>AD24-AA24</f>
        <v>24.753000000000018</v>
      </c>
      <c r="AF24" s="297" t="s">
        <v>328</v>
      </c>
      <c r="AG24" s="303"/>
      <c r="AH24" s="111"/>
      <c r="AI24" s="257">
        <v>156</v>
      </c>
      <c r="AJ24" s="162" t="s">
        <v>289</v>
      </c>
      <c r="AK24" s="163" t="s">
        <v>495</v>
      </c>
      <c r="AL24" s="163" t="s">
        <v>495</v>
      </c>
      <c r="AM24" s="163" t="s">
        <v>483</v>
      </c>
      <c r="AN24" s="146">
        <f>+QTS!BH169</f>
        <v>156.06399999999996</v>
      </c>
      <c r="AO24" s="163"/>
      <c r="AP24" s="363"/>
      <c r="AQ24" s="111"/>
      <c r="AR24" s="111"/>
      <c r="AS24" s="111"/>
      <c r="AT24" s="111"/>
      <c r="AU24" s="365"/>
      <c r="AV24" s="366"/>
      <c r="AW24" s="366"/>
    </row>
    <row r="25" spans="2:50" s="128" customFormat="1" ht="15" customHeight="1" outlineLevel="1" collapsed="1">
      <c r="B25" s="113"/>
      <c r="C25" s="274" t="s">
        <v>273</v>
      </c>
      <c r="D25" s="150">
        <f>QTS!D161</f>
        <v>0.74200000000000621</v>
      </c>
      <c r="E25" s="150">
        <f>QTS!E161</f>
        <v>8.011000000000001</v>
      </c>
      <c r="F25" s="150">
        <f>QTS!F161</f>
        <v>4.9469999999999992</v>
      </c>
      <c r="G25" s="150">
        <f>QTS!G161</f>
        <v>6.5529999999999902</v>
      </c>
      <c r="H25" s="150">
        <f>QTS!H161</f>
        <v>7.4329999999999927</v>
      </c>
      <c r="I25" s="150">
        <f>QTS!I161</f>
        <v>8.8780000000000054</v>
      </c>
      <c r="J25" s="150">
        <f>QTS!J161</f>
        <v>13.440000000000007</v>
      </c>
      <c r="K25" s="150">
        <f>QTS!K161</f>
        <v>16.213000000000001</v>
      </c>
      <c r="L25" s="150">
        <f>QTS!L161</f>
        <v>17.192000000000004</v>
      </c>
      <c r="M25" s="150">
        <f>QTS!M161</f>
        <v>16.123999999999995</v>
      </c>
      <c r="N25" s="150">
        <f>QTS!N161</f>
        <v>17.602</v>
      </c>
      <c r="O25" s="150">
        <f>QTS!O161</f>
        <v>20.04</v>
      </c>
      <c r="P25" s="150">
        <f>QTS!P161</f>
        <v>19.339000000000006</v>
      </c>
      <c r="Q25" s="150">
        <f>QTS!Q161</f>
        <v>21.845000000000006</v>
      </c>
      <c r="R25" s="150">
        <f>QTS!R161</f>
        <v>29.260000000000005</v>
      </c>
      <c r="S25" s="150">
        <f>QTS!S161</f>
        <v>28.073</v>
      </c>
      <c r="T25" s="150">
        <f>QTS!T161</f>
        <v>31.727999999999998</v>
      </c>
      <c r="U25" s="150">
        <f>QTS!U161</f>
        <v>32.216000000000015</v>
      </c>
      <c r="V25" s="150">
        <f>QTS!V161</f>
        <v>35.030999999999992</v>
      </c>
      <c r="W25" s="150">
        <f>QTS!W161</f>
        <v>34.183999999999997</v>
      </c>
      <c r="X25" s="150">
        <f>QTS!X161</f>
        <v>35.07200000000001</v>
      </c>
      <c r="Y25" s="150">
        <f>QTS!Y161</f>
        <v>34.882999999999996</v>
      </c>
      <c r="Z25" s="151">
        <f>QTS!Z161</f>
        <v>38.630999999999986</v>
      </c>
      <c r="AA25" s="151">
        <f>QTS!AA161</f>
        <v>16.425999999999984</v>
      </c>
      <c r="AB25" s="152">
        <v>16.425999999999998</v>
      </c>
      <c r="AC25" s="227">
        <f>AB25-AA25</f>
        <v>0</v>
      </c>
      <c r="AD25" s="167"/>
      <c r="AE25" s="153"/>
      <c r="AF25" s="168"/>
      <c r="AG25" s="304"/>
      <c r="AH25" s="111"/>
      <c r="AI25" s="111"/>
      <c r="AJ25" s="162" t="s">
        <v>346</v>
      </c>
      <c r="AK25" s="163" t="s">
        <v>505</v>
      </c>
      <c r="AL25" s="163" t="s">
        <v>496</v>
      </c>
      <c r="AM25" s="163" t="s">
        <v>484</v>
      </c>
      <c r="AN25" s="164">
        <f>+QTS!BH170</f>
        <v>2.7615931886141936</v>
      </c>
      <c r="AO25" s="163">
        <v>2.7</v>
      </c>
      <c r="AP25" s="363"/>
      <c r="AQ25" s="111"/>
      <c r="AR25" s="111"/>
      <c r="AS25" s="111"/>
      <c r="AT25" s="111"/>
      <c r="AU25" s="365"/>
      <c r="AV25" s="366"/>
      <c r="AW25" s="366"/>
    </row>
    <row r="26" spans="2:50" s="128" customFormat="1" ht="15" customHeight="1">
      <c r="B26" s="113"/>
      <c r="C26" s="275" t="s">
        <v>283</v>
      </c>
      <c r="D26" s="132">
        <f>QTS!D169</f>
        <v>5.1600000000000055</v>
      </c>
      <c r="E26" s="132">
        <f>QTS!E169</f>
        <v>8.011000000000001</v>
      </c>
      <c r="F26" s="132">
        <f>QTS!F169</f>
        <v>5.3509999999999991</v>
      </c>
      <c r="G26" s="132">
        <f>QTS!G169</f>
        <v>7.0459999999999905</v>
      </c>
      <c r="H26" s="132">
        <f>QTS!H169</f>
        <v>8.5309999999999935</v>
      </c>
      <c r="I26" s="132">
        <f>QTS!I169</f>
        <v>11.057000000000006</v>
      </c>
      <c r="J26" s="132">
        <f>QTS!J169</f>
        <v>13.440000000000007</v>
      </c>
      <c r="K26" s="132">
        <f>QTS!K169</f>
        <v>16.431999999999999</v>
      </c>
      <c r="L26" s="132">
        <f>QTS!L169</f>
        <v>17.256000000000004</v>
      </c>
      <c r="M26" s="132">
        <f>QTS!M169</f>
        <v>18.368999999999993</v>
      </c>
      <c r="N26" s="132">
        <f>QTS!N169</f>
        <v>18.102999999999998</v>
      </c>
      <c r="O26" s="132">
        <f>QTS!O169</f>
        <v>20.416999999999998</v>
      </c>
      <c r="P26" s="132">
        <f>QTS!P169</f>
        <v>19.444000000000006</v>
      </c>
      <c r="Q26" s="132">
        <f>QTS!Q169</f>
        <v>23.422000000000004</v>
      </c>
      <c r="R26" s="132">
        <f>QTS!R169</f>
        <v>29.536000000000005</v>
      </c>
      <c r="S26" s="132">
        <f>QTS!S169</f>
        <v>31.514000000000003</v>
      </c>
      <c r="T26" s="132">
        <f>QTS!T169</f>
        <v>33.067</v>
      </c>
      <c r="U26" s="132">
        <f>QTS!U169</f>
        <v>34.866000000000021</v>
      </c>
      <c r="V26" s="132">
        <f>QTS!V169</f>
        <v>37.359999999999985</v>
      </c>
      <c r="W26" s="132">
        <f>QTS!W169</f>
        <v>35.372999999999998</v>
      </c>
      <c r="X26" s="132">
        <f>QTS!X169</f>
        <v>35.408000000000008</v>
      </c>
      <c r="Y26" s="132">
        <f>QTS!Y169</f>
        <v>35.043999999999997</v>
      </c>
      <c r="Z26" s="133">
        <f>QTS!Z169</f>
        <v>39.744999999999983</v>
      </c>
      <c r="AA26" s="133">
        <f>QTS!AA169</f>
        <v>45.866999999999983</v>
      </c>
      <c r="AB26" s="258">
        <v>45.866999999999997</v>
      </c>
      <c r="AC26" s="241">
        <f>AB26-AA26</f>
        <v>0</v>
      </c>
      <c r="AD26" s="169"/>
      <c r="AE26" s="134"/>
      <c r="AF26" s="423" t="s">
        <v>348</v>
      </c>
      <c r="AG26" s="424"/>
      <c r="AH26" s="111"/>
      <c r="AI26" s="111"/>
      <c r="AJ26" s="162" t="s">
        <v>105</v>
      </c>
      <c r="AK26" s="163" t="s">
        <v>486</v>
      </c>
      <c r="AL26" s="163" t="s">
        <v>486</v>
      </c>
      <c r="AM26" s="163" t="s">
        <v>486</v>
      </c>
      <c r="AN26" s="163"/>
      <c r="AO26" s="163"/>
      <c r="AP26" s="363"/>
      <c r="AQ26" s="111"/>
      <c r="AR26" s="111"/>
      <c r="AS26" s="111"/>
      <c r="AT26" s="111"/>
      <c r="AU26" s="365"/>
      <c r="AV26" s="366"/>
      <c r="AW26" s="366"/>
    </row>
    <row r="27" spans="2:50" s="128" customFormat="1" ht="15" customHeight="1">
      <c r="B27" s="113"/>
      <c r="C27" s="272" t="s">
        <v>282</v>
      </c>
      <c r="D27" s="170"/>
      <c r="E27" s="170"/>
      <c r="F27" s="170"/>
      <c r="G27" s="170"/>
      <c r="H27" s="170"/>
      <c r="I27" s="170"/>
      <c r="J27" s="170"/>
      <c r="K27" s="170">
        <f>QTS!K170</f>
        <v>0.44659194386943701</v>
      </c>
      <c r="L27" s="170">
        <f>QTS!L170</f>
        <v>0.46767188296798412</v>
      </c>
      <c r="M27" s="170">
        <f>QTS!M170</f>
        <v>0.49409516069981751</v>
      </c>
      <c r="N27" s="170">
        <f>QTS!N170</f>
        <v>0.48576836611891888</v>
      </c>
      <c r="O27" s="170">
        <f>QTS!O170</f>
        <v>0.54981957235956258</v>
      </c>
      <c r="P27" s="170">
        <f>QTS!P170</f>
        <v>0.4678436866967961</v>
      </c>
      <c r="Q27" s="170">
        <f>QTS!Q170</f>
        <v>0.52036296105231428</v>
      </c>
      <c r="R27" s="170">
        <f>QTS!R170</f>
        <v>0.60607283088727404</v>
      </c>
      <c r="S27" s="170">
        <f>QTS!S170</f>
        <v>0.64538555878851345</v>
      </c>
      <c r="T27" s="170">
        <f>QTS!T170</f>
        <v>0.67519705566956534</v>
      </c>
      <c r="U27" s="170">
        <f>QTS!U170</f>
        <v>0.62737355744433032</v>
      </c>
      <c r="V27" s="170">
        <f>QTS!V170</f>
        <v>0.67088465641358785</v>
      </c>
      <c r="W27" s="170">
        <f>QTS!W170</f>
        <v>0.63652501572283193</v>
      </c>
      <c r="X27" s="170">
        <f>QTS!X170</f>
        <v>0.63660256172840624</v>
      </c>
      <c r="Y27" s="170">
        <f>QTS!Y170</f>
        <v>0.63189673115334721</v>
      </c>
      <c r="Z27" s="171">
        <f>QTS!Z170</f>
        <v>0.69933141136990917</v>
      </c>
      <c r="AA27" s="171">
        <f>QTS!AA170</f>
        <v>0.79376248436253094</v>
      </c>
      <c r="AB27" s="172">
        <v>0.79</v>
      </c>
      <c r="AC27" s="228">
        <f>AB27-AA27</f>
        <v>-3.7624843625309046E-3</v>
      </c>
      <c r="AD27" s="174">
        <v>0.74</v>
      </c>
      <c r="AE27" s="173">
        <f>+AD27-AA27</f>
        <v>-5.3762484362530949E-2</v>
      </c>
      <c r="AF27" s="420"/>
      <c r="AG27" s="425"/>
      <c r="AH27" s="111"/>
      <c r="AI27" s="111"/>
      <c r="AJ27" s="111"/>
      <c r="AK27" s="111"/>
      <c r="AL27" s="111"/>
      <c r="AM27" s="111"/>
      <c r="AN27" s="111"/>
      <c r="AO27" s="111"/>
      <c r="AP27" s="111"/>
      <c r="AQ27" s="111"/>
      <c r="AR27" s="111"/>
      <c r="AS27" s="111"/>
      <c r="AT27" s="365"/>
      <c r="AU27" s="365"/>
      <c r="AV27" s="366"/>
      <c r="AW27" s="366"/>
    </row>
    <row r="28" spans="2:50" s="128" customFormat="1" ht="15" customHeight="1">
      <c r="B28" s="113"/>
      <c r="C28" s="274" t="s">
        <v>284</v>
      </c>
      <c r="D28" s="150"/>
      <c r="E28" s="150"/>
      <c r="F28" s="150">
        <f>QTS!F181</f>
        <v>5.4869999999999992</v>
      </c>
      <c r="G28" s="150"/>
      <c r="H28" s="150">
        <f>QTS!H181</f>
        <v>8.3599999999999941</v>
      </c>
      <c r="I28" s="150">
        <f>QTS!I181</f>
        <v>9.773000000000005</v>
      </c>
      <c r="J28" s="150">
        <f>QTS!J181</f>
        <v>12.932000000000006</v>
      </c>
      <c r="K28" s="150">
        <f>QTS!K181</f>
        <v>16.291999999999998</v>
      </c>
      <c r="L28" s="150">
        <f>QTS!L181</f>
        <v>17.732000000000003</v>
      </c>
      <c r="M28" s="150">
        <f>QTS!M181</f>
        <v>18.713999999999992</v>
      </c>
      <c r="N28" s="150">
        <f>QTS!N181</f>
        <v>12.879999999999999</v>
      </c>
      <c r="O28" s="150">
        <f>QTS!O181</f>
        <v>19.702999999999999</v>
      </c>
      <c r="P28" s="150">
        <f>QTS!P181</f>
        <v>20.075000000000006</v>
      </c>
      <c r="Q28" s="150">
        <f>QTS!Q181</f>
        <v>22.238000000000003</v>
      </c>
      <c r="R28" s="150">
        <f>QTS!R181</f>
        <v>29.670000000000005</v>
      </c>
      <c r="S28" s="150">
        <f>QTS!S181</f>
        <v>27.843000000000004</v>
      </c>
      <c r="T28" s="150">
        <f>QTS!T181</f>
        <v>30.155000000000001</v>
      </c>
      <c r="U28" s="150">
        <f>QTS!U181</f>
        <v>34.607000000000021</v>
      </c>
      <c r="V28" s="150">
        <f>QTS!V181</f>
        <v>34.916999999999987</v>
      </c>
      <c r="W28" s="150">
        <f>QTS!W181</f>
        <v>34.44</v>
      </c>
      <c r="X28" s="150">
        <f>QTS!X181</f>
        <v>36.300000000000011</v>
      </c>
      <c r="Y28" s="150">
        <f>QTS!Y181</f>
        <v>36.707999999999998</v>
      </c>
      <c r="Z28" s="151">
        <f>QTS!Z181</f>
        <v>37.112999999999985</v>
      </c>
      <c r="AA28" s="151">
        <f>QTS!AA181</f>
        <v>41.173999999999985</v>
      </c>
      <c r="AB28" s="152">
        <v>41.173999999999999</v>
      </c>
      <c r="AC28" s="227">
        <f>AB28-AA28</f>
        <v>0</v>
      </c>
      <c r="AD28" s="167"/>
      <c r="AE28" s="153"/>
      <c r="AF28" s="419" t="s">
        <v>328</v>
      </c>
      <c r="AG28" s="428"/>
      <c r="AH28" s="111"/>
      <c r="AI28" s="138" t="s">
        <v>302</v>
      </c>
      <c r="AJ28" s="129" t="s">
        <v>440</v>
      </c>
      <c r="AK28" s="129"/>
      <c r="AL28" s="129"/>
      <c r="AM28" s="129"/>
      <c r="AN28" s="129"/>
      <c r="AO28" s="130"/>
      <c r="AP28" s="130"/>
      <c r="AQ28" s="111"/>
      <c r="AR28" s="111"/>
      <c r="AS28" s="111"/>
      <c r="AT28" s="365"/>
      <c r="AU28" s="365"/>
      <c r="AV28" s="366"/>
      <c r="AW28" s="366"/>
    </row>
    <row r="29" spans="2:50" s="128" customFormat="1" ht="15" customHeight="1">
      <c r="B29" s="113"/>
      <c r="C29" s="272" t="s">
        <v>285</v>
      </c>
      <c r="D29" s="170"/>
      <c r="E29" s="170"/>
      <c r="F29" s="170"/>
      <c r="G29" s="170"/>
      <c r="H29" s="170"/>
      <c r="I29" s="170"/>
      <c r="J29" s="170"/>
      <c r="K29" s="170">
        <f>QTS!K182</f>
        <v>0.44278699790170811</v>
      </c>
      <c r="L29" s="170">
        <f>QTS!L182</f>
        <v>0.48057242865022565</v>
      </c>
      <c r="M29" s="170">
        <f>QTS!M182</f>
        <v>0.50337507960892725</v>
      </c>
      <c r="N29" s="170">
        <f>QTS!N182</f>
        <v>0.34561655833904192</v>
      </c>
      <c r="O29" s="170">
        <f>QTS!O182</f>
        <v>0.53059191037862874</v>
      </c>
      <c r="P29" s="170">
        <f>QTS!P182</f>
        <v>0.48302622970778553</v>
      </c>
      <c r="Q29" s="170">
        <f>QTS!Q182</f>
        <v>0.49405821568958092</v>
      </c>
      <c r="R29" s="170">
        <f>QTS!R182</f>
        <v>0.60882248416933304</v>
      </c>
      <c r="S29" s="170">
        <f>QTS!S182</f>
        <v>0.5702059438138154</v>
      </c>
      <c r="T29" s="170">
        <f>QTS!T182</f>
        <v>0.61573675306848952</v>
      </c>
      <c r="U29" s="170">
        <f>QTS!U182</f>
        <v>0.62271315041805597</v>
      </c>
      <c r="V29" s="170">
        <f>QTS!V182</f>
        <v>0.62701497719468013</v>
      </c>
      <c r="W29" s="170">
        <f>QTS!W182</f>
        <v>0.61973600038148668</v>
      </c>
      <c r="X29" s="170">
        <f>QTS!X182</f>
        <v>0.6526398833806244</v>
      </c>
      <c r="Y29" s="170">
        <f>QTS!Y182</f>
        <v>0.66190118728390224</v>
      </c>
      <c r="Z29" s="171">
        <f>QTS!Z182</f>
        <v>0.65302017034020476</v>
      </c>
      <c r="AA29" s="171">
        <f>QTS!AA182</f>
        <v>0.71254663551448427</v>
      </c>
      <c r="AB29" s="172"/>
      <c r="AC29" s="228"/>
      <c r="AD29" s="174">
        <v>0.75</v>
      </c>
      <c r="AE29" s="173">
        <f>+AD29-AA29</f>
        <v>3.7453364485515728E-2</v>
      </c>
      <c r="AF29" s="420"/>
      <c r="AG29" s="429"/>
      <c r="AH29" s="111"/>
      <c r="AI29" s="111"/>
      <c r="AJ29" s="137" t="s">
        <v>301</v>
      </c>
      <c r="AK29" s="138" t="s">
        <v>473</v>
      </c>
      <c r="AL29" s="138" t="s">
        <v>463</v>
      </c>
      <c r="AM29" s="138" t="s">
        <v>460</v>
      </c>
      <c r="AN29" s="138" t="s">
        <v>459</v>
      </c>
      <c r="AO29" s="139" t="s">
        <v>252</v>
      </c>
      <c r="AP29" s="139" t="s">
        <v>261</v>
      </c>
      <c r="AQ29" s="139"/>
      <c r="AR29" s="140"/>
      <c r="AS29" s="111"/>
      <c r="AT29" s="365"/>
      <c r="AU29" s="365"/>
      <c r="AV29" s="366"/>
      <c r="AW29" s="366"/>
    </row>
    <row r="30" spans="2:50" ht="15" customHeight="1" outlineLevel="1">
      <c r="B30" s="131"/>
      <c r="C30" s="274" t="s">
        <v>186</v>
      </c>
      <c r="D30" s="150">
        <f>-SUM(QTS!D222,QTS!D223)</f>
        <v>33.2515</v>
      </c>
      <c r="E30" s="150">
        <f>-SUM(QTS!E222,QTS!E223)</f>
        <v>33.2515</v>
      </c>
      <c r="F30" s="150">
        <f>-SUM(QTS!F222,QTS!F223)</f>
        <v>19.847999999999999</v>
      </c>
      <c r="G30" s="150">
        <f>-SUM(QTS!G222,QTS!G223)</f>
        <v>110.12500000000001</v>
      </c>
      <c r="H30" s="150">
        <f>-SUM(QTS!H222,QTS!H223)</f>
        <v>41.503999999999998</v>
      </c>
      <c r="I30" s="150">
        <f>-SUM(QTS!I222,QTS!I223)</f>
        <v>45.022000000000006</v>
      </c>
      <c r="J30" s="150">
        <f>-SUM(QTS!J222,QTS!J223)</f>
        <v>37.572000000000003</v>
      </c>
      <c r="K30" s="150">
        <f>-SUM(QTS!K222,QTS!K223)</f>
        <v>44.739999999999981</v>
      </c>
      <c r="L30" s="150">
        <f>-SUM(QTS!L222,QTS!L223)</f>
        <v>59.164999999999999</v>
      </c>
      <c r="M30" s="150">
        <f>-SUM(QTS!M222,QTS!M223)</f>
        <v>128.292</v>
      </c>
      <c r="N30" s="150">
        <f>-SUM(QTS!N222,QTS!N223)</f>
        <v>59.615000000000016</v>
      </c>
      <c r="O30" s="150">
        <f>-SUM(QTS!O222,QTS!O223)</f>
        <v>45.136999999999993</v>
      </c>
      <c r="P30" s="150">
        <f>-SUM(QTS!P222,QTS!P223)</f>
        <v>73.399000000000001</v>
      </c>
      <c r="Q30" s="150">
        <f>-SUM(QTS!Q222,QTS!Q223)</f>
        <v>385.61599999999999</v>
      </c>
      <c r="R30" s="150">
        <f>-SUM(QTS!R222,QTS!R223)</f>
        <v>82.006</v>
      </c>
      <c r="S30" s="150">
        <f>-SUM(QTS!S222,QTS!S223)</f>
        <v>71.72199999999998</v>
      </c>
      <c r="T30" s="150">
        <f>-SUM(QTS!T222,QTS!T223)</f>
        <v>78.052999999999997</v>
      </c>
      <c r="U30" s="150">
        <f>-SUM(QTS!U222,QTS!U223)</f>
        <v>194.23099999999999</v>
      </c>
      <c r="V30" s="150">
        <f>-SUM(QTS!V222,QTS!V223)</f>
        <v>48.448000000000008</v>
      </c>
      <c r="W30" s="150">
        <f>-SUM(QTS!W222,QTS!W223)</f>
        <v>132.23999999999998</v>
      </c>
      <c r="X30" s="150">
        <f>-SUM(QTS!X222,QTS!X223)</f>
        <v>66.119</v>
      </c>
      <c r="Y30" s="150">
        <f>-SUM(QTS!Y222,QTS!Y223)</f>
        <v>78.718000000000018</v>
      </c>
      <c r="Z30" s="151">
        <f>-SUM(QTS!Z222,QTS!Z223)</f>
        <v>139.14699999999999</v>
      </c>
      <c r="AA30" s="151">
        <f>-SUM(QTS!AA222,QTS!AA223)</f>
        <v>150.36799999999999</v>
      </c>
      <c r="AB30" s="152">
        <v>150.36799999999999</v>
      </c>
      <c r="AC30" s="227">
        <f>+AA30-AB30</f>
        <v>0</v>
      </c>
      <c r="AD30" s="161"/>
      <c r="AE30" s="154"/>
      <c r="AF30" s="419"/>
      <c r="AG30" s="421"/>
      <c r="AI30" s="111">
        <v>217.78899999999999</v>
      </c>
      <c r="AJ30" s="137" t="s">
        <v>350</v>
      </c>
      <c r="AK30" s="261"/>
      <c r="AL30" s="261"/>
      <c r="AM30" s="261"/>
      <c r="AN30" s="261"/>
      <c r="AO30" s="149">
        <f>+QTS!BG19</f>
        <v>0.29342651318136981</v>
      </c>
      <c r="AP30" s="191">
        <f>401.07/QTS!BF18-1</f>
        <v>0.28927006618812356</v>
      </c>
      <c r="AQ30" s="149"/>
      <c r="AR30" s="191"/>
      <c r="AS30" s="149"/>
    </row>
    <row r="31" spans="2:50" s="128" customFormat="1" ht="15" customHeight="1" outlineLevel="1">
      <c r="B31" s="113"/>
      <c r="C31" s="272" t="s">
        <v>274</v>
      </c>
      <c r="D31" s="159">
        <f t="shared" ref="D31:I31" si="46">+D30/D11</f>
        <v>0.95983315532719449</v>
      </c>
      <c r="E31" s="159">
        <f t="shared" si="46"/>
        <v>0.90630706751342349</v>
      </c>
      <c r="F31" s="159">
        <f t="shared" si="46"/>
        <v>0.54747062393115242</v>
      </c>
      <c r="G31" s="159">
        <f t="shared" si="46"/>
        <v>2.8848924632593724</v>
      </c>
      <c r="H31" s="159">
        <f t="shared" si="46"/>
        <v>1.0001445852812183</v>
      </c>
      <c r="I31" s="159">
        <f t="shared" si="46"/>
        <v>1.0484862598975315</v>
      </c>
      <c r="J31" s="159">
        <f t="shared" ref="J31:O31" si="47">+J30/J11</f>
        <v>0.81642764015645375</v>
      </c>
      <c r="K31" s="159">
        <f t="shared" si="47"/>
        <v>0.94330472917413355</v>
      </c>
      <c r="L31" s="159">
        <f t="shared" si="47"/>
        <v>1.2088551989048484</v>
      </c>
      <c r="M31" s="159">
        <f t="shared" si="47"/>
        <v>2.4989676263196854</v>
      </c>
      <c r="N31" s="159">
        <f t="shared" si="47"/>
        <v>1.0288204331693851</v>
      </c>
      <c r="O31" s="159">
        <f t="shared" si="47"/>
        <v>0.75780266272686059</v>
      </c>
      <c r="P31" s="159">
        <f>+P30/P11</f>
        <v>1.1956960870556803</v>
      </c>
      <c r="Q31" s="159">
        <f>+Q30/Q11</f>
        <v>5.6610831363683065</v>
      </c>
      <c r="R31" s="159">
        <f>+R30/R11</f>
        <v>0.92255596805039941</v>
      </c>
      <c r="S31" s="159">
        <f t="shared" ref="S31" si="48">+S30/S11</f>
        <v>0.77378357967418243</v>
      </c>
      <c r="T31" s="159">
        <f t="shared" ref="T31" si="49">+T30/T11</f>
        <v>0.82362189768698291</v>
      </c>
      <c r="U31" s="159">
        <f t="shared" ref="U31:AA31" si="50">+U30/U11</f>
        <v>1.9681518335748374</v>
      </c>
      <c r="V31" s="159">
        <f t="shared" si="50"/>
        <v>0.46825496544725281</v>
      </c>
      <c r="W31" s="159">
        <f t="shared" si="50"/>
        <v>1.2541373064119947</v>
      </c>
      <c r="X31" s="159">
        <f t="shared" si="50"/>
        <v>0.6239760673436261</v>
      </c>
      <c r="Y31" s="159">
        <f t="shared" si="50"/>
        <v>0.72976230207290416</v>
      </c>
      <c r="Z31" s="160">
        <f t="shared" si="50"/>
        <v>1.223087538565665</v>
      </c>
      <c r="AA31" s="160">
        <f t="shared" si="50"/>
        <v>1.264542388845439</v>
      </c>
      <c r="AB31" s="160">
        <f>+AB30/AB11</f>
        <v>1.264542388845439</v>
      </c>
      <c r="AC31" s="239">
        <f>-(AB31-AA31)*10000</f>
        <v>0</v>
      </c>
      <c r="AD31" s="165"/>
      <c r="AE31" s="143"/>
      <c r="AF31" s="420"/>
      <c r="AG31" s="424"/>
      <c r="AH31" s="111"/>
      <c r="AI31" s="257">
        <v>96.5</v>
      </c>
      <c r="AJ31" s="137" t="s">
        <v>19</v>
      </c>
      <c r="AK31" s="145" t="s">
        <v>474</v>
      </c>
      <c r="AL31" s="145" t="s">
        <v>464</v>
      </c>
      <c r="AM31" s="145" t="s">
        <v>441</v>
      </c>
      <c r="AN31" s="145" t="s">
        <v>441</v>
      </c>
      <c r="AO31" s="146">
        <f>+QTS!BG113</f>
        <v>184.33400000000009</v>
      </c>
      <c r="AP31" s="145">
        <v>181.58</v>
      </c>
      <c r="AQ31" s="146"/>
      <c r="AR31" s="145"/>
      <c r="AS31" s="146"/>
      <c r="AT31" s="365"/>
      <c r="AU31" s="365"/>
      <c r="AV31" s="366"/>
      <c r="AW31" s="366"/>
    </row>
    <row r="32" spans="2:50" ht="15" customHeight="1">
      <c r="B32" s="131"/>
      <c r="C32" s="127" t="s">
        <v>288</v>
      </c>
      <c r="D32" s="176"/>
      <c r="E32" s="176"/>
      <c r="F32" s="176"/>
      <c r="G32" s="176"/>
      <c r="H32" s="176"/>
      <c r="I32" s="176"/>
      <c r="J32" s="176"/>
      <c r="K32" s="176"/>
      <c r="L32" s="176"/>
      <c r="M32" s="176"/>
      <c r="N32" s="176"/>
      <c r="O32" s="176"/>
      <c r="P32" s="176"/>
      <c r="Q32" s="176"/>
      <c r="R32" s="176"/>
      <c r="S32" s="176"/>
      <c r="T32" s="176"/>
      <c r="U32" s="176"/>
      <c r="V32" s="176"/>
      <c r="W32" s="176"/>
      <c r="X32" s="176"/>
      <c r="Y32" s="176"/>
      <c r="Z32" s="177"/>
      <c r="AA32" s="177"/>
      <c r="AB32" s="177"/>
      <c r="AC32" s="177"/>
      <c r="AD32" s="178"/>
      <c r="AE32" s="125"/>
      <c r="AF32" s="305"/>
      <c r="AG32" s="302"/>
      <c r="AI32" s="257">
        <v>175</v>
      </c>
      <c r="AJ32" s="137" t="s">
        <v>186</v>
      </c>
      <c r="AK32" s="145" t="s">
        <v>478</v>
      </c>
      <c r="AL32" s="145" t="s">
        <v>428</v>
      </c>
      <c r="AM32" s="145" t="s">
        <v>428</v>
      </c>
      <c r="AN32" s="145" t="s">
        <v>428</v>
      </c>
      <c r="AO32" s="352">
        <f>+QTS!BG321-125</f>
        <v>327.97199999999998</v>
      </c>
      <c r="AP32" s="145"/>
      <c r="AQ32" s="146"/>
      <c r="AR32" s="145"/>
      <c r="AS32" s="146"/>
      <c r="AU32" s="366"/>
    </row>
    <row r="33" spans="2:47" ht="15" customHeight="1">
      <c r="B33" s="113"/>
      <c r="C33" s="275" t="s">
        <v>4</v>
      </c>
      <c r="D33" s="132">
        <f>QTS!D82</f>
        <v>28.790999999999997</v>
      </c>
      <c r="E33" s="132">
        <f>QTS!E82</f>
        <v>30.725000000000001</v>
      </c>
      <c r="F33" s="132">
        <f>QTS!F82</f>
        <v>30.036999999999999</v>
      </c>
      <c r="G33" s="132">
        <f>QTS!G82</f>
        <v>31.204999999999998</v>
      </c>
      <c r="H33" s="132">
        <f>QTS!H82</f>
        <v>33.805999999999997</v>
      </c>
      <c r="I33" s="132">
        <f>QTS!I82</f>
        <v>34.783000000000001</v>
      </c>
      <c r="J33" s="132">
        <f>QTS!J82</f>
        <v>37.594999999999999</v>
      </c>
      <c r="K33" s="132">
        <f>QTS!K82</f>
        <v>39.122</v>
      </c>
      <c r="L33" s="132">
        <f>QTS!L82</f>
        <v>40.579000000000001</v>
      </c>
      <c r="M33" s="132">
        <f>QTS!M82</f>
        <v>41.966000000000001</v>
      </c>
      <c r="N33" s="132">
        <f>QTS!N82</f>
        <v>45.448</v>
      </c>
      <c r="O33" s="132">
        <f>QTS!O82</f>
        <v>47.655999999999999</v>
      </c>
      <c r="P33" s="132">
        <f>QTS!P82</f>
        <v>49.332999999999998</v>
      </c>
      <c r="Q33" s="132">
        <f>QTS!Q82</f>
        <v>52.192999999999998</v>
      </c>
      <c r="R33" s="132">
        <f>QTS!R82</f>
        <v>62.744</v>
      </c>
      <c r="S33" s="132">
        <f>QTS!S82</f>
        <v>66.239999999999995</v>
      </c>
      <c r="T33" s="132">
        <f>QTS!T82</f>
        <v>68.426000000000002</v>
      </c>
      <c r="U33" s="132">
        <f>QTS!U82</f>
        <v>71.67</v>
      </c>
      <c r="V33" s="132">
        <f>QTS!V82</f>
        <v>77.004999999999995</v>
      </c>
      <c r="W33" s="132">
        <f>QTS!W82</f>
        <v>78.622</v>
      </c>
      <c r="X33" s="132">
        <f>QTS!X82</f>
        <v>79.117000000000004</v>
      </c>
      <c r="Y33" s="132">
        <f>QTS!Y82</f>
        <v>80.793000000000006</v>
      </c>
      <c r="Z33" s="133">
        <f>QTS!Z82</f>
        <v>85.831000000000003</v>
      </c>
      <c r="AA33" s="133">
        <f>QTS!AA82</f>
        <v>90.078000000000003</v>
      </c>
      <c r="AB33" s="258">
        <v>90.078000000000003</v>
      </c>
      <c r="AC33" s="241">
        <f>+AB33-AA33</f>
        <v>0</v>
      </c>
      <c r="AD33" s="165"/>
      <c r="AE33" s="175"/>
      <c r="AF33" s="300" t="s">
        <v>430</v>
      </c>
      <c r="AG33" s="299"/>
      <c r="AI33" s="257">
        <v>75</v>
      </c>
      <c r="AJ33" s="162" t="s">
        <v>289</v>
      </c>
      <c r="AK33" s="163" t="s">
        <v>475</v>
      </c>
      <c r="AL33" s="163" t="s">
        <v>465</v>
      </c>
      <c r="AM33" s="163" t="s">
        <v>466</v>
      </c>
      <c r="AN33" s="163" t="s">
        <v>467</v>
      </c>
      <c r="AO33" s="146">
        <f>+QTS!BG169</f>
        <v>140.666</v>
      </c>
      <c r="AP33" s="163"/>
      <c r="AQ33" s="146"/>
      <c r="AR33" s="163"/>
      <c r="AS33" s="146"/>
      <c r="AU33" s="366"/>
    </row>
    <row r="34" spans="2:47" ht="15" customHeight="1">
      <c r="B34" s="113"/>
      <c r="C34" s="275" t="s">
        <v>5</v>
      </c>
      <c r="D34" s="132">
        <f>QTS!D83</f>
        <v>2.206</v>
      </c>
      <c r="E34" s="132">
        <f>QTS!E83</f>
        <v>2.2829999999999999</v>
      </c>
      <c r="F34" s="132">
        <f>QTS!F83</f>
        <v>2.2959999999999998</v>
      </c>
      <c r="G34" s="132">
        <f>QTS!G83</f>
        <v>2.5090000000000017</v>
      </c>
      <c r="H34" s="132">
        <f>QTS!H83</f>
        <v>2.8660000000000001</v>
      </c>
      <c r="I34" s="132">
        <f>QTS!I83</f>
        <v>3.456</v>
      </c>
      <c r="J34" s="132">
        <f>QTS!J83</f>
        <v>3.6030000000000002</v>
      </c>
      <c r="K34" s="132">
        <f>QTS!K83</f>
        <v>3.173</v>
      </c>
      <c r="L34" s="132">
        <f>QTS!L83</f>
        <v>3.6909999999999998</v>
      </c>
      <c r="M34" s="132">
        <f>QTS!M83</f>
        <v>3.8519999999999999</v>
      </c>
      <c r="N34" s="132">
        <f>QTS!N83</f>
        <v>6.1310000000000002</v>
      </c>
      <c r="O34" s="132">
        <f>QTS!O83</f>
        <v>5.52</v>
      </c>
      <c r="P34" s="132">
        <f>QTS!P83</f>
        <v>5.6639999999999997</v>
      </c>
      <c r="Q34" s="132">
        <f>QTS!Q83</f>
        <v>5.5819999999999999</v>
      </c>
      <c r="R34" s="132">
        <f>QTS!R83</f>
        <v>6.1580000000000004</v>
      </c>
      <c r="S34" s="132">
        <f>QTS!S83</f>
        <v>5.1769999999999996</v>
      </c>
      <c r="T34" s="132">
        <f>QTS!T83</f>
        <v>5.4349999999999996</v>
      </c>
      <c r="U34" s="132">
        <f>QTS!U83</f>
        <v>6.1680000000000001</v>
      </c>
      <c r="V34" s="132">
        <f>QTS!V83</f>
        <v>8.7029999999999994</v>
      </c>
      <c r="W34" s="132">
        <f>QTS!W83</f>
        <v>8.9649999999999999</v>
      </c>
      <c r="X34" s="132">
        <f>QTS!X83</f>
        <v>8.3610000000000007</v>
      </c>
      <c r="Y34" s="132">
        <f>QTS!Y83</f>
        <v>8.7739999999999991</v>
      </c>
      <c r="Z34" s="133">
        <f>QTS!Z83</f>
        <v>9.6980000000000004</v>
      </c>
      <c r="AA34" s="133">
        <f>QTS!AA83</f>
        <v>11.053000000000001</v>
      </c>
      <c r="AB34" s="258">
        <v>11.053000000000001</v>
      </c>
      <c r="AC34" s="241">
        <f>+AB34-AA34</f>
        <v>0</v>
      </c>
      <c r="AD34" s="165"/>
      <c r="AE34" s="175"/>
      <c r="AF34" s="300" t="s">
        <v>328</v>
      </c>
      <c r="AG34" s="299"/>
      <c r="AJ34" s="162" t="s">
        <v>346</v>
      </c>
      <c r="AK34" s="163" t="s">
        <v>476</v>
      </c>
      <c r="AL34" s="163" t="s">
        <v>468</v>
      </c>
      <c r="AM34" s="163" t="s">
        <v>442</v>
      </c>
      <c r="AN34" s="163" t="s">
        <v>442</v>
      </c>
      <c r="AO34" s="164">
        <f>+QTS!BG170</f>
        <v>2.6099802852503151</v>
      </c>
      <c r="AP34" s="163">
        <v>2.59</v>
      </c>
      <c r="AQ34" s="164"/>
      <c r="AR34" s="163"/>
      <c r="AS34" s="164"/>
    </row>
    <row r="35" spans="2:47" ht="15" customHeight="1">
      <c r="B35" s="113"/>
      <c r="C35" s="275" t="s">
        <v>6</v>
      </c>
      <c r="D35" s="132">
        <f>QTS!D84</f>
        <v>3.4239999999999999</v>
      </c>
      <c r="E35" s="132">
        <f>QTS!E84</f>
        <v>3.4590000000000001</v>
      </c>
      <c r="F35" s="132">
        <f>QTS!F84</f>
        <v>3.8420000000000001</v>
      </c>
      <c r="G35" s="132">
        <f>QTS!G84</f>
        <v>3.7720000000000007</v>
      </c>
      <c r="H35" s="132">
        <f>QTS!H84</f>
        <v>4.1100000000000003</v>
      </c>
      <c r="I35" s="132">
        <f>QTS!I84</f>
        <v>4.3250000000000002</v>
      </c>
      <c r="J35" s="132">
        <f>QTS!J84</f>
        <v>4.3929999999999998</v>
      </c>
      <c r="K35" s="132">
        <f>QTS!K84</f>
        <v>4.7030000000000003</v>
      </c>
      <c r="L35" s="132">
        <f>QTS!L84</f>
        <v>4.2309999999999999</v>
      </c>
      <c r="M35" s="132">
        <f>QTS!M84</f>
        <v>4.97</v>
      </c>
      <c r="N35" s="132">
        <f>QTS!N84</f>
        <v>5.242</v>
      </c>
      <c r="O35" s="132">
        <f>QTS!O84</f>
        <v>5.7880000000000003</v>
      </c>
      <c r="P35" s="132">
        <f>QTS!P84</f>
        <v>5.7949999999999999</v>
      </c>
      <c r="Q35" s="132">
        <f>QTS!Q84</f>
        <v>8.2200000000000006</v>
      </c>
      <c r="R35" s="132">
        <f>QTS!R84</f>
        <v>18.573</v>
      </c>
      <c r="S35" s="132">
        <f>QTS!S84</f>
        <v>19.405999999999999</v>
      </c>
      <c r="T35" s="132">
        <f>QTS!T84</f>
        <v>18.89</v>
      </c>
      <c r="U35" s="132">
        <f>QTS!U84</f>
        <v>17.015000000000001</v>
      </c>
      <c r="V35" s="132">
        <f>QTS!V84</f>
        <v>16.242999999999999</v>
      </c>
      <c r="W35" s="132">
        <f>QTS!W84</f>
        <v>16.34</v>
      </c>
      <c r="X35" s="132">
        <f>QTS!X84</f>
        <v>16.965</v>
      </c>
      <c r="Y35" s="132">
        <f>QTS!Y84</f>
        <v>16.856000000000002</v>
      </c>
      <c r="Z35" s="133">
        <f>QTS!Z84</f>
        <v>16.224</v>
      </c>
      <c r="AA35" s="133">
        <f>QTS!AA84</f>
        <v>15.420999999999999</v>
      </c>
      <c r="AB35" s="258">
        <v>15.420999999999999</v>
      </c>
      <c r="AC35" s="241">
        <f>+AB35-AA35</f>
        <v>0</v>
      </c>
      <c r="AD35" s="165"/>
      <c r="AE35" s="175"/>
      <c r="AF35" s="296" t="s">
        <v>348</v>
      </c>
      <c r="AG35" s="299"/>
      <c r="AJ35" s="162" t="s">
        <v>105</v>
      </c>
      <c r="AK35" s="163" t="s">
        <v>477</v>
      </c>
      <c r="AL35" s="163" t="s">
        <v>351</v>
      </c>
      <c r="AM35" s="163" t="s">
        <v>351</v>
      </c>
      <c r="AN35" s="163" t="s">
        <v>351</v>
      </c>
      <c r="AO35" s="163"/>
      <c r="AP35" s="163"/>
      <c r="AQ35" s="262"/>
      <c r="AR35" s="163"/>
      <c r="AS35" s="262"/>
      <c r="AU35" s="366"/>
    </row>
    <row r="36" spans="2:47" ht="15" customHeight="1">
      <c r="B36" s="113"/>
      <c r="C36" s="275" t="s">
        <v>7</v>
      </c>
      <c r="D36" s="132">
        <f>QTS!D85</f>
        <v>0.222</v>
      </c>
      <c r="E36" s="132">
        <f>QTS!E85</f>
        <v>0.222</v>
      </c>
      <c r="F36" s="132">
        <f>QTS!F85</f>
        <v>7.9000000000000001E-2</v>
      </c>
      <c r="G36" s="132">
        <f>QTS!G85</f>
        <v>0.68700000000000006</v>
      </c>
      <c r="H36" s="132">
        <f>QTS!H85</f>
        <v>0.71600000000000008</v>
      </c>
      <c r="I36" s="132">
        <f>QTS!I85</f>
        <v>0.376</v>
      </c>
      <c r="J36" s="132">
        <f>QTS!J85</f>
        <v>0.42899999999999999</v>
      </c>
      <c r="K36" s="132">
        <f>QTS!K85</f>
        <v>0.43099999999999999</v>
      </c>
      <c r="L36" s="132">
        <f>QTS!L85</f>
        <v>0.442</v>
      </c>
      <c r="M36" s="132">
        <f>QTS!M85</f>
        <v>0.55000000000000004</v>
      </c>
      <c r="N36" s="132">
        <f>QTS!N85</f>
        <v>1.1240000000000001</v>
      </c>
      <c r="O36" s="132">
        <f>QTS!O85</f>
        <v>0.59899999999999998</v>
      </c>
      <c r="P36" s="132">
        <f>QTS!P85</f>
        <v>0.59399999999999997</v>
      </c>
      <c r="Q36" s="132">
        <f>QTS!Q85</f>
        <v>2.1219999999999999</v>
      </c>
      <c r="R36" s="132">
        <f>QTS!R85</f>
        <v>1.415</v>
      </c>
      <c r="S36" s="132">
        <f>QTS!S85</f>
        <v>1.867</v>
      </c>
      <c r="T36" s="132">
        <f>QTS!T85</f>
        <v>2.0169999999999999</v>
      </c>
      <c r="U36" s="132">
        <f>QTS!U85</f>
        <v>3.8340000000000001</v>
      </c>
      <c r="V36" s="132">
        <f>QTS!V85</f>
        <v>1.514</v>
      </c>
      <c r="W36" s="132">
        <f>QTS!W85</f>
        <v>1.516</v>
      </c>
      <c r="X36" s="132">
        <f>QTS!X85</f>
        <v>1.5209999999999999</v>
      </c>
      <c r="Y36" s="132">
        <f>QTS!Y85</f>
        <v>1.4450000000000001</v>
      </c>
      <c r="Z36" s="133">
        <f>QTS!Z85</f>
        <v>2.0139999999999998</v>
      </c>
      <c r="AA36" s="133">
        <f>QTS!AA85</f>
        <v>2.359</v>
      </c>
      <c r="AB36" s="258">
        <v>2.359</v>
      </c>
      <c r="AC36" s="241">
        <f>+AB36-AA36</f>
        <v>0</v>
      </c>
      <c r="AD36" s="165"/>
      <c r="AE36" s="175"/>
      <c r="AF36" s="301" t="s">
        <v>430</v>
      </c>
      <c r="AG36" s="299"/>
      <c r="AO36" s="128"/>
      <c r="AU36" s="366"/>
    </row>
    <row r="37" spans="2:47" ht="15" customHeight="1">
      <c r="B37" s="131"/>
      <c r="C37" s="127" t="s">
        <v>275</v>
      </c>
      <c r="D37" s="176"/>
      <c r="E37" s="176"/>
      <c r="F37" s="176"/>
      <c r="G37" s="176"/>
      <c r="H37" s="176"/>
      <c r="I37" s="176"/>
      <c r="J37" s="176"/>
      <c r="K37" s="176"/>
      <c r="L37" s="176"/>
      <c r="M37" s="176"/>
      <c r="N37" s="176"/>
      <c r="O37" s="176"/>
      <c r="P37" s="176"/>
      <c r="Q37" s="176"/>
      <c r="R37" s="176"/>
      <c r="S37" s="176"/>
      <c r="T37" s="176"/>
      <c r="U37" s="176"/>
      <c r="V37" s="176"/>
      <c r="W37" s="176"/>
      <c r="X37" s="176"/>
      <c r="Y37" s="176"/>
      <c r="Z37" s="177"/>
      <c r="AA37" s="177"/>
      <c r="AB37" s="177"/>
      <c r="AC37" s="177"/>
      <c r="AD37" s="178"/>
      <c r="AE37" s="125"/>
      <c r="AF37" s="305"/>
      <c r="AG37" s="302"/>
      <c r="AI37" s="138" t="s">
        <v>302</v>
      </c>
      <c r="AJ37" s="129" t="s">
        <v>387</v>
      </c>
      <c r="AK37" s="129"/>
      <c r="AL37" s="129"/>
      <c r="AM37" s="129"/>
      <c r="AN37" s="130"/>
      <c r="AO37" s="130"/>
      <c r="AP37" s="130"/>
      <c r="AR37" s="129">
        <v>2016</v>
      </c>
      <c r="AS37" s="129"/>
      <c r="AU37" s="366"/>
    </row>
    <row r="38" spans="2:47" ht="15" customHeight="1">
      <c r="B38" s="131"/>
      <c r="C38" s="275" t="s">
        <v>388</v>
      </c>
      <c r="D38" s="255"/>
      <c r="E38" s="255"/>
      <c r="F38" s="255">
        <f>QTS!F67</f>
        <v>10.697674418604651</v>
      </c>
      <c r="G38" s="255">
        <f>QTS!G67</f>
        <v>11.84873949579832</v>
      </c>
      <c r="H38" s="255">
        <f>QTS!H67</f>
        <v>0</v>
      </c>
      <c r="I38" s="255">
        <f>QTS!I67</f>
        <v>12.743</v>
      </c>
      <c r="J38" s="255">
        <f>QTS!J67</f>
        <v>13.8</v>
      </c>
      <c r="K38" s="255">
        <f>QTS!K67</f>
        <v>14.1</v>
      </c>
      <c r="L38" s="255">
        <f>QTS!L67</f>
        <v>14.6</v>
      </c>
      <c r="M38" s="255">
        <f>QTS!M67</f>
        <v>16</v>
      </c>
      <c r="N38" s="255">
        <f>QTS!N67</f>
        <v>16.521000000000001</v>
      </c>
      <c r="O38" s="255">
        <f>QTS!O67</f>
        <v>17.140999999999998</v>
      </c>
      <c r="P38" s="255">
        <f>QTS!P67</f>
        <v>17.8</v>
      </c>
      <c r="Q38" s="255">
        <f>QTS!Q67</f>
        <v>25.472999999999999</v>
      </c>
      <c r="R38" s="255">
        <f>QTS!R67</f>
        <v>26.2</v>
      </c>
      <c r="S38" s="255">
        <f>QTS!S67</f>
        <v>27.5</v>
      </c>
      <c r="T38" s="255">
        <f>QTS!T67</f>
        <v>27.48</v>
      </c>
      <c r="U38" s="255">
        <f>QTS!U67</f>
        <v>28.872</v>
      </c>
      <c r="V38" s="255">
        <f>QTS!V67</f>
        <v>29.8</v>
      </c>
      <c r="W38" s="255">
        <f>QTS!W67</f>
        <v>30.9</v>
      </c>
      <c r="X38" s="255">
        <f>QTS!X67</f>
        <v>30.4</v>
      </c>
      <c r="Y38" s="255">
        <f>QTS!Y67</f>
        <v>31.690999999999999</v>
      </c>
      <c r="Z38" s="256">
        <f>QTS!Z67</f>
        <v>31.626999999999999</v>
      </c>
      <c r="AA38" s="256">
        <f>QTS!AA67</f>
        <v>31.707999999999998</v>
      </c>
      <c r="AB38" s="258">
        <v>31.707999999999998</v>
      </c>
      <c r="AC38" s="241"/>
      <c r="AD38" s="165"/>
      <c r="AE38" s="143"/>
      <c r="AF38" s="423" t="s">
        <v>328</v>
      </c>
      <c r="AG38" s="426"/>
      <c r="AJ38" s="137" t="s">
        <v>301</v>
      </c>
      <c r="AK38" s="138" t="s">
        <v>416</v>
      </c>
      <c r="AL38" s="138" t="s">
        <v>424</v>
      </c>
      <c r="AM38" s="138" t="s">
        <v>415</v>
      </c>
      <c r="AN38" s="139" t="s">
        <v>252</v>
      </c>
      <c r="AO38" s="139" t="s">
        <v>261</v>
      </c>
      <c r="AR38" s="139" t="s">
        <v>389</v>
      </c>
      <c r="AS38" s="139" t="s">
        <v>390</v>
      </c>
      <c r="AU38" s="366"/>
    </row>
    <row r="39" spans="2:47" ht="15" customHeight="1">
      <c r="B39" s="131"/>
      <c r="C39" s="275" t="s">
        <v>201</v>
      </c>
      <c r="D39" s="179"/>
      <c r="E39" s="179"/>
      <c r="F39" s="179"/>
      <c r="G39" s="179"/>
      <c r="H39" s="179"/>
      <c r="I39" s="179">
        <f>QTS!I340</f>
        <v>522965</v>
      </c>
      <c r="J39" s="179">
        <f>QTS!J340</f>
        <v>548545</v>
      </c>
      <c r="K39" s="179">
        <f>QTS!K340</f>
        <v>485546</v>
      </c>
      <c r="L39" s="179">
        <f>QTS!L340</f>
        <v>501534</v>
      </c>
      <c r="M39" s="179">
        <f>QTS!M340</f>
        <v>557212</v>
      </c>
      <c r="N39" s="179">
        <f>QTS!N340</f>
        <v>686862</v>
      </c>
      <c r="O39" s="179">
        <f>QTS!O340</f>
        <v>698232</v>
      </c>
      <c r="P39" s="179">
        <f>QTS!P340</f>
        <v>726558</v>
      </c>
      <c r="Q39" s="179">
        <f>QTS!Q340</f>
        <v>823526</v>
      </c>
      <c r="R39" s="179">
        <f>QTS!R340</f>
        <v>844410</v>
      </c>
      <c r="S39" s="179">
        <f>QTS!S340</f>
        <v>839356</v>
      </c>
      <c r="T39" s="179">
        <f>QTS!T340</f>
        <v>895511</v>
      </c>
      <c r="U39" s="179">
        <f>QTS!U340</f>
        <v>1012203</v>
      </c>
      <c r="V39" s="179">
        <f>QTS!V340</f>
        <v>1020901</v>
      </c>
      <c r="W39" s="179">
        <f>QTS!W340</f>
        <v>1083708</v>
      </c>
      <c r="X39" s="179">
        <f>QTS!X340</f>
        <v>1084001</v>
      </c>
      <c r="Y39" s="179">
        <f>QTS!Y340</f>
        <v>1112994</v>
      </c>
      <c r="Z39" s="180">
        <f>QTS!Z340</f>
        <v>1111462</v>
      </c>
      <c r="AA39" s="180">
        <f>QTS!AA340</f>
        <v>1116584</v>
      </c>
      <c r="AB39" s="260">
        <v>1116584</v>
      </c>
      <c r="AC39" s="229">
        <f>+AB39-AA39</f>
        <v>0</v>
      </c>
      <c r="AD39" s="165"/>
      <c r="AE39" s="175"/>
      <c r="AF39" s="423"/>
      <c r="AG39" s="427"/>
      <c r="AI39" s="111">
        <v>217.78899999999999</v>
      </c>
      <c r="AJ39" s="137" t="s">
        <v>350</v>
      </c>
      <c r="AK39" s="261" t="s">
        <v>396</v>
      </c>
      <c r="AL39" s="261" t="s">
        <v>396</v>
      </c>
      <c r="AM39" s="261" t="s">
        <v>396</v>
      </c>
      <c r="AN39" s="149">
        <f>QTS!$BF$19</f>
        <v>0.42836874222297716</v>
      </c>
      <c r="AO39" s="191">
        <f>309.93/AI39-1</f>
        <v>0.42307462727685974</v>
      </c>
      <c r="AP39" s="149"/>
      <c r="AR39" s="149">
        <f>+QTS!BG19</f>
        <v>0.29342651318136981</v>
      </c>
      <c r="AS39" s="149"/>
      <c r="AT39" s="366"/>
      <c r="AU39" s="366"/>
    </row>
    <row r="40" spans="2:47" ht="15" customHeight="1" outlineLevel="1">
      <c r="B40" s="131"/>
      <c r="C40" s="275" t="s">
        <v>276</v>
      </c>
      <c r="D40" s="181"/>
      <c r="E40" s="181"/>
      <c r="F40" s="181"/>
      <c r="G40" s="181"/>
      <c r="H40" s="181"/>
      <c r="I40" s="181">
        <f>QTS!I338</f>
        <v>0.81</v>
      </c>
      <c r="J40" s="181">
        <f>QTS!J338</f>
        <v>0.89600000000000002</v>
      </c>
      <c r="K40" s="181">
        <f>QTS!K338</f>
        <v>0.91500000000000004</v>
      </c>
      <c r="L40" s="181">
        <f>QTS!L338</f>
        <v>0.92600000000000005</v>
      </c>
      <c r="M40" s="181">
        <f>QTS!M338</f>
        <v>0.90400000000000003</v>
      </c>
      <c r="N40" s="181">
        <f>QTS!N338</f>
        <v>0.83888175499590889</v>
      </c>
      <c r="O40" s="181">
        <f>QTS!O338</f>
        <v>0.85</v>
      </c>
      <c r="P40" s="181">
        <f>QTS!P338</f>
        <v>0.83048428342954039</v>
      </c>
      <c r="Q40" s="181">
        <f>QTS!Q338</f>
        <v>0.84180220175197873</v>
      </c>
      <c r="R40" s="181">
        <f>QTS!R338</f>
        <v>0.87111000580286824</v>
      </c>
      <c r="S40" s="181">
        <f>QTS!S338</f>
        <v>0.90684524802348465</v>
      </c>
      <c r="T40" s="181">
        <f>QTS!T338</f>
        <v>0.8761790754105756</v>
      </c>
      <c r="U40" s="181">
        <f>QTS!U338</f>
        <v>0.87974151430098513</v>
      </c>
      <c r="V40" s="181">
        <f>QTS!V338</f>
        <v>0.88628378265865149</v>
      </c>
      <c r="W40" s="181">
        <f>QTS!W338</f>
        <v>0.88201249783151914</v>
      </c>
      <c r="X40" s="181">
        <f>QTS!X338</f>
        <v>0.87578793746500239</v>
      </c>
      <c r="Y40" s="181">
        <f>QTS!Y338</f>
        <v>0.86999121289063552</v>
      </c>
      <c r="Z40" s="182">
        <f>QTS!Z338</f>
        <v>0.87373567427406429</v>
      </c>
      <c r="AA40" s="182">
        <f>QTS!AA338</f>
        <v>0.86852131142842814</v>
      </c>
      <c r="AB40" s="259">
        <v>0.874</v>
      </c>
      <c r="AC40" s="239">
        <f>-(AB40-AA40)*10000</f>
        <v>-54.786885715718547</v>
      </c>
      <c r="AD40" s="165"/>
      <c r="AE40" s="175"/>
      <c r="AF40" s="423"/>
      <c r="AG40" s="427"/>
      <c r="AI40" s="257">
        <v>96.5</v>
      </c>
      <c r="AJ40" s="137" t="s">
        <v>19</v>
      </c>
      <c r="AK40" s="145" t="s">
        <v>425</v>
      </c>
      <c r="AL40" s="145" t="s">
        <v>392</v>
      </c>
      <c r="AM40" s="145" t="s">
        <v>392</v>
      </c>
      <c r="AN40" s="146">
        <f>+QTS!BF113</f>
        <v>140.03999999999996</v>
      </c>
      <c r="AO40" s="145">
        <v>132.44</v>
      </c>
      <c r="AP40" s="146"/>
      <c r="AQ40" s="321"/>
      <c r="AR40" s="146">
        <f>+QTS!BG108</f>
        <v>162.65100000000007</v>
      </c>
      <c r="AS40" s="146"/>
      <c r="AT40" s="366"/>
    </row>
    <row r="41" spans="2:47" ht="15" customHeight="1">
      <c r="B41" s="131"/>
      <c r="C41" s="275" t="s">
        <v>108</v>
      </c>
      <c r="D41" s="181"/>
      <c r="E41" s="181"/>
      <c r="F41" s="276"/>
      <c r="G41" s="276"/>
      <c r="H41" s="276">
        <f>QTS!H35</f>
        <v>7.0000000000000001E-3</v>
      </c>
      <c r="I41" s="276">
        <f>QTS!I35</f>
        <v>8.0000000000000002E-3</v>
      </c>
      <c r="J41" s="276">
        <f>QTS!J35</f>
        <v>1.2999999999999999E-2</v>
      </c>
      <c r="K41" s="276">
        <f>QTS!K35</f>
        <v>2.3E-2</v>
      </c>
      <c r="L41" s="276">
        <f>QTS!L35</f>
        <v>1.4E-2</v>
      </c>
      <c r="M41" s="276">
        <f>QTS!M35</f>
        <v>1.9E-2</v>
      </c>
      <c r="N41" s="276">
        <f>QTS!N35</f>
        <v>1.0999999999999999E-2</v>
      </c>
      <c r="O41" s="276">
        <f>QTS!O35</f>
        <v>1.0999999999999999E-2</v>
      </c>
      <c r="P41" s="276">
        <f>QTS!P35</f>
        <v>4.0000000000000001E-3</v>
      </c>
      <c r="Q41" s="276">
        <f>QTS!Q35</f>
        <v>4.0000000000000001E-3</v>
      </c>
      <c r="R41" s="276">
        <f>QTS!R35</f>
        <v>8.0000000000000002E-3</v>
      </c>
      <c r="S41" s="276">
        <f>QTS!S35</f>
        <v>2.1999999999999999E-2</v>
      </c>
      <c r="T41" s="276">
        <f>QTS!T35</f>
        <v>2.3E-2</v>
      </c>
      <c r="U41" s="276">
        <f>QTS!U35</f>
        <v>1.2999999999999999E-2</v>
      </c>
      <c r="V41" s="276">
        <f>QTS!V35</f>
        <v>1.0999999999999999E-2</v>
      </c>
      <c r="W41" s="276">
        <f>QTS!W35</f>
        <v>7.0000000000000001E-3</v>
      </c>
      <c r="X41" s="276">
        <f>QTS!X35</f>
        <v>3.3000000000000002E-2</v>
      </c>
      <c r="Y41" s="276">
        <f>QTS!Y35</f>
        <v>0.01</v>
      </c>
      <c r="Z41" s="277">
        <f>QTS!Z35</f>
        <v>1.2999999999999999E-2</v>
      </c>
      <c r="AA41" s="277">
        <f>QTS!AA35</f>
        <v>2.8000000000000001E-2</v>
      </c>
      <c r="AB41" s="278">
        <v>2.8000000000000001E-2</v>
      </c>
      <c r="AC41" s="239">
        <f>+(AA41-AB41)*10000</f>
        <v>0</v>
      </c>
      <c r="AD41" s="165"/>
      <c r="AE41" s="143"/>
      <c r="AF41" s="423"/>
      <c r="AG41" s="427"/>
      <c r="AI41" s="257">
        <v>175</v>
      </c>
      <c r="AJ41" s="137" t="s">
        <v>186</v>
      </c>
      <c r="AK41" s="145" t="s">
        <v>428</v>
      </c>
      <c r="AL41" s="145" t="s">
        <v>419</v>
      </c>
      <c r="AM41" s="145" t="s">
        <v>393</v>
      </c>
      <c r="AN41" s="146">
        <f>-QTS!BF223</f>
        <v>320.05799999999999</v>
      </c>
      <c r="AO41" s="145"/>
      <c r="AP41" s="146"/>
      <c r="AQ41" s="321"/>
      <c r="AR41" s="146">
        <f>-QTS!$BG$223</f>
        <v>279.90499999999997</v>
      </c>
      <c r="AS41" s="146"/>
      <c r="AU41" s="366"/>
    </row>
    <row r="42" spans="2:47" ht="15" customHeight="1">
      <c r="B42" s="131"/>
      <c r="C42" s="342" t="s">
        <v>461</v>
      </c>
      <c r="D42" s="343"/>
      <c r="E42" s="343"/>
      <c r="F42" s="344"/>
      <c r="G42" s="344"/>
      <c r="H42" s="344"/>
      <c r="I42" s="344"/>
      <c r="J42" s="344"/>
      <c r="K42" s="344"/>
      <c r="L42" s="344">
        <f>QTS!L49</f>
        <v>13.492158999999999</v>
      </c>
      <c r="M42" s="344">
        <f>QTS!M49</f>
        <v>21.688735999999999</v>
      </c>
      <c r="N42" s="344">
        <f>QTS!N49</f>
        <v>32.417738</v>
      </c>
      <c r="O42" s="344">
        <f>QTS!O49</f>
        <v>10.717456</v>
      </c>
      <c r="P42" s="344">
        <f>QTS!P49</f>
        <v>27.778290999999999</v>
      </c>
      <c r="Q42" s="344">
        <f>QTS!Q49</f>
        <v>16.734570999999999</v>
      </c>
      <c r="R42" s="344">
        <f>QTS!R49</f>
        <v>12.669407</v>
      </c>
      <c r="S42" s="344">
        <f>QTS!S49</f>
        <v>17.471080000000001</v>
      </c>
      <c r="T42" s="344">
        <f>QTS!T49</f>
        <v>20.503532</v>
      </c>
      <c r="U42" s="344">
        <f>QTS!U49</f>
        <v>25.787118</v>
      </c>
      <c r="V42" s="344">
        <f>QTS!V49</f>
        <v>28.977588000000001</v>
      </c>
      <c r="W42" s="344">
        <f>QTS!W49</f>
        <v>22.705378</v>
      </c>
      <c r="X42" s="344">
        <f>QTS!X49</f>
        <v>14.962595</v>
      </c>
      <c r="Y42" s="344">
        <f>QTS!Y49</f>
        <v>21.177858000000001</v>
      </c>
      <c r="Z42" s="345">
        <f>QTS!Z49</f>
        <v>38.596383000000003</v>
      </c>
      <c r="AA42" s="345">
        <f>QTS!AA49</f>
        <v>18.052596999999999</v>
      </c>
      <c r="AB42" s="346">
        <v>18.052596999999999</v>
      </c>
      <c r="AC42" s="347">
        <f>+AB42-AA42</f>
        <v>0</v>
      </c>
      <c r="AD42" s="348"/>
      <c r="AE42" s="349"/>
      <c r="AF42" s="350" t="s">
        <v>328</v>
      </c>
      <c r="AG42" s="351"/>
      <c r="AH42" s="128"/>
      <c r="AI42" s="257">
        <v>75</v>
      </c>
      <c r="AJ42" s="162" t="s">
        <v>289</v>
      </c>
      <c r="AK42" s="163" t="s">
        <v>426</v>
      </c>
      <c r="AL42" s="163" t="s">
        <v>417</v>
      </c>
      <c r="AM42" s="163" t="s">
        <v>394</v>
      </c>
      <c r="AN42" s="146">
        <f>QTS!BF169</f>
        <v>103.91600000000003</v>
      </c>
      <c r="AO42" s="163"/>
      <c r="AP42" s="146"/>
      <c r="AQ42" s="321"/>
      <c r="AR42" s="146">
        <f>QTS!$BG$169</f>
        <v>140.666</v>
      </c>
      <c r="AS42" s="146"/>
      <c r="AT42" s="366"/>
      <c r="AU42" s="366"/>
    </row>
    <row r="43" spans="2:47" ht="15" customHeight="1">
      <c r="B43" s="131"/>
      <c r="C43" s="298" t="s">
        <v>361</v>
      </c>
      <c r="D43" s="279"/>
      <c r="E43" s="279"/>
      <c r="F43" s="280">
        <f>QTS!F268</f>
        <v>6.6090000000000151</v>
      </c>
      <c r="G43" s="280">
        <f>QTS!G268</f>
        <v>8.2319999999999993</v>
      </c>
      <c r="H43" s="280"/>
      <c r="I43" s="280">
        <f>QTS!I268</f>
        <v>4.7</v>
      </c>
      <c r="J43" s="280">
        <f>QTS!J268</f>
        <v>6.5039999999999996</v>
      </c>
      <c r="K43" s="280">
        <f>QTS!K268</f>
        <v>5.21</v>
      </c>
      <c r="L43" s="280">
        <f>QTS!L268</f>
        <v>7.9279999999999999</v>
      </c>
      <c r="M43" s="280">
        <f>QTS!M268</f>
        <v>7.4890000000000061</v>
      </c>
      <c r="N43" s="280">
        <f>QTS!N268</f>
        <v>5.044999999999968</v>
      </c>
      <c r="O43" s="280">
        <f>QTS!O268</f>
        <v>10.787999999999963</v>
      </c>
      <c r="P43" s="280">
        <f>QTS!P268</f>
        <v>5.747999999999978</v>
      </c>
      <c r="Q43" s="280">
        <f>QTS!Q268</f>
        <v>10.743999999999991</v>
      </c>
      <c r="R43" s="280">
        <f>QTS!R268</f>
        <v>10.730000000000002</v>
      </c>
      <c r="S43" s="280">
        <f>QTS!S268</f>
        <v>8.8040000000000216</v>
      </c>
      <c r="T43" s="280">
        <f>QTS!T268</f>
        <v>9.7440000000000317</v>
      </c>
      <c r="U43" s="280">
        <f>QTS!U268</f>
        <v>12.776000000000028</v>
      </c>
      <c r="V43" s="280">
        <f>QTS!V268</f>
        <v>11.769000000000023</v>
      </c>
      <c r="W43" s="280">
        <f>QTS!W268</f>
        <v>9.5800000000000018</v>
      </c>
      <c r="X43" s="280">
        <f>QTS!X268</f>
        <v>18.257000000000019</v>
      </c>
      <c r="Y43" s="280">
        <f>QTS!Y268</f>
        <v>42.603999999999985</v>
      </c>
      <c r="Z43" s="281">
        <f>QTS!Z268</f>
        <v>9.2709999999999724</v>
      </c>
      <c r="AA43" s="281">
        <f>QTS!AA268</f>
        <v>8.2429999999999382</v>
      </c>
      <c r="AB43" s="290">
        <v>8.2430000000000003</v>
      </c>
      <c r="AC43" s="282">
        <f>+AB43-AA43</f>
        <v>6.2172489379008766E-14</v>
      </c>
      <c r="AD43" s="283"/>
      <c r="AE43" s="316"/>
      <c r="AF43" s="284"/>
      <c r="AG43" s="285"/>
      <c r="AH43" s="128"/>
      <c r="AJ43" s="162" t="s">
        <v>346</v>
      </c>
      <c r="AK43" s="163" t="s">
        <v>427</v>
      </c>
      <c r="AL43" s="163" t="s">
        <v>418</v>
      </c>
      <c r="AM43" s="163" t="s">
        <v>395</v>
      </c>
      <c r="AN43" s="164">
        <f>+QTS!BF170</f>
        <v>2.2396650374248979</v>
      </c>
      <c r="AO43" s="163">
        <v>2.2400000000000002</v>
      </c>
      <c r="AP43" s="164"/>
      <c r="AQ43" s="321"/>
      <c r="AR43" s="164">
        <f>+QTS!BG170</f>
        <v>2.6099802852503151</v>
      </c>
      <c r="AS43" s="164"/>
      <c r="AT43" s="366"/>
      <c r="AU43" s="366"/>
    </row>
    <row r="44" spans="2:47" ht="15" customHeight="1">
      <c r="C44" s="183" t="s">
        <v>360</v>
      </c>
      <c r="D44" s="184"/>
      <c r="E44" s="184"/>
      <c r="F44" s="184"/>
      <c r="G44" s="184"/>
      <c r="H44" s="184"/>
      <c r="I44" s="184"/>
      <c r="J44" s="184"/>
      <c r="K44" s="184"/>
      <c r="L44" s="184"/>
      <c r="M44" s="184"/>
      <c r="N44" s="184"/>
      <c r="O44" s="184"/>
      <c r="P44" s="184"/>
      <c r="Q44" s="184"/>
      <c r="R44" s="184"/>
      <c r="S44" s="184"/>
      <c r="T44" s="184"/>
      <c r="U44" s="184"/>
      <c r="V44" s="184"/>
      <c r="W44" s="184"/>
      <c r="X44" s="184"/>
      <c r="Y44" s="184"/>
      <c r="Z44" s="184"/>
      <c r="AA44" s="184"/>
      <c r="AB44" s="184"/>
      <c r="AC44" s="185"/>
      <c r="AD44" s="184"/>
      <c r="AE44" s="184"/>
      <c r="AF44" s="186"/>
      <c r="AG44" s="187"/>
      <c r="AJ44" s="162" t="s">
        <v>105</v>
      </c>
      <c r="AK44" s="163" t="s">
        <v>429</v>
      </c>
      <c r="AL44" s="163" t="s">
        <v>351</v>
      </c>
      <c r="AM44" s="163" t="s">
        <v>351</v>
      </c>
      <c r="AN44" s="262">
        <f>QTS!BF39</f>
        <v>3.8881347716000103E-2</v>
      </c>
      <c r="AO44" s="163"/>
      <c r="AP44" s="262"/>
      <c r="AQ44" s="321"/>
      <c r="AR44" s="164">
        <f>QTS!$BG$182</f>
        <v>2.4852008810627124</v>
      </c>
      <c r="AS44" s="164"/>
      <c r="AT44" s="366"/>
      <c r="AU44" s="366"/>
    </row>
    <row r="45" spans="2:47">
      <c r="C45" s="188"/>
      <c r="D45" s="128"/>
      <c r="E45" s="128"/>
      <c r="F45" s="128"/>
      <c r="G45" s="128"/>
      <c r="H45" s="128"/>
      <c r="I45" s="128"/>
      <c r="J45" s="128"/>
      <c r="K45" s="128"/>
      <c r="L45" s="128"/>
      <c r="M45" s="128"/>
      <c r="N45" s="128"/>
      <c r="O45" s="128"/>
      <c r="P45" s="128"/>
      <c r="Q45" s="128"/>
      <c r="R45" s="128"/>
      <c r="S45" s="128"/>
      <c r="T45" s="128"/>
      <c r="U45" s="128"/>
      <c r="V45" s="128"/>
      <c r="W45" s="128"/>
      <c r="Y45" s="128"/>
      <c r="Z45" s="128"/>
      <c r="AA45" s="128"/>
      <c r="AB45" s="128"/>
      <c r="AC45" s="128"/>
      <c r="AD45" s="128"/>
      <c r="AE45" s="128"/>
      <c r="AF45" s="128"/>
      <c r="AG45" s="128"/>
      <c r="AH45" s="128"/>
      <c r="AT45" s="366"/>
      <c r="AU45" s="366"/>
    </row>
    <row r="46" spans="2:47">
      <c r="C46" s="188"/>
      <c r="D46" s="128"/>
      <c r="E46" s="128"/>
      <c r="F46" s="128"/>
      <c r="G46" s="128"/>
      <c r="H46" s="128"/>
      <c r="I46" s="128"/>
      <c r="J46" s="128"/>
      <c r="K46" s="128"/>
      <c r="L46" s="128"/>
      <c r="M46" s="128"/>
      <c r="N46" s="128"/>
      <c r="O46" s="128"/>
      <c r="P46" s="128"/>
      <c r="Q46" s="128"/>
      <c r="R46" s="128"/>
      <c r="S46" s="128"/>
      <c r="T46" s="128"/>
      <c r="U46" s="128"/>
      <c r="V46" s="128"/>
      <c r="W46" s="128"/>
      <c r="Y46" s="128"/>
      <c r="Z46" s="128"/>
      <c r="AA46" s="128"/>
      <c r="AB46" s="128"/>
      <c r="AC46" s="128"/>
      <c r="AD46" s="128"/>
      <c r="AE46" s="128"/>
      <c r="AF46" s="128"/>
      <c r="AG46" s="128"/>
      <c r="AH46" s="128"/>
      <c r="AR46" s="128"/>
      <c r="AS46" s="128"/>
      <c r="AT46" s="366"/>
      <c r="AU46" s="366"/>
    </row>
    <row r="47" spans="2:47">
      <c r="C47" s="188"/>
      <c r="D47" s="128"/>
      <c r="E47" s="128"/>
      <c r="F47" s="128"/>
      <c r="G47" s="128"/>
      <c r="H47" s="128"/>
      <c r="I47" s="128"/>
      <c r="J47" s="128"/>
      <c r="K47" s="128"/>
      <c r="L47" s="128"/>
      <c r="M47" s="128"/>
      <c r="N47" s="128"/>
      <c r="O47" s="128"/>
      <c r="P47" s="128"/>
      <c r="Q47" s="128"/>
      <c r="R47" s="128"/>
      <c r="S47" s="128"/>
      <c r="T47" s="128"/>
      <c r="U47" s="128"/>
      <c r="V47" s="128"/>
      <c r="W47" s="128"/>
      <c r="Y47" s="128"/>
      <c r="Z47" s="128"/>
      <c r="AA47" s="128"/>
      <c r="AB47" s="128"/>
      <c r="AC47" s="128"/>
      <c r="AD47" s="128"/>
      <c r="AE47" s="128"/>
      <c r="AF47" s="128"/>
      <c r="AG47" s="128"/>
      <c r="AH47" s="128"/>
      <c r="AI47" s="138" t="s">
        <v>302</v>
      </c>
      <c r="AJ47" s="129" t="s">
        <v>342</v>
      </c>
      <c r="AK47" s="129"/>
      <c r="AL47" s="130"/>
      <c r="AM47" s="130"/>
      <c r="AN47" s="130"/>
      <c r="AS47" s="128"/>
      <c r="AT47" s="366"/>
      <c r="AU47" s="366"/>
    </row>
    <row r="48" spans="2:47">
      <c r="C48" s="189" t="s">
        <v>277</v>
      </c>
      <c r="X48" s="111"/>
      <c r="AH48" s="128"/>
      <c r="AJ48" s="137" t="s">
        <v>301</v>
      </c>
      <c r="AK48" s="138" t="s">
        <v>383</v>
      </c>
      <c r="AL48" s="138" t="s">
        <v>382</v>
      </c>
      <c r="AM48" s="139" t="s">
        <v>252</v>
      </c>
      <c r="AN48" s="140" t="s">
        <v>261</v>
      </c>
      <c r="AR48" s="128"/>
      <c r="AS48" s="128"/>
      <c r="AT48" s="366"/>
    </row>
    <row r="49" spans="24:47">
      <c r="X49" s="111"/>
      <c r="AH49" s="128"/>
      <c r="AJ49" s="137" t="s">
        <v>350</v>
      </c>
      <c r="AK49" s="261" t="s">
        <v>349</v>
      </c>
      <c r="AL49" s="261" t="s">
        <v>349</v>
      </c>
      <c r="AM49" s="149">
        <f>+QTS!BE87</f>
        <v>0.22431093896687226</v>
      </c>
      <c r="AN49" s="191">
        <f>213.68/QTS!BD18-1</f>
        <v>0.20121200537419837</v>
      </c>
      <c r="AR49" s="128"/>
      <c r="AU49" s="366"/>
    </row>
    <row r="50" spans="24:47">
      <c r="X50" s="111"/>
      <c r="AI50" s="257">
        <v>99</v>
      </c>
      <c r="AJ50" s="137" t="s">
        <v>19</v>
      </c>
      <c r="AK50" s="145" t="s">
        <v>384</v>
      </c>
      <c r="AL50" s="145" t="s">
        <v>344</v>
      </c>
      <c r="AM50" s="146">
        <f>+QTS!BE113</f>
        <v>100.02499999999998</v>
      </c>
      <c r="AN50" s="145">
        <v>97.5</v>
      </c>
      <c r="AR50" s="128"/>
      <c r="AS50" s="128"/>
      <c r="AT50" s="366"/>
    </row>
    <row r="51" spans="24:47">
      <c r="X51" s="111"/>
      <c r="AI51" s="257">
        <v>175</v>
      </c>
      <c r="AJ51" s="137" t="s">
        <v>186</v>
      </c>
      <c r="AK51" s="145" t="s">
        <v>385</v>
      </c>
      <c r="AL51" s="145" t="s">
        <v>352</v>
      </c>
      <c r="AM51" s="146">
        <f>-QTS!$BE$223</f>
        <v>201.14500000000001</v>
      </c>
      <c r="AN51" s="145"/>
      <c r="AO51" s="112"/>
      <c r="AR51" s="128"/>
      <c r="AS51" s="128"/>
      <c r="AT51" s="366"/>
    </row>
    <row r="52" spans="24:47">
      <c r="X52" s="111"/>
      <c r="AH52" s="128"/>
      <c r="AI52" s="257">
        <v>75</v>
      </c>
      <c r="AJ52" s="162" t="s">
        <v>289</v>
      </c>
      <c r="AK52" s="163" t="s">
        <v>345</v>
      </c>
      <c r="AL52" s="163" t="s">
        <v>345</v>
      </c>
      <c r="AM52" s="146">
        <f>QTS!$BE$169</f>
        <v>74.144999999999996</v>
      </c>
      <c r="AN52" s="163"/>
      <c r="AO52" s="268"/>
      <c r="AR52" s="128"/>
      <c r="AS52" s="128"/>
      <c r="AT52" s="366"/>
    </row>
    <row r="53" spans="24:47">
      <c r="X53" s="111"/>
      <c r="AH53" s="128"/>
      <c r="AJ53" s="162" t="s">
        <v>346</v>
      </c>
      <c r="AK53" s="163" t="s">
        <v>347</v>
      </c>
      <c r="AL53" s="163" t="s">
        <v>347</v>
      </c>
      <c r="AM53" s="164">
        <f>+QTS!BE170</f>
        <v>1.997354982146283</v>
      </c>
      <c r="AN53" s="163">
        <v>1.96</v>
      </c>
      <c r="AR53" s="128"/>
      <c r="AS53" s="128"/>
      <c r="AT53" s="366"/>
    </row>
    <row r="54" spans="24:47">
      <c r="X54" s="111"/>
      <c r="AH54" s="128"/>
      <c r="AJ54" s="162" t="s">
        <v>105</v>
      </c>
      <c r="AK54" s="163" t="s">
        <v>351</v>
      </c>
      <c r="AL54" s="163" t="s">
        <v>351</v>
      </c>
      <c r="AM54" s="262">
        <f>QTS!$BE$39</f>
        <v>5.6210814504749906E-2</v>
      </c>
      <c r="AN54" s="163"/>
      <c r="AR54" s="128"/>
      <c r="AS54" s="128"/>
      <c r="AT54" s="366"/>
    </row>
    <row r="55" spans="24:47">
      <c r="X55" s="111"/>
      <c r="AH55" s="128"/>
      <c r="AJ55" s="162"/>
      <c r="AK55" s="162"/>
      <c r="AL55" s="163"/>
      <c r="AM55" s="262"/>
      <c r="AN55" s="163"/>
      <c r="AS55" s="128"/>
      <c r="AT55" s="366"/>
    </row>
    <row r="56" spans="24:47">
      <c r="X56" s="111"/>
      <c r="AH56" s="128"/>
      <c r="AR56" s="128"/>
      <c r="AS56" s="128"/>
      <c r="AT56" s="366"/>
    </row>
    <row r="57" spans="24:47">
      <c r="X57" s="111"/>
      <c r="AH57" s="128"/>
    </row>
    <row r="58" spans="24:47">
      <c r="X58" s="111"/>
      <c r="AH58" s="128"/>
      <c r="AI58" s="128"/>
      <c r="AJ58" s="129" t="s">
        <v>343</v>
      </c>
      <c r="AK58" s="129"/>
      <c r="AL58" s="130"/>
      <c r="AM58" s="130"/>
      <c r="AN58" s="130"/>
      <c r="AS58" s="128"/>
      <c r="AT58" s="366"/>
    </row>
    <row r="59" spans="24:47">
      <c r="AI59" s="138"/>
      <c r="AJ59" s="137" t="s">
        <v>301</v>
      </c>
      <c r="AK59" s="137"/>
      <c r="AL59" s="138" t="s">
        <v>184</v>
      </c>
      <c r="AM59" s="139" t="s">
        <v>252</v>
      </c>
      <c r="AN59" s="140" t="s">
        <v>261</v>
      </c>
      <c r="AO59" s="141">
        <v>2012</v>
      </c>
    </row>
    <row r="60" spans="24:47">
      <c r="AH60" s="128"/>
      <c r="AJ60" s="137" t="s">
        <v>265</v>
      </c>
      <c r="AK60" s="137"/>
      <c r="AM60" s="146">
        <f>+QTS!BD86</f>
        <v>177.887</v>
      </c>
      <c r="AN60" s="145"/>
      <c r="AO60" s="146">
        <f>+QTS!BC86</f>
        <v>145.75899999999999</v>
      </c>
    </row>
    <row r="61" spans="24:47">
      <c r="AJ61" s="147" t="s">
        <v>267</v>
      </c>
      <c r="AK61" s="147"/>
      <c r="AM61" s="149">
        <f>+AM60/AO60-1</f>
        <v>0.22041863624201596</v>
      </c>
      <c r="AN61" s="149"/>
      <c r="AO61" s="149"/>
    </row>
    <row r="62" spans="24:47">
      <c r="AI62" s="145"/>
      <c r="AJ62" s="137" t="s">
        <v>19</v>
      </c>
      <c r="AK62" s="137"/>
      <c r="AL62" s="145"/>
      <c r="AM62" s="146">
        <f>+QTS!BD113</f>
        <v>78.646999999999991</v>
      </c>
      <c r="AN62" s="145"/>
      <c r="AO62" s="146">
        <f>+QTS!BC113</f>
        <v>55.533000000000001</v>
      </c>
      <c r="AP62" s="145"/>
      <c r="AQ62" s="112"/>
    </row>
    <row r="63" spans="24:47">
      <c r="AI63" s="206"/>
      <c r="AJ63" s="147" t="s">
        <v>269</v>
      </c>
      <c r="AK63" s="147"/>
      <c r="AL63" s="128"/>
      <c r="AM63" s="149">
        <f>+AM62/AM60</f>
        <v>0.44211774890801459</v>
      </c>
      <c r="AN63" s="149"/>
      <c r="AO63" s="149">
        <f>+AO62/AO60</f>
        <v>0.38099191130564841</v>
      </c>
      <c r="AP63" s="148"/>
      <c r="AQ63" s="128"/>
    </row>
    <row r="64" spans="24:47">
      <c r="AI64" s="207"/>
      <c r="AJ64" s="137" t="s">
        <v>186</v>
      </c>
      <c r="AK64" s="137"/>
      <c r="AM64" s="146">
        <f>-QTS!BD223</f>
        <v>147.66399999999999</v>
      </c>
      <c r="AN64" s="145"/>
      <c r="AO64" s="146">
        <f>-QTS!BC223</f>
        <v>133.226</v>
      </c>
      <c r="AP64" s="145"/>
      <c r="AQ64" s="128"/>
    </row>
    <row r="65" spans="34:49">
      <c r="AI65" s="206"/>
      <c r="AJ65" s="147" t="s">
        <v>271</v>
      </c>
      <c r="AK65" s="147"/>
      <c r="AL65" s="128"/>
      <c r="AM65" s="149">
        <f>+AM64/AM60</f>
        <v>0.83010000730801003</v>
      </c>
      <c r="AN65" s="149"/>
      <c r="AO65" s="149">
        <f>+AO64/AO60</f>
        <v>0.91401560109495816</v>
      </c>
      <c r="AP65" s="149"/>
    </row>
    <row r="66" spans="34:49">
      <c r="AI66" s="145"/>
      <c r="AJ66" s="162" t="s">
        <v>289</v>
      </c>
      <c r="AK66" s="162"/>
      <c r="AL66" s="145"/>
      <c r="AM66" s="146">
        <f>QTS!$BD$169</f>
        <v>49.46</v>
      </c>
      <c r="AN66" s="163"/>
      <c r="AO66" s="164">
        <f>+QTS!BC170</f>
        <v>0</v>
      </c>
      <c r="AP66" s="145"/>
      <c r="AQ66" s="128"/>
      <c r="AU66" s="374"/>
      <c r="AV66" s="417" t="s">
        <v>493</v>
      </c>
      <c r="AW66" s="418"/>
    </row>
    <row r="67" spans="34:49">
      <c r="AI67" s="128"/>
      <c r="AJ67" s="162"/>
      <c r="AK67" s="162"/>
      <c r="AL67" s="128"/>
      <c r="AM67" s="164"/>
      <c r="AN67" s="163"/>
      <c r="AO67" s="164">
        <f>+QTS!BC182</f>
        <v>0</v>
      </c>
      <c r="AP67" s="149"/>
      <c r="AQ67" s="128"/>
      <c r="AU67" s="367" t="s">
        <v>499</v>
      </c>
    </row>
    <row r="68" spans="34:49">
      <c r="AI68" s="128"/>
      <c r="AO68" s="128"/>
      <c r="AP68" s="145"/>
      <c r="AQ68" s="128"/>
      <c r="AU68" s="365">
        <v>37</v>
      </c>
      <c r="AV68" s="368">
        <v>0.128</v>
      </c>
      <c r="AW68" s="365">
        <v>34</v>
      </c>
    </row>
    <row r="69" spans="34:49">
      <c r="AJ69" s="128"/>
      <c r="AK69" s="128"/>
      <c r="AL69" s="128"/>
      <c r="AM69" s="128"/>
      <c r="AN69" s="128"/>
      <c r="AO69" s="128"/>
      <c r="AP69" s="145"/>
      <c r="AQ69" s="128"/>
      <c r="AU69" s="365">
        <v>85</v>
      </c>
      <c r="AV69" s="368">
        <v>0.04</v>
      </c>
      <c r="AW69" s="365">
        <v>82</v>
      </c>
    </row>
    <row r="70" spans="34:49">
      <c r="AH70" s="128"/>
      <c r="AI70" s="128"/>
      <c r="AJ70" s="128"/>
      <c r="AK70" s="128"/>
      <c r="AL70" s="128"/>
      <c r="AM70" s="128"/>
      <c r="AN70" s="128"/>
      <c r="AP70" s="145"/>
      <c r="AU70" s="365">
        <v>84</v>
      </c>
      <c r="AV70" s="368">
        <v>3.5999999999999997E-2</v>
      </c>
      <c r="AW70" s="365">
        <v>57</v>
      </c>
    </row>
    <row r="71" spans="34:49">
      <c r="AH71" s="128"/>
      <c r="AI71" s="128"/>
      <c r="AJ71" s="128"/>
      <c r="AK71" s="128"/>
      <c r="AL71" s="128"/>
      <c r="AM71" s="128"/>
      <c r="AN71" s="128"/>
      <c r="AO71" s="128"/>
      <c r="AP71" s="163"/>
      <c r="AQ71" s="128"/>
      <c r="AU71" s="365">
        <v>19</v>
      </c>
      <c r="AV71" s="368">
        <v>3.3000000000000002E-2</v>
      </c>
      <c r="AW71" s="365">
        <v>81</v>
      </c>
    </row>
    <row r="72" spans="34:49">
      <c r="AH72" s="128"/>
      <c r="AI72" s="128"/>
      <c r="AJ72" s="128"/>
      <c r="AK72" s="128"/>
      <c r="AL72" s="128"/>
      <c r="AM72" s="128"/>
      <c r="AN72" s="128"/>
      <c r="AO72" s="128"/>
      <c r="AP72" s="128"/>
      <c r="AQ72" s="128"/>
      <c r="AU72" s="365">
        <v>60</v>
      </c>
      <c r="AV72" s="368">
        <v>3.2000000000000001E-2</v>
      </c>
      <c r="AW72" s="365">
        <v>27</v>
      </c>
    </row>
    <row r="73" spans="34:49">
      <c r="AH73" s="128"/>
      <c r="AI73" s="128"/>
      <c r="AJ73" s="128"/>
      <c r="AK73" s="128"/>
      <c r="AL73" s="128"/>
      <c r="AM73" s="128"/>
      <c r="AN73" s="128"/>
      <c r="AO73" s="128"/>
      <c r="AP73" s="128"/>
      <c r="AQ73" s="128"/>
      <c r="AU73" s="365">
        <v>12</v>
      </c>
      <c r="AV73" s="368">
        <v>2.5000000000000001E-2</v>
      </c>
      <c r="AW73" s="365">
        <v>16</v>
      </c>
    </row>
    <row r="74" spans="34:49">
      <c r="AH74" s="128"/>
      <c r="AI74" s="128"/>
      <c r="AJ74" s="129" t="s">
        <v>290</v>
      </c>
      <c r="AK74" s="129"/>
      <c r="AL74" s="130"/>
      <c r="AM74" s="130"/>
      <c r="AN74" s="130"/>
      <c r="AP74" s="128"/>
      <c r="AQ74" s="128"/>
      <c r="AU74" s="365">
        <v>7</v>
      </c>
      <c r="AV74" s="368">
        <v>2.3E-2</v>
      </c>
      <c r="AW74" s="365">
        <v>10</v>
      </c>
    </row>
    <row r="75" spans="34:49">
      <c r="AI75" s="138" t="s">
        <v>302</v>
      </c>
      <c r="AJ75" s="137"/>
      <c r="AK75" s="137"/>
      <c r="AL75" s="138" t="s">
        <v>184</v>
      </c>
      <c r="AM75" s="139" t="s">
        <v>252</v>
      </c>
      <c r="AN75" s="140" t="s">
        <v>261</v>
      </c>
      <c r="AO75" s="141" t="s">
        <v>278</v>
      </c>
      <c r="AP75" s="128"/>
      <c r="AQ75" s="128"/>
      <c r="AT75" s="373" t="s">
        <v>489</v>
      </c>
      <c r="AU75" s="365">
        <v>8</v>
      </c>
      <c r="AV75" s="368">
        <v>2.1999999999999999E-2</v>
      </c>
      <c r="AW75" s="365">
        <v>9</v>
      </c>
    </row>
    <row r="76" spans="34:49">
      <c r="AJ76" s="137" t="s">
        <v>265</v>
      </c>
      <c r="AK76" s="137"/>
      <c r="AL76" s="145"/>
      <c r="AM76" s="146">
        <f>+QTS!K86</f>
        <v>47.429000000000002</v>
      </c>
      <c r="AN76" s="145"/>
      <c r="AO76" s="146">
        <f>+AB11</f>
        <v>118.91099999999999</v>
      </c>
      <c r="AP76" s="128"/>
      <c r="AQ76" s="128"/>
      <c r="AT76" s="367" t="s">
        <v>498</v>
      </c>
      <c r="AU76" s="365">
        <v>9</v>
      </c>
      <c r="AV76" s="368">
        <v>1.4999999999999999E-2</v>
      </c>
      <c r="AW76" s="365">
        <v>17</v>
      </c>
    </row>
    <row r="77" spans="34:49">
      <c r="AJ77" s="147" t="s">
        <v>291</v>
      </c>
      <c r="AK77" s="147"/>
      <c r="AL77" s="191"/>
      <c r="AM77" s="149">
        <f>+AM76/AO76-1</f>
        <v>-0.60113866673394378</v>
      </c>
      <c r="AN77" s="149"/>
      <c r="AO77" s="149">
        <f>+AA13</f>
        <v>4.5215220582418336E-2</v>
      </c>
      <c r="AP77" s="128"/>
      <c r="AQ77" s="128"/>
      <c r="AS77" s="111">
        <v>1</v>
      </c>
      <c r="AT77" s="368">
        <v>0.13200000000000001</v>
      </c>
      <c r="AU77" s="365">
        <v>10</v>
      </c>
      <c r="AV77" s="368">
        <v>1.2999999999999999E-2</v>
      </c>
      <c r="AW77" s="365">
        <v>3</v>
      </c>
    </row>
    <row r="78" spans="34:49">
      <c r="AI78" s="145">
        <v>21</v>
      </c>
      <c r="AJ78" s="137" t="s">
        <v>19</v>
      </c>
      <c r="AK78" s="137"/>
      <c r="AL78" s="145" t="s">
        <v>292</v>
      </c>
      <c r="AM78" s="146">
        <f>+QTS!K113</f>
        <v>21.228000000000002</v>
      </c>
      <c r="AN78" s="145">
        <v>20.76</v>
      </c>
      <c r="AO78" s="146">
        <f>+QTS!J113</f>
        <v>19.694000000000006</v>
      </c>
      <c r="AP78" s="128"/>
      <c r="AS78" s="111">
        <f>+AS77+1</f>
        <v>2</v>
      </c>
      <c r="AT78" s="368">
        <v>4.2000000000000003E-2</v>
      </c>
      <c r="AU78" s="365">
        <v>40</v>
      </c>
      <c r="AV78" s="368">
        <f>SUM(AV68:AV77)</f>
        <v>0.3670000000000001</v>
      </c>
      <c r="AW78" s="365">
        <v>39</v>
      </c>
    </row>
    <row r="79" spans="34:49">
      <c r="AI79" s="206"/>
      <c r="AJ79" s="147" t="s">
        <v>269</v>
      </c>
      <c r="AK79" s="147"/>
      <c r="AL79" s="191"/>
      <c r="AM79" s="149">
        <f>+AM78/AM76</f>
        <v>0.44757426890720869</v>
      </c>
      <c r="AN79" s="149"/>
      <c r="AO79" s="149">
        <f>+AO78/AO76</f>
        <v>0.16561966512770063</v>
      </c>
      <c r="AQ79" s="128"/>
      <c r="AS79" s="111">
        <f t="shared" ref="AS79:AS86" si="51">+AS78+1</f>
        <v>3</v>
      </c>
      <c r="AT79" s="368">
        <v>3.4000000000000002E-2</v>
      </c>
      <c r="AV79" s="368">
        <f>+AV77+AV75+AV74</f>
        <v>5.7999999999999996E-2</v>
      </c>
    </row>
    <row r="80" spans="34:49">
      <c r="AI80" s="207"/>
      <c r="AJ80" s="137" t="s">
        <v>186</v>
      </c>
      <c r="AK80" s="137"/>
      <c r="AL80" s="145"/>
      <c r="AM80" s="146">
        <f>-SUM(QTS!K222:'QTS'!K223)</f>
        <v>44.739999999999981</v>
      </c>
      <c r="AN80" s="145"/>
      <c r="AO80" s="146">
        <f>+-SUM(QTS!J222:'QTS'!J223)</f>
        <v>37.572000000000003</v>
      </c>
      <c r="AP80" s="128"/>
      <c r="AS80" s="111">
        <f t="shared" si="51"/>
        <v>4</v>
      </c>
      <c r="AT80" s="368">
        <v>2.5999999999999999E-2</v>
      </c>
    </row>
    <row r="81" spans="35:46">
      <c r="AI81" s="206"/>
      <c r="AJ81" s="147" t="s">
        <v>271</v>
      </c>
      <c r="AK81" s="147"/>
      <c r="AL81" s="191"/>
      <c r="AM81" s="149">
        <f>+AM80/AM76</f>
        <v>0.94330472917413355</v>
      </c>
      <c r="AN81" s="149"/>
      <c r="AO81" s="149">
        <f>+AO80/AO76</f>
        <v>0.31596740419305203</v>
      </c>
      <c r="AS81" s="111">
        <f t="shared" si="51"/>
        <v>5</v>
      </c>
      <c r="AT81" s="368">
        <v>2.5000000000000001E-2</v>
      </c>
    </row>
    <row r="82" spans="35:46">
      <c r="AI82" s="145">
        <v>15.7</v>
      </c>
      <c r="AJ82" s="162" t="s">
        <v>40</v>
      </c>
      <c r="AK82" s="162"/>
      <c r="AL82" s="145" t="s">
        <v>293</v>
      </c>
      <c r="AM82" s="146">
        <f>QTS!K169</f>
        <v>16.431999999999999</v>
      </c>
      <c r="AN82" s="163"/>
      <c r="AO82" s="146">
        <f>QTS!J169</f>
        <v>13.440000000000007</v>
      </c>
      <c r="AS82" s="111">
        <f t="shared" si="51"/>
        <v>6</v>
      </c>
      <c r="AT82" s="368">
        <v>2.4E-2</v>
      </c>
    </row>
    <row r="83" spans="35:46">
      <c r="AJ83" s="162"/>
      <c r="AK83" s="162"/>
      <c r="AL83" s="128"/>
      <c r="AM83" s="164"/>
      <c r="AN83" s="163"/>
      <c r="AS83" s="111">
        <f t="shared" si="51"/>
        <v>7</v>
      </c>
      <c r="AT83" s="368">
        <v>2.4E-2</v>
      </c>
    </row>
    <row r="84" spans="35:46">
      <c r="AJ84" s="137" t="s">
        <v>40</v>
      </c>
      <c r="AK84" s="137"/>
      <c r="AL84" s="145" t="s">
        <v>293</v>
      </c>
      <c r="AM84" s="146">
        <f>+QTS!K169</f>
        <v>16.431999999999999</v>
      </c>
      <c r="AS84" s="111">
        <f t="shared" si="51"/>
        <v>8</v>
      </c>
      <c r="AT84" s="368">
        <v>2.1000000000000001E-2</v>
      </c>
    </row>
    <row r="85" spans="35:46">
      <c r="AO85" s="164"/>
      <c r="AS85" s="111">
        <f t="shared" si="51"/>
        <v>9</v>
      </c>
      <c r="AT85" s="368">
        <v>1.6E-2</v>
      </c>
    </row>
    <row r="86" spans="35:46">
      <c r="AJ86" s="129" t="s">
        <v>290</v>
      </c>
      <c r="AK86" s="129"/>
      <c r="AL86" s="130"/>
      <c r="AS86" s="111">
        <f t="shared" si="51"/>
        <v>10</v>
      </c>
      <c r="AT86" s="368">
        <v>1.2999999999999999E-2</v>
      </c>
    </row>
    <row r="87" spans="35:46">
      <c r="AJ87" s="249" t="s">
        <v>301</v>
      </c>
      <c r="AK87" s="249"/>
      <c r="AL87" s="138" t="s">
        <v>184</v>
      </c>
      <c r="AS87" s="369" t="s">
        <v>500</v>
      </c>
      <c r="AT87" s="368">
        <f>SUM(AT77:AT86)</f>
        <v>0.3570000000000001</v>
      </c>
    </row>
    <row r="88" spans="35:46">
      <c r="AJ88" s="137" t="s">
        <v>19</v>
      </c>
      <c r="AK88" s="137"/>
      <c r="AL88" s="252" t="s">
        <v>292</v>
      </c>
      <c r="AQ88" s="364" t="s">
        <v>497</v>
      </c>
      <c r="AT88" s="368">
        <f>+AT86+AT85+AT84+AT83+AT82</f>
        <v>9.8000000000000004E-2</v>
      </c>
    </row>
    <row r="89" spans="35:46">
      <c r="AJ89" s="111" t="s">
        <v>40</v>
      </c>
      <c r="AL89" s="252" t="s">
        <v>293</v>
      </c>
    </row>
  </sheetData>
  <mergeCells count="17">
    <mergeCell ref="AF8:AF9"/>
    <mergeCell ref="AG8:AG9"/>
    <mergeCell ref="AF11:AF13"/>
    <mergeCell ref="AG11:AG13"/>
    <mergeCell ref="AF15:AF16"/>
    <mergeCell ref="AG15:AG16"/>
    <mergeCell ref="AV66:AW66"/>
    <mergeCell ref="AF22:AF23"/>
    <mergeCell ref="AG22:AG23"/>
    <mergeCell ref="AF26:AF27"/>
    <mergeCell ref="AG26:AG27"/>
    <mergeCell ref="AF38:AF41"/>
    <mergeCell ref="AG38:AG41"/>
    <mergeCell ref="AF28:AF29"/>
    <mergeCell ref="AG28:AG29"/>
    <mergeCell ref="AG30:AG31"/>
    <mergeCell ref="AF30:AF31"/>
  </mergeCells>
  <phoneticPr fontId="46" type="noConversion"/>
  <pageMargins left="0" right="0" top="0" bottom="0" header="0" footer="0"/>
  <pageSetup paperSize="5"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B2:G6"/>
  <sheetViews>
    <sheetView showGridLines="0" workbookViewId="0"/>
  </sheetViews>
  <sheetFormatPr defaultRowHeight="12.75"/>
  <cols>
    <col min="2" max="2" width="15.5703125" bestFit="1" customWidth="1"/>
    <col min="5" max="5" width="1.28515625" customWidth="1"/>
  </cols>
  <sheetData>
    <row r="2" spans="2:7">
      <c r="C2" s="330">
        <v>2016</v>
      </c>
      <c r="D2" s="330"/>
      <c r="F2" s="330">
        <v>2017</v>
      </c>
      <c r="G2" s="330"/>
    </row>
    <row r="3" spans="2:7">
      <c r="C3" s="332" t="s">
        <v>437</v>
      </c>
      <c r="D3" s="332" t="s">
        <v>438</v>
      </c>
      <c r="F3" s="332" t="s">
        <v>437</v>
      </c>
      <c r="G3" s="332" t="s">
        <v>438</v>
      </c>
    </row>
    <row r="4" spans="2:7">
      <c r="B4" t="s">
        <v>364</v>
      </c>
      <c r="C4" s="331">
        <f>+QTS!BG18</f>
        <v>402.36300000000006</v>
      </c>
      <c r="D4" s="331">
        <v>398.89123085100471</v>
      </c>
      <c r="F4" s="331">
        <f>+QTS!BH18</f>
        <v>446.51000000000005</v>
      </c>
      <c r="G4" s="331">
        <v>448.49098036033848</v>
      </c>
    </row>
    <row r="5" spans="2:7">
      <c r="B5" s="58" t="s">
        <v>19</v>
      </c>
      <c r="C5" s="331">
        <f>+QTS!BG113</f>
        <v>184.33400000000009</v>
      </c>
      <c r="D5" s="331">
        <v>185.3670560527965</v>
      </c>
      <c r="F5" s="331">
        <f>+QTS!BH113</f>
        <v>207.97400000000005</v>
      </c>
      <c r="G5" s="331">
        <v>218.03832531469408</v>
      </c>
    </row>
    <row r="6" spans="2:7">
      <c r="B6" s="58" t="s">
        <v>186</v>
      </c>
      <c r="C6" s="331">
        <f>+QTS!BG321</f>
        <v>452.97199999999998</v>
      </c>
      <c r="D6" s="331">
        <v>380.47636071179238</v>
      </c>
      <c r="F6" s="331">
        <f>+QTS!BH321</f>
        <v>434.35200000000003</v>
      </c>
      <c r="G6" s="331">
        <v>373.99235698226391</v>
      </c>
    </row>
  </sheetData>
  <pageMargins left="0" right="0" top="0" bottom="0" header="0" footer="0"/>
  <pageSetup paperSize="5"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397"/>
  <sheetViews>
    <sheetView showGridLines="0" tabSelected="1" workbookViewId="0">
      <selection activeCell="Z1" sqref="Z1"/>
    </sheetView>
  </sheetViews>
  <sheetFormatPr defaultRowHeight="12.75"/>
  <cols>
    <col min="1" max="1" width="25.7109375" style="397" customWidth="1"/>
    <col min="2" max="5" width="9.140625" style="397"/>
    <col min="6" max="6" width="18.7109375" style="397" customWidth="1"/>
    <col min="7" max="256" width="9.140625" style="397"/>
    <col min="257" max="257" width="100.7109375" style="397" customWidth="1"/>
    <col min="258" max="512" width="9.140625" style="397"/>
    <col min="513" max="513" width="100.7109375" style="397" customWidth="1"/>
    <col min="514" max="768" width="9.140625" style="397"/>
    <col min="769" max="769" width="100.7109375" style="397" customWidth="1"/>
    <col min="770" max="1024" width="9.140625" style="397"/>
    <col min="1025" max="1025" width="100.7109375" style="397" customWidth="1"/>
    <col min="1026" max="1280" width="9.140625" style="397"/>
    <col min="1281" max="1281" width="100.7109375" style="397" customWidth="1"/>
    <col min="1282" max="1536" width="9.140625" style="397"/>
    <col min="1537" max="1537" width="100.7109375" style="397" customWidth="1"/>
    <col min="1538" max="1792" width="9.140625" style="397"/>
    <col min="1793" max="1793" width="100.7109375" style="397" customWidth="1"/>
    <col min="1794" max="2048" width="9.140625" style="397"/>
    <col min="2049" max="2049" width="100.7109375" style="397" customWidth="1"/>
    <col min="2050" max="2304" width="9.140625" style="397"/>
    <col min="2305" max="2305" width="100.7109375" style="397" customWidth="1"/>
    <col min="2306" max="2560" width="9.140625" style="397"/>
    <col min="2561" max="2561" width="100.7109375" style="397" customWidth="1"/>
    <col min="2562" max="2816" width="9.140625" style="397"/>
    <col min="2817" max="2817" width="100.7109375" style="397" customWidth="1"/>
    <col min="2818" max="3072" width="9.140625" style="397"/>
    <col min="3073" max="3073" width="100.7109375" style="397" customWidth="1"/>
    <col min="3074" max="3328" width="9.140625" style="397"/>
    <col min="3329" max="3329" width="100.7109375" style="397" customWidth="1"/>
    <col min="3330" max="3584" width="9.140625" style="397"/>
    <col min="3585" max="3585" width="100.7109375" style="397" customWidth="1"/>
    <col min="3586" max="3840" width="9.140625" style="397"/>
    <col min="3841" max="3841" width="100.7109375" style="397" customWidth="1"/>
    <col min="3842" max="4096" width="9.140625" style="397"/>
    <col min="4097" max="4097" width="100.7109375" style="397" customWidth="1"/>
    <col min="4098" max="4352" width="9.140625" style="397"/>
    <col min="4353" max="4353" width="100.7109375" style="397" customWidth="1"/>
    <col min="4354" max="4608" width="9.140625" style="397"/>
    <col min="4609" max="4609" width="100.7109375" style="397" customWidth="1"/>
    <col min="4610" max="4864" width="9.140625" style="397"/>
    <col min="4865" max="4865" width="100.7109375" style="397" customWidth="1"/>
    <col min="4866" max="5120" width="9.140625" style="397"/>
    <col min="5121" max="5121" width="100.7109375" style="397" customWidth="1"/>
    <col min="5122" max="5376" width="9.140625" style="397"/>
    <col min="5377" max="5377" width="100.7109375" style="397" customWidth="1"/>
    <col min="5378" max="5632" width="9.140625" style="397"/>
    <col min="5633" max="5633" width="100.7109375" style="397" customWidth="1"/>
    <col min="5634" max="5888" width="9.140625" style="397"/>
    <col min="5889" max="5889" width="100.7109375" style="397" customWidth="1"/>
    <col min="5890" max="6144" width="9.140625" style="397"/>
    <col min="6145" max="6145" width="100.7109375" style="397" customWidth="1"/>
    <col min="6146" max="6400" width="9.140625" style="397"/>
    <col min="6401" max="6401" width="100.7109375" style="397" customWidth="1"/>
    <col min="6402" max="6656" width="9.140625" style="397"/>
    <col min="6657" max="6657" width="100.7109375" style="397" customWidth="1"/>
    <col min="6658" max="6912" width="9.140625" style="397"/>
    <col min="6913" max="6913" width="100.7109375" style="397" customWidth="1"/>
    <col min="6914" max="7168" width="9.140625" style="397"/>
    <col min="7169" max="7169" width="100.7109375" style="397" customWidth="1"/>
    <col min="7170" max="7424" width="9.140625" style="397"/>
    <col min="7425" max="7425" width="100.7109375" style="397" customWidth="1"/>
    <col min="7426" max="7680" width="9.140625" style="397"/>
    <col min="7681" max="7681" width="100.7109375" style="397" customWidth="1"/>
    <col min="7682" max="7936" width="9.140625" style="397"/>
    <col min="7937" max="7937" width="100.7109375" style="397" customWidth="1"/>
    <col min="7938" max="8192" width="9.140625" style="397"/>
    <col min="8193" max="8193" width="100.7109375" style="397" customWidth="1"/>
    <col min="8194" max="8448" width="9.140625" style="397"/>
    <col min="8449" max="8449" width="100.7109375" style="397" customWidth="1"/>
    <col min="8450" max="8704" width="9.140625" style="397"/>
    <col min="8705" max="8705" width="100.7109375" style="397" customWidth="1"/>
    <col min="8706" max="8960" width="9.140625" style="397"/>
    <col min="8961" max="8961" width="100.7109375" style="397" customWidth="1"/>
    <col min="8962" max="9216" width="9.140625" style="397"/>
    <col min="9217" max="9217" width="100.7109375" style="397" customWidth="1"/>
    <col min="9218" max="9472" width="9.140625" style="397"/>
    <col min="9473" max="9473" width="100.7109375" style="397" customWidth="1"/>
    <col min="9474" max="9728" width="9.140625" style="397"/>
    <col min="9729" max="9729" width="100.7109375" style="397" customWidth="1"/>
    <col min="9730" max="9984" width="9.140625" style="397"/>
    <col min="9985" max="9985" width="100.7109375" style="397" customWidth="1"/>
    <col min="9986" max="10240" width="9.140625" style="397"/>
    <col min="10241" max="10241" width="100.7109375" style="397" customWidth="1"/>
    <col min="10242" max="10496" width="9.140625" style="397"/>
    <col min="10497" max="10497" width="100.7109375" style="397" customWidth="1"/>
    <col min="10498" max="10752" width="9.140625" style="397"/>
    <col min="10753" max="10753" width="100.7109375" style="397" customWidth="1"/>
    <col min="10754" max="11008" width="9.140625" style="397"/>
    <col min="11009" max="11009" width="100.7109375" style="397" customWidth="1"/>
    <col min="11010" max="11264" width="9.140625" style="397"/>
    <col min="11265" max="11265" width="100.7109375" style="397" customWidth="1"/>
    <col min="11266" max="11520" width="9.140625" style="397"/>
    <col min="11521" max="11521" width="100.7109375" style="397" customWidth="1"/>
    <col min="11522" max="11776" width="9.140625" style="397"/>
    <col min="11777" max="11777" width="100.7109375" style="397" customWidth="1"/>
    <col min="11778" max="12032" width="9.140625" style="397"/>
    <col min="12033" max="12033" width="100.7109375" style="397" customWidth="1"/>
    <col min="12034" max="12288" width="9.140625" style="397"/>
    <col min="12289" max="12289" width="100.7109375" style="397" customWidth="1"/>
    <col min="12290" max="12544" width="9.140625" style="397"/>
    <col min="12545" max="12545" width="100.7109375" style="397" customWidth="1"/>
    <col min="12546" max="12800" width="9.140625" style="397"/>
    <col min="12801" max="12801" width="100.7109375" style="397" customWidth="1"/>
    <col min="12802" max="13056" width="9.140625" style="397"/>
    <col min="13057" max="13057" width="100.7109375" style="397" customWidth="1"/>
    <col min="13058" max="13312" width="9.140625" style="397"/>
    <col min="13313" max="13313" width="100.7109375" style="397" customWidth="1"/>
    <col min="13314" max="13568" width="9.140625" style="397"/>
    <col min="13569" max="13569" width="100.7109375" style="397" customWidth="1"/>
    <col min="13570" max="13824" width="9.140625" style="397"/>
    <col min="13825" max="13825" width="100.7109375" style="397" customWidth="1"/>
    <col min="13826" max="14080" width="9.140625" style="397"/>
    <col min="14081" max="14081" width="100.7109375" style="397" customWidth="1"/>
    <col min="14082" max="14336" width="9.140625" style="397"/>
    <col min="14337" max="14337" width="100.7109375" style="397" customWidth="1"/>
    <col min="14338" max="14592" width="9.140625" style="397"/>
    <col min="14593" max="14593" width="100.7109375" style="397" customWidth="1"/>
    <col min="14594" max="14848" width="9.140625" style="397"/>
    <col min="14849" max="14849" width="100.7109375" style="397" customWidth="1"/>
    <col min="14850" max="15104" width="9.140625" style="397"/>
    <col min="15105" max="15105" width="100.7109375" style="397" customWidth="1"/>
    <col min="15106" max="15360" width="9.140625" style="397"/>
    <col min="15361" max="15361" width="100.7109375" style="397" customWidth="1"/>
    <col min="15362" max="15616" width="9.140625" style="397"/>
    <col min="15617" max="15617" width="100.7109375" style="397" customWidth="1"/>
    <col min="15618" max="15872" width="9.140625" style="397"/>
    <col min="15873" max="15873" width="100.7109375" style="397" customWidth="1"/>
    <col min="15874" max="16128" width="9.140625" style="397"/>
    <col min="16129" max="16129" width="100.7109375" style="397" customWidth="1"/>
    <col min="16130" max="16384" width="9.140625" style="397"/>
  </cols>
  <sheetData>
    <row r="1" spans="1:8" ht="30" customHeight="1">
      <c r="A1" s="395"/>
      <c r="B1" s="396"/>
      <c r="C1" s="396"/>
      <c r="D1" s="396"/>
      <c r="E1" s="396"/>
      <c r="F1" s="396"/>
      <c r="G1" s="396"/>
      <c r="H1" s="396"/>
    </row>
    <row r="2" spans="1:8" ht="14.25">
      <c r="A2" s="398" t="s">
        <v>546</v>
      </c>
      <c r="B2" s="396"/>
      <c r="C2" s="396"/>
      <c r="D2" s="396"/>
      <c r="E2" s="396"/>
      <c r="F2" s="396"/>
      <c r="G2" s="396"/>
      <c r="H2" s="396"/>
    </row>
    <row r="3" spans="1:8" ht="14.25">
      <c r="A3" s="398" t="s">
        <v>547</v>
      </c>
      <c r="B3" s="396"/>
      <c r="C3" s="396"/>
      <c r="D3" s="396"/>
      <c r="E3" s="396"/>
      <c r="F3" s="396"/>
      <c r="G3" s="396"/>
      <c r="H3" s="396"/>
    </row>
    <row r="4" spans="1:8" ht="14.25">
      <c r="A4" s="398" t="s">
        <v>548</v>
      </c>
      <c r="B4" s="396"/>
      <c r="C4" s="396"/>
      <c r="D4" s="396"/>
      <c r="E4" s="396"/>
      <c r="F4" s="396"/>
      <c r="G4" s="396"/>
      <c r="H4" s="396"/>
    </row>
    <row r="5" spans="1:8" ht="14.25">
      <c r="A5" s="398" t="s">
        <v>549</v>
      </c>
      <c r="B5" s="396"/>
      <c r="C5" s="396"/>
      <c r="D5" s="396"/>
      <c r="E5" s="396"/>
      <c r="F5" s="396"/>
      <c r="G5" s="396"/>
      <c r="H5" s="396"/>
    </row>
    <row r="6" spans="1:8" ht="14.25">
      <c r="A6" s="398"/>
      <c r="B6" s="396"/>
      <c r="C6" s="396"/>
      <c r="D6" s="396"/>
      <c r="E6" s="396"/>
      <c r="F6" s="396"/>
      <c r="G6" s="396"/>
      <c r="H6" s="396"/>
    </row>
    <row r="7" spans="1:8">
      <c r="A7" s="395" t="s">
        <v>550</v>
      </c>
      <c r="B7" s="396"/>
      <c r="C7" s="396"/>
      <c r="D7" s="396"/>
      <c r="E7" s="396"/>
      <c r="F7" s="396"/>
      <c r="G7" s="396"/>
      <c r="H7" s="396"/>
    </row>
    <row r="8" spans="1:8">
      <c r="A8" s="395" t="s">
        <v>551</v>
      </c>
      <c r="B8" s="396"/>
      <c r="C8" s="396"/>
      <c r="D8" s="396"/>
      <c r="E8" s="396"/>
      <c r="F8" s="396"/>
      <c r="G8" s="396"/>
      <c r="H8" s="396"/>
    </row>
    <row r="9" spans="1:8">
      <c r="A9" s="395"/>
      <c r="B9" s="396"/>
      <c r="C9" s="396"/>
      <c r="D9" s="396"/>
      <c r="E9" s="396"/>
      <c r="F9" s="396"/>
      <c r="G9" s="396"/>
      <c r="H9" s="396"/>
    </row>
    <row r="10" spans="1:8">
      <c r="A10" s="399" t="s">
        <v>552</v>
      </c>
      <c r="B10" s="396"/>
      <c r="C10" s="396"/>
      <c r="D10" s="396"/>
      <c r="E10" s="396"/>
      <c r="F10" s="396"/>
      <c r="G10" s="396"/>
      <c r="H10" s="396"/>
    </row>
    <row r="11" spans="1:8">
      <c r="A11" s="399" t="s">
        <v>553</v>
      </c>
      <c r="B11" s="396"/>
      <c r="C11" s="396"/>
      <c r="D11" s="396"/>
      <c r="E11" s="396"/>
      <c r="F11" s="396"/>
      <c r="G11" s="396"/>
      <c r="H11" s="396"/>
    </row>
    <row r="12" spans="1:8">
      <c r="A12" s="399" t="s">
        <v>554</v>
      </c>
      <c r="B12" s="396"/>
      <c r="C12" s="396"/>
      <c r="D12" s="396"/>
      <c r="E12" s="396"/>
      <c r="F12" s="396"/>
      <c r="G12" s="396"/>
      <c r="H12" s="396"/>
    </row>
    <row r="13" spans="1:8">
      <c r="A13" s="399" t="s">
        <v>555</v>
      </c>
      <c r="B13" s="396"/>
      <c r="C13" s="396"/>
      <c r="D13" s="396"/>
      <c r="E13" s="396"/>
      <c r="F13" s="396"/>
      <c r="G13" s="396"/>
      <c r="H13" s="396"/>
    </row>
    <row r="14" spans="1:8">
      <c r="A14" s="399" t="s">
        <v>556</v>
      </c>
      <c r="B14" s="396"/>
      <c r="C14" s="396"/>
      <c r="D14" s="396"/>
      <c r="E14" s="396"/>
      <c r="F14" s="396"/>
      <c r="G14" s="396"/>
      <c r="H14" s="396"/>
    </row>
    <row r="15" spans="1:8">
      <c r="A15" s="399" t="s">
        <v>557</v>
      </c>
      <c r="B15" s="396"/>
      <c r="C15" s="396"/>
      <c r="D15" s="396"/>
      <c r="E15" s="396"/>
      <c r="F15" s="396"/>
      <c r="G15" s="396"/>
      <c r="H15" s="396"/>
    </row>
    <row r="16" spans="1:8">
      <c r="A16" s="399"/>
      <c r="B16" s="396"/>
      <c r="C16" s="396"/>
      <c r="D16" s="396"/>
      <c r="E16" s="396"/>
      <c r="F16" s="396"/>
      <c r="G16" s="396"/>
      <c r="H16" s="396"/>
    </row>
    <row r="17" spans="1:8">
      <c r="A17" s="399" t="s">
        <v>543</v>
      </c>
      <c r="B17" s="396"/>
      <c r="C17" s="396"/>
      <c r="D17" s="396"/>
      <c r="E17" s="396"/>
      <c r="F17" s="396"/>
      <c r="G17" s="396"/>
      <c r="H17" s="396"/>
    </row>
    <row r="18" spans="1:8">
      <c r="A18" s="399"/>
      <c r="B18" s="396"/>
      <c r="C18" s="396"/>
      <c r="D18" s="396"/>
      <c r="E18" s="396"/>
      <c r="F18" s="396"/>
      <c r="G18" s="396"/>
      <c r="H18" s="396"/>
    </row>
    <row r="19" spans="1:8">
      <c r="A19" s="399" t="s">
        <v>544</v>
      </c>
      <c r="B19" s="396"/>
      <c r="C19" s="396"/>
      <c r="D19" s="396"/>
      <c r="E19" s="396"/>
      <c r="F19" s="396"/>
      <c r="G19" s="396"/>
      <c r="H19" s="396"/>
    </row>
    <row r="20" spans="1:8">
      <c r="A20" s="395"/>
      <c r="B20" s="396"/>
      <c r="C20" s="396"/>
      <c r="D20" s="396"/>
      <c r="E20" s="396"/>
      <c r="F20" s="396"/>
      <c r="G20" s="396"/>
      <c r="H20" s="396"/>
    </row>
    <row r="21" spans="1:8">
      <c r="A21" s="400" t="s">
        <v>545</v>
      </c>
      <c r="B21" s="396"/>
      <c r="C21" s="396"/>
      <c r="D21" s="396"/>
      <c r="E21" s="396"/>
      <c r="F21" s="396"/>
      <c r="G21" s="396"/>
      <c r="H21" s="396"/>
    </row>
    <row r="22" spans="1:8">
      <c r="A22" s="401"/>
      <c r="B22" s="401"/>
      <c r="C22" s="401"/>
      <c r="D22" s="401"/>
      <c r="E22" s="401"/>
      <c r="F22" s="401"/>
      <c r="G22" s="401"/>
      <c r="H22" s="401"/>
    </row>
    <row r="23" spans="1:8">
      <c r="A23" s="402" t="s">
        <v>840</v>
      </c>
      <c r="B23" s="401"/>
      <c r="C23" s="401"/>
      <c r="D23" s="401"/>
      <c r="E23" s="401"/>
      <c r="F23" s="401"/>
      <c r="G23" s="401"/>
      <c r="H23" s="401"/>
    </row>
    <row r="24" spans="1:8">
      <c r="A24" s="402" t="s">
        <v>841</v>
      </c>
      <c r="B24" s="401"/>
      <c r="C24" s="401"/>
      <c r="D24" s="401"/>
      <c r="E24" s="401"/>
      <c r="F24" s="401"/>
      <c r="G24" s="401"/>
      <c r="H24" s="401"/>
    </row>
    <row r="25" spans="1:8">
      <c r="A25" s="402" t="s">
        <v>842</v>
      </c>
      <c r="B25" s="401"/>
      <c r="C25" s="401"/>
      <c r="D25" s="401"/>
      <c r="E25" s="401"/>
      <c r="F25" s="401"/>
      <c r="G25" s="401"/>
      <c r="H25" s="401"/>
    </row>
    <row r="26" spans="1:8">
      <c r="A26" s="402" t="s">
        <v>843</v>
      </c>
      <c r="B26" s="401"/>
      <c r="C26" s="401"/>
      <c r="D26" s="401"/>
      <c r="E26" s="401"/>
      <c r="F26" s="401"/>
      <c r="G26" s="401"/>
      <c r="H26" s="401"/>
    </row>
    <row r="27" spans="1:8">
      <c r="A27" s="401"/>
      <c r="B27" s="401"/>
      <c r="C27" s="401"/>
      <c r="D27" s="401"/>
      <c r="E27" s="401"/>
      <c r="F27" s="401"/>
      <c r="G27" s="401"/>
      <c r="H27" s="401"/>
    </row>
    <row r="28" spans="1:8">
      <c r="A28" s="401"/>
      <c r="B28" s="401"/>
      <c r="C28" s="401"/>
      <c r="D28" s="401"/>
      <c r="E28" s="401"/>
      <c r="F28" s="401"/>
      <c r="G28" s="401"/>
      <c r="H28" s="401"/>
    </row>
    <row r="29" spans="1:8">
      <c r="A29" s="402" t="s">
        <v>835</v>
      </c>
      <c r="B29" s="401"/>
      <c r="C29" s="401"/>
      <c r="D29" s="401"/>
      <c r="E29" s="401"/>
      <c r="F29" s="401"/>
      <c r="G29" s="401"/>
      <c r="H29" s="401"/>
    </row>
    <row r="30" spans="1:8">
      <c r="A30" s="402" t="s">
        <v>836</v>
      </c>
      <c r="B30" s="401"/>
      <c r="C30" s="401"/>
      <c r="D30" s="401"/>
      <c r="E30" s="401"/>
      <c r="F30" s="401"/>
      <c r="G30" s="401"/>
      <c r="H30" s="401"/>
    </row>
    <row r="31" spans="1:8">
      <c r="A31" s="402" t="s">
        <v>837</v>
      </c>
      <c r="B31" s="401"/>
      <c r="C31" s="401"/>
      <c r="D31" s="401"/>
      <c r="E31" s="401"/>
      <c r="F31" s="401"/>
      <c r="G31" s="401"/>
      <c r="H31" s="401"/>
    </row>
    <row r="32" spans="1:8">
      <c r="A32" s="402" t="s">
        <v>838</v>
      </c>
      <c r="B32" s="401"/>
      <c r="C32" s="401"/>
      <c r="D32" s="401"/>
      <c r="E32" s="401"/>
      <c r="F32" s="401"/>
      <c r="G32" s="401"/>
      <c r="H32" s="401"/>
    </row>
    <row r="33" spans="1:8">
      <c r="A33" s="402" t="s">
        <v>839</v>
      </c>
      <c r="B33" s="401"/>
      <c r="C33" s="401"/>
      <c r="D33" s="401"/>
      <c r="E33" s="401"/>
      <c r="F33" s="401"/>
      <c r="G33" s="401"/>
      <c r="H33" s="401"/>
    </row>
    <row r="34" spans="1:8">
      <c r="A34" s="401"/>
      <c r="B34" s="401"/>
      <c r="C34" s="401"/>
      <c r="D34" s="401"/>
      <c r="E34" s="401"/>
      <c r="F34" s="401"/>
      <c r="G34" s="401"/>
      <c r="H34" s="401"/>
    </row>
    <row r="35" spans="1:8">
      <c r="A35" s="402" t="s">
        <v>831</v>
      </c>
      <c r="B35" s="401"/>
      <c r="C35" s="401"/>
      <c r="D35" s="401"/>
      <c r="E35" s="401"/>
      <c r="F35" s="401"/>
      <c r="G35" s="401"/>
      <c r="H35" s="401"/>
    </row>
    <row r="36" spans="1:8">
      <c r="A36" s="402" t="s">
        <v>832</v>
      </c>
      <c r="B36" s="401"/>
      <c r="C36" s="401"/>
      <c r="D36" s="401"/>
      <c r="E36" s="401"/>
      <c r="F36" s="401"/>
      <c r="G36" s="401"/>
      <c r="H36" s="401"/>
    </row>
    <row r="37" spans="1:8">
      <c r="A37" s="402" t="s">
        <v>833</v>
      </c>
      <c r="B37" s="401"/>
      <c r="C37" s="401"/>
      <c r="D37" s="401"/>
      <c r="E37" s="401"/>
      <c r="F37" s="401"/>
      <c r="G37" s="401"/>
      <c r="H37" s="401"/>
    </row>
    <row r="38" spans="1:8">
      <c r="A38" s="402" t="s">
        <v>834</v>
      </c>
      <c r="B38" s="401"/>
      <c r="C38" s="401"/>
      <c r="D38" s="401"/>
      <c r="E38" s="401"/>
      <c r="F38" s="401"/>
      <c r="G38" s="401"/>
      <c r="H38" s="401"/>
    </row>
    <row r="39" spans="1:8">
      <c r="A39" s="401"/>
      <c r="B39" s="401"/>
      <c r="C39" s="401"/>
      <c r="D39" s="401"/>
      <c r="E39" s="401"/>
      <c r="F39" s="401"/>
      <c r="G39" s="401"/>
      <c r="H39" s="401"/>
    </row>
    <row r="40" spans="1:8">
      <c r="A40" s="402" t="s">
        <v>825</v>
      </c>
      <c r="B40" s="401"/>
      <c r="C40" s="401"/>
      <c r="D40" s="401"/>
      <c r="E40" s="401"/>
      <c r="F40" s="401"/>
      <c r="G40" s="401"/>
      <c r="H40" s="401"/>
    </row>
    <row r="41" spans="1:8">
      <c r="A41" s="402" t="s">
        <v>826</v>
      </c>
      <c r="B41" s="401"/>
      <c r="C41" s="401"/>
      <c r="D41" s="401"/>
      <c r="E41" s="401"/>
      <c r="F41" s="401"/>
      <c r="G41" s="401"/>
      <c r="H41" s="401"/>
    </row>
    <row r="42" spans="1:8">
      <c r="A42" s="402" t="s">
        <v>827</v>
      </c>
      <c r="B42" s="401"/>
      <c r="C42" s="401"/>
      <c r="D42" s="401"/>
      <c r="E42" s="401"/>
      <c r="F42" s="401"/>
      <c r="G42" s="401"/>
      <c r="H42" s="401"/>
    </row>
    <row r="43" spans="1:8">
      <c r="A43" s="402" t="s">
        <v>828</v>
      </c>
      <c r="B43" s="401"/>
      <c r="C43" s="401"/>
      <c r="D43" s="401"/>
      <c r="E43" s="401"/>
      <c r="F43" s="401"/>
      <c r="G43" s="401"/>
      <c r="H43" s="401"/>
    </row>
    <row r="44" spans="1:8">
      <c r="A44" s="402" t="s">
        <v>829</v>
      </c>
      <c r="B44" s="401"/>
      <c r="C44" s="401"/>
      <c r="D44" s="401"/>
      <c r="E44" s="401"/>
      <c r="F44" s="401"/>
      <c r="G44" s="401"/>
      <c r="H44" s="401"/>
    </row>
    <row r="45" spans="1:8">
      <c r="A45" s="402" t="s">
        <v>830</v>
      </c>
      <c r="B45" s="401"/>
      <c r="C45" s="401"/>
      <c r="D45" s="401"/>
      <c r="E45" s="401"/>
      <c r="F45" s="401"/>
      <c r="G45" s="401"/>
      <c r="H45" s="401"/>
    </row>
    <row r="46" spans="1:8">
      <c r="A46" s="401"/>
      <c r="B46" s="401"/>
      <c r="C46" s="401"/>
      <c r="D46" s="401"/>
      <c r="E46" s="401"/>
      <c r="F46" s="401"/>
      <c r="G46" s="401"/>
      <c r="H46" s="401"/>
    </row>
    <row r="47" spans="1:8" ht="15.75">
      <c r="A47" s="403" t="s">
        <v>558</v>
      </c>
      <c r="B47" s="401"/>
      <c r="C47" s="401"/>
      <c r="D47" s="401"/>
      <c r="E47" s="401"/>
      <c r="F47" s="401"/>
      <c r="G47" s="401"/>
      <c r="H47" s="401"/>
    </row>
    <row r="48" spans="1:8">
      <c r="A48" s="401"/>
      <c r="B48" s="401"/>
      <c r="C48" s="401"/>
      <c r="D48" s="401"/>
      <c r="E48" s="401"/>
      <c r="F48" s="401"/>
      <c r="G48" s="401"/>
      <c r="H48" s="401"/>
    </row>
    <row r="49" spans="1:8">
      <c r="A49" s="402" t="s">
        <v>821</v>
      </c>
      <c r="B49" s="401"/>
      <c r="C49" s="401"/>
      <c r="D49" s="401"/>
      <c r="E49" s="401"/>
      <c r="F49" s="401"/>
      <c r="G49" s="401"/>
      <c r="H49" s="401"/>
    </row>
    <row r="50" spans="1:8">
      <c r="A50" s="402" t="s">
        <v>822</v>
      </c>
      <c r="B50" s="401"/>
      <c r="C50" s="401"/>
      <c r="D50" s="401"/>
      <c r="E50" s="401"/>
      <c r="F50" s="401"/>
      <c r="G50" s="401"/>
      <c r="H50" s="401"/>
    </row>
    <row r="51" spans="1:8">
      <c r="A51" s="402" t="s">
        <v>823</v>
      </c>
      <c r="B51" s="401"/>
      <c r="C51" s="401"/>
      <c r="D51" s="401"/>
      <c r="E51" s="401"/>
      <c r="F51" s="401"/>
      <c r="G51" s="401"/>
      <c r="H51" s="401"/>
    </row>
    <row r="52" spans="1:8">
      <c r="A52" s="402" t="s">
        <v>824</v>
      </c>
      <c r="B52" s="401"/>
      <c r="C52" s="401"/>
      <c r="D52" s="401"/>
      <c r="E52" s="401"/>
      <c r="F52" s="401"/>
      <c r="G52" s="401"/>
      <c r="H52" s="401"/>
    </row>
    <row r="53" spans="1:8">
      <c r="A53" s="401"/>
      <c r="B53" s="401"/>
      <c r="C53" s="401"/>
      <c r="D53" s="401"/>
      <c r="E53" s="401"/>
      <c r="F53" s="401"/>
      <c r="G53" s="401"/>
      <c r="H53" s="401"/>
    </row>
    <row r="54" spans="1:8">
      <c r="A54" s="402" t="s">
        <v>559</v>
      </c>
      <c r="B54" s="401"/>
      <c r="C54" s="401"/>
      <c r="D54" s="401"/>
      <c r="E54" s="401"/>
      <c r="F54" s="401"/>
      <c r="G54" s="401"/>
      <c r="H54" s="401"/>
    </row>
    <row r="55" spans="1:8">
      <c r="A55" s="401"/>
      <c r="B55" s="401"/>
      <c r="C55" s="401"/>
      <c r="D55" s="401"/>
      <c r="E55" s="401"/>
      <c r="F55" s="401"/>
      <c r="G55" s="401"/>
      <c r="H55" s="401"/>
    </row>
    <row r="56" spans="1:8" ht="15.75">
      <c r="A56" s="403" t="s">
        <v>560</v>
      </c>
      <c r="B56" s="401"/>
      <c r="C56" s="401"/>
      <c r="D56" s="401"/>
      <c r="E56" s="401"/>
      <c r="F56" s="401"/>
      <c r="G56" s="401"/>
      <c r="H56" s="401"/>
    </row>
    <row r="57" spans="1:8">
      <c r="A57" s="401"/>
      <c r="B57" s="401"/>
      <c r="C57" s="401"/>
      <c r="D57" s="401"/>
      <c r="E57" s="401"/>
      <c r="F57" s="401"/>
      <c r="G57" s="401"/>
      <c r="H57" s="401"/>
    </row>
    <row r="58" spans="1:8">
      <c r="A58" s="402" t="s">
        <v>819</v>
      </c>
      <c r="B58" s="401"/>
      <c r="C58" s="401"/>
      <c r="D58" s="401"/>
      <c r="E58" s="401"/>
      <c r="F58" s="401"/>
      <c r="G58" s="401"/>
      <c r="H58" s="401"/>
    </row>
    <row r="59" spans="1:8">
      <c r="A59" s="402" t="s">
        <v>820</v>
      </c>
      <c r="B59" s="401"/>
      <c r="C59" s="401"/>
      <c r="D59" s="401"/>
      <c r="E59" s="401"/>
      <c r="F59" s="401"/>
      <c r="G59" s="401"/>
      <c r="H59" s="401"/>
    </row>
    <row r="60" spans="1:8">
      <c r="A60" s="401"/>
      <c r="B60" s="401"/>
      <c r="C60" s="401"/>
      <c r="D60" s="401"/>
      <c r="E60" s="401"/>
      <c r="F60" s="401"/>
      <c r="G60" s="401"/>
      <c r="H60" s="401"/>
    </row>
    <row r="61" spans="1:8" ht="15.75">
      <c r="A61" s="403" t="s">
        <v>561</v>
      </c>
      <c r="B61" s="401"/>
      <c r="C61" s="401"/>
      <c r="D61" s="401"/>
      <c r="E61" s="401"/>
      <c r="F61" s="401"/>
      <c r="G61" s="401"/>
      <c r="H61" s="401"/>
    </row>
    <row r="62" spans="1:8">
      <c r="A62" s="401"/>
      <c r="B62" s="401"/>
      <c r="C62" s="401"/>
      <c r="D62" s="401"/>
      <c r="E62" s="401"/>
      <c r="F62" s="401"/>
      <c r="G62" s="401"/>
      <c r="H62" s="401"/>
    </row>
    <row r="63" spans="1:8">
      <c r="A63" s="402" t="s">
        <v>817</v>
      </c>
      <c r="B63" s="401"/>
      <c r="C63" s="401"/>
      <c r="D63" s="401"/>
      <c r="E63" s="401"/>
      <c r="F63" s="401"/>
      <c r="G63" s="401"/>
      <c r="H63" s="401"/>
    </row>
    <row r="64" spans="1:8">
      <c r="A64" s="402" t="s">
        <v>818</v>
      </c>
      <c r="B64" s="401"/>
      <c r="C64" s="401"/>
      <c r="D64" s="401"/>
      <c r="E64" s="401"/>
      <c r="F64" s="401"/>
      <c r="G64" s="401"/>
      <c r="H64" s="401"/>
    </row>
    <row r="65" spans="1:8">
      <c r="A65" s="401"/>
      <c r="B65" s="401"/>
      <c r="C65" s="401"/>
      <c r="D65" s="401"/>
      <c r="E65" s="401"/>
      <c r="F65" s="401"/>
      <c r="G65" s="401"/>
      <c r="H65" s="401"/>
    </row>
    <row r="66" spans="1:8">
      <c r="A66" s="402" t="s">
        <v>815</v>
      </c>
      <c r="B66" s="401"/>
      <c r="C66" s="401"/>
      <c r="D66" s="401"/>
      <c r="E66" s="401"/>
      <c r="F66" s="401"/>
      <c r="G66" s="401"/>
      <c r="H66" s="401"/>
    </row>
    <row r="67" spans="1:8">
      <c r="A67" s="402" t="s">
        <v>816</v>
      </c>
      <c r="B67" s="401"/>
      <c r="C67" s="401"/>
      <c r="D67" s="401"/>
      <c r="E67" s="401"/>
      <c r="F67" s="401"/>
      <c r="G67" s="401"/>
      <c r="H67" s="401"/>
    </row>
    <row r="68" spans="1:8">
      <c r="A68" s="401"/>
      <c r="B68" s="401"/>
      <c r="C68" s="401"/>
      <c r="D68" s="401"/>
      <c r="E68" s="401"/>
      <c r="F68" s="401"/>
      <c r="G68" s="401"/>
      <c r="H68" s="401"/>
    </row>
    <row r="69" spans="1:8">
      <c r="A69" s="402" t="s">
        <v>813</v>
      </c>
      <c r="B69" s="401"/>
      <c r="C69" s="401"/>
      <c r="D69" s="401"/>
      <c r="E69" s="401"/>
      <c r="F69" s="401"/>
      <c r="G69" s="401"/>
      <c r="H69" s="401"/>
    </row>
    <row r="70" spans="1:8">
      <c r="A70" s="402" t="s">
        <v>814</v>
      </c>
      <c r="B70" s="401"/>
      <c r="C70" s="401"/>
      <c r="D70" s="401"/>
      <c r="E70" s="401"/>
      <c r="F70" s="401"/>
      <c r="G70" s="401"/>
      <c r="H70" s="401"/>
    </row>
    <row r="71" spans="1:8">
      <c r="A71" s="401"/>
      <c r="B71" s="401"/>
      <c r="C71" s="401"/>
      <c r="D71" s="401"/>
      <c r="E71" s="401"/>
      <c r="F71" s="401"/>
      <c r="G71" s="401"/>
      <c r="H71" s="401"/>
    </row>
    <row r="72" spans="1:8">
      <c r="A72" s="402" t="s">
        <v>811</v>
      </c>
      <c r="B72" s="401"/>
      <c r="C72" s="401"/>
      <c r="D72" s="401"/>
      <c r="E72" s="401"/>
      <c r="F72" s="401"/>
      <c r="G72" s="401"/>
      <c r="H72" s="401"/>
    </row>
    <row r="73" spans="1:8">
      <c r="A73" s="402" t="s">
        <v>812</v>
      </c>
      <c r="B73" s="401"/>
      <c r="C73" s="401"/>
      <c r="D73" s="401"/>
      <c r="E73" s="401"/>
      <c r="F73" s="401"/>
      <c r="G73" s="401"/>
      <c r="H73" s="401"/>
    </row>
    <row r="74" spans="1:8">
      <c r="A74" s="401"/>
      <c r="B74" s="401"/>
      <c r="C74" s="401"/>
      <c r="D74" s="401"/>
      <c r="E74" s="401"/>
      <c r="F74" s="401"/>
      <c r="G74" s="401"/>
      <c r="H74" s="401"/>
    </row>
    <row r="75" spans="1:8">
      <c r="A75" s="402" t="s">
        <v>809</v>
      </c>
      <c r="B75" s="401"/>
      <c r="C75" s="401"/>
      <c r="D75" s="401"/>
      <c r="E75" s="401"/>
      <c r="F75" s="401"/>
      <c r="G75" s="401"/>
      <c r="H75" s="401"/>
    </row>
    <row r="76" spans="1:8">
      <c r="A76" s="402" t="s">
        <v>810</v>
      </c>
      <c r="B76" s="401"/>
      <c r="C76" s="401"/>
      <c r="D76" s="401"/>
      <c r="E76" s="401"/>
      <c r="F76" s="401"/>
      <c r="G76" s="401"/>
      <c r="H76" s="401"/>
    </row>
    <row r="77" spans="1:8">
      <c r="A77" s="401"/>
      <c r="B77" s="401"/>
      <c r="C77" s="401"/>
      <c r="D77" s="401"/>
      <c r="E77" s="401"/>
      <c r="F77" s="401"/>
      <c r="G77" s="401"/>
      <c r="H77" s="401"/>
    </row>
    <row r="78" spans="1:8">
      <c r="A78" s="402" t="s">
        <v>807</v>
      </c>
      <c r="B78" s="401"/>
      <c r="C78" s="401"/>
      <c r="D78" s="401"/>
      <c r="E78" s="401"/>
      <c r="F78" s="401"/>
      <c r="G78" s="401"/>
      <c r="H78" s="401"/>
    </row>
    <row r="79" spans="1:8">
      <c r="A79" s="402" t="s">
        <v>808</v>
      </c>
      <c r="B79" s="401"/>
      <c r="C79" s="401"/>
      <c r="D79" s="401"/>
      <c r="E79" s="401"/>
      <c r="F79" s="401"/>
      <c r="G79" s="401"/>
      <c r="H79" s="401"/>
    </row>
    <row r="80" spans="1:8">
      <c r="A80" s="401"/>
      <c r="B80" s="401"/>
      <c r="C80" s="401"/>
      <c r="D80" s="401"/>
      <c r="E80" s="401"/>
      <c r="F80" s="401"/>
      <c r="G80" s="401"/>
      <c r="H80" s="401"/>
    </row>
    <row r="81" spans="1:8">
      <c r="A81" s="402" t="s">
        <v>804</v>
      </c>
      <c r="B81" s="401"/>
      <c r="C81" s="401"/>
      <c r="D81" s="401"/>
      <c r="E81" s="401"/>
      <c r="F81" s="401"/>
      <c r="G81" s="401"/>
      <c r="H81" s="401"/>
    </row>
    <row r="82" spans="1:8">
      <c r="A82" s="402" t="s">
        <v>805</v>
      </c>
      <c r="B82" s="401"/>
      <c r="C82" s="401"/>
      <c r="D82" s="401"/>
      <c r="E82" s="401"/>
      <c r="F82" s="401"/>
      <c r="G82" s="401"/>
      <c r="H82" s="401"/>
    </row>
    <row r="83" spans="1:8">
      <c r="A83" s="402" t="s">
        <v>806</v>
      </c>
      <c r="B83" s="401"/>
      <c r="C83" s="401"/>
      <c r="D83" s="401"/>
      <c r="E83" s="401"/>
      <c r="F83" s="401"/>
      <c r="G83" s="401"/>
      <c r="H83" s="401"/>
    </row>
    <row r="84" spans="1:8">
      <c r="A84" s="401"/>
      <c r="B84" s="401"/>
      <c r="C84" s="401"/>
      <c r="D84" s="401"/>
      <c r="E84" s="401"/>
      <c r="F84" s="401"/>
      <c r="G84" s="401"/>
      <c r="H84" s="401"/>
    </row>
    <row r="85" spans="1:8">
      <c r="A85" s="402" t="s">
        <v>562</v>
      </c>
      <c r="B85" s="401"/>
      <c r="C85" s="401"/>
      <c r="D85" s="401"/>
      <c r="E85" s="401"/>
      <c r="F85" s="401"/>
      <c r="G85" s="401"/>
      <c r="H85" s="401"/>
    </row>
    <row r="86" spans="1:8">
      <c r="A86" s="401"/>
      <c r="B86" s="401"/>
      <c r="C86" s="401"/>
      <c r="D86" s="401"/>
      <c r="E86" s="401"/>
      <c r="F86" s="401"/>
      <c r="G86" s="401"/>
      <c r="H86" s="401"/>
    </row>
    <row r="87" spans="1:8">
      <c r="A87" s="402" t="s">
        <v>799</v>
      </c>
      <c r="B87" s="401"/>
      <c r="C87" s="401"/>
      <c r="D87" s="401"/>
      <c r="E87" s="401"/>
      <c r="F87" s="401"/>
      <c r="G87" s="401"/>
      <c r="H87" s="401"/>
    </row>
    <row r="88" spans="1:8">
      <c r="A88" s="402" t="s">
        <v>800</v>
      </c>
      <c r="B88" s="401"/>
      <c r="C88" s="401"/>
      <c r="D88" s="401"/>
      <c r="E88" s="401"/>
      <c r="F88" s="401"/>
      <c r="G88" s="401"/>
      <c r="H88" s="401"/>
    </row>
    <row r="89" spans="1:8">
      <c r="A89" s="402" t="s">
        <v>801</v>
      </c>
      <c r="B89" s="401"/>
      <c r="C89" s="401"/>
      <c r="D89" s="401"/>
      <c r="E89" s="401"/>
      <c r="F89" s="401"/>
      <c r="G89" s="401"/>
      <c r="H89" s="401"/>
    </row>
    <row r="90" spans="1:8">
      <c r="A90" s="402" t="s">
        <v>802</v>
      </c>
      <c r="B90" s="401"/>
      <c r="C90" s="401"/>
      <c r="D90" s="401"/>
      <c r="E90" s="401"/>
      <c r="F90" s="401"/>
      <c r="G90" s="401"/>
      <c r="H90" s="401"/>
    </row>
    <row r="91" spans="1:8">
      <c r="A91" s="402" t="s">
        <v>803</v>
      </c>
      <c r="B91" s="401"/>
      <c r="C91" s="401"/>
      <c r="D91" s="401"/>
      <c r="E91" s="401"/>
      <c r="F91" s="401"/>
      <c r="G91" s="401"/>
      <c r="H91" s="401"/>
    </row>
    <row r="92" spans="1:8">
      <c r="A92" s="402" t="s">
        <v>688</v>
      </c>
      <c r="B92" s="401"/>
      <c r="C92" s="401"/>
      <c r="D92" s="401"/>
      <c r="E92" s="401"/>
      <c r="F92" s="401"/>
      <c r="G92" s="401"/>
      <c r="H92" s="401"/>
    </row>
    <row r="93" spans="1:8">
      <c r="A93" s="401"/>
      <c r="B93" s="401"/>
      <c r="C93" s="401"/>
      <c r="D93" s="401"/>
      <c r="E93" s="401"/>
      <c r="F93" s="401"/>
      <c r="G93" s="401"/>
      <c r="H93" s="401"/>
    </row>
    <row r="94" spans="1:8">
      <c r="A94" s="402" t="s">
        <v>792</v>
      </c>
      <c r="B94" s="401"/>
      <c r="C94" s="401"/>
      <c r="D94" s="401"/>
      <c r="E94" s="401"/>
      <c r="F94" s="401"/>
      <c r="G94" s="401"/>
      <c r="H94" s="401"/>
    </row>
    <row r="95" spans="1:8">
      <c r="A95" s="402" t="s">
        <v>793</v>
      </c>
      <c r="B95" s="401"/>
      <c r="C95" s="401"/>
      <c r="D95" s="401"/>
      <c r="E95" s="401"/>
      <c r="F95" s="401"/>
      <c r="G95" s="401"/>
      <c r="H95" s="401"/>
    </row>
    <row r="96" spans="1:8">
      <c r="A96" s="402" t="s">
        <v>794</v>
      </c>
      <c r="B96" s="401"/>
      <c r="C96" s="401"/>
      <c r="D96" s="401"/>
      <c r="E96" s="401"/>
      <c r="F96" s="401"/>
      <c r="G96" s="401"/>
      <c r="H96" s="401"/>
    </row>
    <row r="97" spans="1:8">
      <c r="A97" s="402" t="s">
        <v>795</v>
      </c>
      <c r="B97" s="401"/>
      <c r="C97" s="401"/>
      <c r="D97" s="401"/>
      <c r="E97" s="401"/>
      <c r="F97" s="401"/>
      <c r="G97" s="401"/>
      <c r="H97" s="401"/>
    </row>
    <row r="98" spans="1:8">
      <c r="A98" s="402" t="s">
        <v>796</v>
      </c>
      <c r="B98" s="401"/>
      <c r="C98" s="401"/>
      <c r="D98" s="401"/>
      <c r="E98" s="401"/>
      <c r="F98" s="401"/>
      <c r="G98" s="401"/>
      <c r="H98" s="401"/>
    </row>
    <row r="99" spans="1:8">
      <c r="A99" s="402" t="s">
        <v>797</v>
      </c>
      <c r="B99" s="401"/>
      <c r="C99" s="401"/>
      <c r="D99" s="401"/>
      <c r="E99" s="401"/>
      <c r="F99" s="401"/>
      <c r="G99" s="401"/>
      <c r="H99" s="401"/>
    </row>
    <row r="100" spans="1:8">
      <c r="A100" s="402" t="s">
        <v>798</v>
      </c>
      <c r="B100" s="401"/>
      <c r="C100" s="401"/>
      <c r="D100" s="401"/>
      <c r="E100" s="401"/>
      <c r="F100" s="401"/>
      <c r="G100" s="401"/>
      <c r="H100" s="401"/>
    </row>
    <row r="101" spans="1:8">
      <c r="A101" s="401"/>
      <c r="B101" s="401"/>
      <c r="C101" s="401"/>
      <c r="D101" s="401"/>
      <c r="E101" s="401"/>
      <c r="F101" s="401"/>
      <c r="G101" s="401"/>
      <c r="H101" s="401"/>
    </row>
    <row r="102" spans="1:8">
      <c r="A102" s="402" t="s">
        <v>790</v>
      </c>
      <c r="B102" s="401"/>
      <c r="C102" s="401"/>
      <c r="D102" s="401"/>
      <c r="E102" s="401"/>
      <c r="F102" s="401"/>
      <c r="G102" s="401"/>
      <c r="H102" s="401"/>
    </row>
    <row r="103" spans="1:8">
      <c r="A103" s="402" t="s">
        <v>791</v>
      </c>
      <c r="B103" s="401"/>
      <c r="C103" s="401"/>
      <c r="D103" s="401"/>
      <c r="E103" s="401"/>
      <c r="F103" s="401"/>
      <c r="G103" s="401"/>
      <c r="H103" s="401"/>
    </row>
    <row r="104" spans="1:8">
      <c r="A104" s="401"/>
      <c r="B104" s="401"/>
      <c r="C104" s="401"/>
      <c r="D104" s="401"/>
      <c r="E104" s="401"/>
      <c r="F104" s="401"/>
      <c r="G104" s="401"/>
      <c r="H104" s="401"/>
    </row>
    <row r="105" spans="1:8" ht="15.75">
      <c r="A105" s="403" t="s">
        <v>563</v>
      </c>
      <c r="B105" s="401"/>
      <c r="C105" s="401"/>
      <c r="D105" s="401"/>
      <c r="E105" s="401"/>
      <c r="F105" s="401"/>
      <c r="G105" s="401"/>
      <c r="H105" s="401"/>
    </row>
    <row r="106" spans="1:8">
      <c r="A106" s="401"/>
      <c r="B106" s="401"/>
      <c r="C106" s="401"/>
      <c r="D106" s="401"/>
      <c r="E106" s="401"/>
      <c r="F106" s="401"/>
      <c r="G106" s="401"/>
      <c r="H106" s="401"/>
    </row>
    <row r="107" spans="1:8">
      <c r="A107" s="402" t="s">
        <v>781</v>
      </c>
      <c r="B107" s="401"/>
      <c r="C107" s="401"/>
      <c r="D107" s="401"/>
      <c r="E107" s="401"/>
      <c r="F107" s="401"/>
      <c r="G107" s="401"/>
      <c r="H107" s="401"/>
    </row>
    <row r="108" spans="1:8">
      <c r="A108" s="402" t="s">
        <v>782</v>
      </c>
      <c r="B108" s="401"/>
      <c r="C108" s="401"/>
      <c r="D108" s="401"/>
      <c r="E108" s="401"/>
      <c r="F108" s="401"/>
      <c r="G108" s="401"/>
      <c r="H108" s="401"/>
    </row>
    <row r="109" spans="1:8">
      <c r="A109" s="402" t="s">
        <v>783</v>
      </c>
      <c r="B109" s="401"/>
      <c r="C109" s="401"/>
      <c r="D109" s="401"/>
      <c r="E109" s="401"/>
      <c r="F109" s="401"/>
      <c r="G109" s="401"/>
      <c r="H109" s="401"/>
    </row>
    <row r="110" spans="1:8">
      <c r="A110" s="402" t="s">
        <v>784</v>
      </c>
      <c r="B110" s="401"/>
      <c r="C110" s="401"/>
      <c r="D110" s="401"/>
      <c r="E110" s="401"/>
      <c r="F110" s="401"/>
      <c r="G110" s="401"/>
      <c r="H110" s="401"/>
    </row>
    <row r="111" spans="1:8">
      <c r="A111" s="402" t="s">
        <v>785</v>
      </c>
      <c r="B111" s="401"/>
      <c r="C111" s="401"/>
      <c r="D111" s="401"/>
      <c r="E111" s="401"/>
      <c r="F111" s="401"/>
      <c r="G111" s="401"/>
      <c r="H111" s="401"/>
    </row>
    <row r="112" spans="1:8">
      <c r="A112" s="402" t="s">
        <v>786</v>
      </c>
      <c r="B112" s="401"/>
      <c r="C112" s="401"/>
      <c r="D112" s="401"/>
      <c r="E112" s="401"/>
      <c r="F112" s="401"/>
      <c r="G112" s="401"/>
      <c r="H112" s="401"/>
    </row>
    <row r="113" spans="1:8">
      <c r="A113" s="402" t="s">
        <v>787</v>
      </c>
      <c r="B113" s="401"/>
      <c r="C113" s="401"/>
      <c r="D113" s="401"/>
      <c r="E113" s="401"/>
      <c r="F113" s="401"/>
      <c r="G113" s="401"/>
      <c r="H113" s="401"/>
    </row>
    <row r="114" spans="1:8">
      <c r="A114" s="402" t="s">
        <v>788</v>
      </c>
      <c r="B114" s="401"/>
      <c r="C114" s="401"/>
      <c r="D114" s="401"/>
      <c r="E114" s="401"/>
      <c r="F114" s="401"/>
      <c r="G114" s="401"/>
      <c r="H114" s="401"/>
    </row>
    <row r="115" spans="1:8">
      <c r="A115" s="402" t="s">
        <v>789</v>
      </c>
      <c r="B115" s="401"/>
      <c r="C115" s="401"/>
      <c r="D115" s="401"/>
      <c r="E115" s="401"/>
      <c r="F115" s="401"/>
      <c r="G115" s="401"/>
      <c r="H115" s="401"/>
    </row>
    <row r="116" spans="1:8">
      <c r="A116" s="401"/>
      <c r="B116" s="401"/>
      <c r="C116" s="401"/>
      <c r="D116" s="401"/>
      <c r="E116" s="401"/>
      <c r="F116" s="401"/>
      <c r="G116" s="401"/>
      <c r="H116" s="401"/>
    </row>
    <row r="117" spans="1:8" ht="15.75">
      <c r="A117" s="439" t="s">
        <v>564</v>
      </c>
      <c r="B117" s="439"/>
      <c r="C117" s="439"/>
      <c r="D117" s="439"/>
      <c r="E117" s="439"/>
      <c r="F117" s="439"/>
      <c r="G117" s="439"/>
      <c r="H117" s="439"/>
    </row>
    <row r="118" spans="1:8">
      <c r="A118" s="437" t="s">
        <v>565</v>
      </c>
      <c r="B118" s="437"/>
      <c r="C118" s="437"/>
      <c r="D118" s="437"/>
      <c r="E118" s="437"/>
      <c r="F118" s="437"/>
      <c r="G118" s="437"/>
      <c r="H118" s="437"/>
    </row>
    <row r="119" spans="1:8">
      <c r="A119" s="440"/>
      <c r="B119" s="440"/>
      <c r="C119" s="440"/>
      <c r="D119" s="440"/>
      <c r="E119" s="440"/>
      <c r="F119" s="440"/>
      <c r="G119" s="440"/>
      <c r="H119" s="440"/>
    </row>
    <row r="120" spans="1:8">
      <c r="A120" s="437" t="s">
        <v>779</v>
      </c>
      <c r="B120" s="437"/>
      <c r="C120" s="437"/>
      <c r="D120" s="437"/>
      <c r="E120" s="437"/>
      <c r="F120" s="437"/>
      <c r="G120" s="437"/>
      <c r="H120" s="437"/>
    </row>
    <row r="121" spans="1:8">
      <c r="A121" s="402" t="s">
        <v>780</v>
      </c>
      <c r="B121" s="402"/>
      <c r="C121" s="402"/>
      <c r="D121" s="402"/>
      <c r="E121" s="402"/>
      <c r="F121" s="402"/>
      <c r="G121" s="402"/>
      <c r="H121" s="402"/>
    </row>
    <row r="122" spans="1:8">
      <c r="A122" s="440"/>
      <c r="B122" s="440"/>
      <c r="C122" s="440"/>
      <c r="D122" s="440"/>
      <c r="E122" s="440"/>
      <c r="F122" s="440"/>
      <c r="G122" s="440"/>
      <c r="H122" s="440"/>
    </row>
    <row r="123" spans="1:8">
      <c r="A123" s="437" t="s">
        <v>772</v>
      </c>
      <c r="B123" s="437"/>
      <c r="C123" s="437"/>
      <c r="D123" s="437"/>
      <c r="E123" s="437"/>
      <c r="F123" s="437"/>
      <c r="G123" s="437"/>
      <c r="H123" s="437"/>
    </row>
    <row r="124" spans="1:8">
      <c r="A124" s="402" t="s">
        <v>773</v>
      </c>
      <c r="B124" s="402"/>
      <c r="C124" s="402"/>
      <c r="D124" s="402"/>
      <c r="E124" s="402"/>
      <c r="F124" s="402"/>
      <c r="G124" s="402"/>
      <c r="H124" s="402"/>
    </row>
    <row r="125" spans="1:8">
      <c r="A125" s="402" t="s">
        <v>774</v>
      </c>
      <c r="B125" s="402"/>
      <c r="C125" s="402"/>
      <c r="D125" s="402"/>
      <c r="E125" s="402"/>
      <c r="F125" s="402"/>
      <c r="G125" s="402"/>
      <c r="H125" s="402"/>
    </row>
    <row r="126" spans="1:8">
      <c r="A126" s="402" t="s">
        <v>775</v>
      </c>
      <c r="B126" s="402"/>
      <c r="C126" s="402"/>
      <c r="D126" s="402"/>
      <c r="E126" s="402"/>
      <c r="F126" s="402"/>
      <c r="G126" s="402"/>
      <c r="H126" s="402"/>
    </row>
    <row r="127" spans="1:8">
      <c r="A127" s="402" t="s">
        <v>776</v>
      </c>
      <c r="B127" s="402"/>
      <c r="C127" s="402"/>
      <c r="D127" s="402"/>
      <c r="E127" s="402"/>
      <c r="F127" s="402"/>
      <c r="G127" s="402"/>
      <c r="H127" s="402"/>
    </row>
    <row r="128" spans="1:8">
      <c r="A128" s="402" t="s">
        <v>777</v>
      </c>
      <c r="B128" s="402"/>
      <c r="C128" s="402"/>
      <c r="D128" s="402"/>
      <c r="E128" s="402"/>
      <c r="F128" s="402"/>
      <c r="G128" s="402"/>
      <c r="H128" s="402"/>
    </row>
    <row r="129" spans="1:8">
      <c r="A129" s="402" t="s">
        <v>778</v>
      </c>
      <c r="B129" s="402"/>
      <c r="C129" s="402"/>
      <c r="D129" s="402"/>
      <c r="E129" s="402"/>
      <c r="F129" s="402"/>
      <c r="G129" s="402"/>
      <c r="H129" s="402"/>
    </row>
    <row r="130" spans="1:8">
      <c r="A130" s="438"/>
      <c r="B130" s="438"/>
      <c r="C130" s="438"/>
      <c r="D130" s="438"/>
      <c r="E130" s="438"/>
      <c r="F130" s="438"/>
      <c r="G130" s="438"/>
      <c r="H130" s="438"/>
    </row>
    <row r="131" spans="1:8">
      <c r="A131" s="404"/>
      <c r="B131" s="442" t="s">
        <v>566</v>
      </c>
      <c r="C131" s="443"/>
      <c r="D131" s="442" t="s">
        <v>567</v>
      </c>
      <c r="E131" s="444"/>
      <c r="F131" s="443"/>
      <c r="G131" s="442" t="s">
        <v>568</v>
      </c>
      <c r="H131" s="443"/>
    </row>
    <row r="132" spans="1:8">
      <c r="A132" s="404" t="s">
        <v>569</v>
      </c>
      <c r="B132" s="404" t="s">
        <v>471</v>
      </c>
      <c r="C132" s="404" t="s">
        <v>570</v>
      </c>
      <c r="D132" s="404" t="s">
        <v>471</v>
      </c>
      <c r="E132" s="404" t="s">
        <v>571</v>
      </c>
      <c r="F132" s="404" t="s">
        <v>572</v>
      </c>
      <c r="G132" s="404" t="s">
        <v>471</v>
      </c>
      <c r="H132" s="404" t="s">
        <v>573</v>
      </c>
    </row>
    <row r="133" spans="1:8">
      <c r="A133" s="404" t="s">
        <v>574</v>
      </c>
      <c r="B133" s="404">
        <v>1189</v>
      </c>
      <c r="C133" s="405">
        <v>0.38</v>
      </c>
      <c r="D133" s="404">
        <v>315</v>
      </c>
      <c r="E133" s="405">
        <v>0.41</v>
      </c>
      <c r="F133" s="405">
        <v>0.26</v>
      </c>
      <c r="G133" s="404">
        <v>555</v>
      </c>
      <c r="H133" s="405">
        <v>0.39</v>
      </c>
    </row>
    <row r="134" spans="1:8">
      <c r="A134" s="404" t="s">
        <v>575</v>
      </c>
      <c r="B134" s="404">
        <v>1355</v>
      </c>
      <c r="C134" s="405">
        <v>0.43</v>
      </c>
      <c r="D134" s="404">
        <v>364</v>
      </c>
      <c r="E134" s="405">
        <v>0.47</v>
      </c>
      <c r="F134" s="405">
        <v>0.27</v>
      </c>
      <c r="G134" s="404">
        <v>644</v>
      </c>
      <c r="H134" s="405">
        <v>0.45</v>
      </c>
    </row>
    <row r="135" spans="1:8">
      <c r="A135" s="404" t="s">
        <v>576</v>
      </c>
      <c r="B135" s="404">
        <v>53</v>
      </c>
      <c r="C135" s="405">
        <v>0.02</v>
      </c>
      <c r="D135" s="404">
        <v>4</v>
      </c>
      <c r="E135" s="405">
        <v>0.01</v>
      </c>
      <c r="F135" s="405">
        <v>0.08</v>
      </c>
      <c r="G135" s="404">
        <v>7</v>
      </c>
      <c r="H135" s="405">
        <v>0</v>
      </c>
    </row>
    <row r="136" spans="1:8">
      <c r="A136" s="404" t="s">
        <v>577</v>
      </c>
      <c r="B136" s="404">
        <v>545</v>
      </c>
      <c r="C136" s="405">
        <v>0.17</v>
      </c>
      <c r="D136" s="404">
        <v>84</v>
      </c>
      <c r="E136" s="405">
        <v>0.11</v>
      </c>
      <c r="F136" s="405">
        <v>0.15</v>
      </c>
      <c r="G136" s="404">
        <v>214</v>
      </c>
      <c r="H136" s="405">
        <v>0.15</v>
      </c>
    </row>
    <row r="137" spans="1:8">
      <c r="A137" s="404" t="s">
        <v>500</v>
      </c>
      <c r="B137" s="406">
        <v>3142</v>
      </c>
      <c r="C137" s="404"/>
      <c r="D137" s="404">
        <v>767</v>
      </c>
      <c r="E137" s="404"/>
      <c r="F137" s="404"/>
      <c r="G137" s="404">
        <v>1420</v>
      </c>
      <c r="H137" s="404"/>
    </row>
    <row r="138" spans="1:8">
      <c r="A138" s="441"/>
      <c r="B138" s="441"/>
      <c r="C138" s="441"/>
      <c r="D138" s="441"/>
      <c r="E138" s="441"/>
      <c r="F138" s="441"/>
      <c r="G138" s="441"/>
      <c r="H138" s="441"/>
    </row>
    <row r="139" spans="1:8">
      <c r="A139" s="437" t="s">
        <v>768</v>
      </c>
      <c r="B139" s="437"/>
      <c r="C139" s="437"/>
      <c r="D139" s="437"/>
      <c r="E139" s="437"/>
      <c r="F139" s="437"/>
      <c r="G139" s="437"/>
      <c r="H139" s="437"/>
    </row>
    <row r="140" spans="1:8">
      <c r="A140" s="402" t="s">
        <v>769</v>
      </c>
      <c r="B140" s="402"/>
      <c r="C140" s="402"/>
      <c r="D140" s="402"/>
      <c r="E140" s="402"/>
      <c r="F140" s="402"/>
      <c r="G140" s="402"/>
      <c r="H140" s="402"/>
    </row>
    <row r="141" spans="1:8">
      <c r="A141" s="402" t="s">
        <v>770</v>
      </c>
      <c r="B141" s="402"/>
      <c r="C141" s="402"/>
      <c r="D141" s="402"/>
      <c r="E141" s="402"/>
      <c r="F141" s="402"/>
      <c r="G141" s="402"/>
      <c r="H141" s="402"/>
    </row>
    <row r="142" spans="1:8">
      <c r="A142" s="402" t="s">
        <v>771</v>
      </c>
      <c r="B142" s="402"/>
      <c r="C142" s="402"/>
      <c r="D142" s="402"/>
      <c r="E142" s="402"/>
      <c r="F142" s="402"/>
      <c r="G142" s="402"/>
      <c r="H142" s="402"/>
    </row>
    <row r="143" spans="1:8">
      <c r="A143" s="401"/>
      <c r="B143" s="401"/>
      <c r="C143" s="401"/>
      <c r="D143" s="401"/>
      <c r="E143" s="401"/>
      <c r="F143" s="401"/>
      <c r="G143" s="401"/>
      <c r="H143" s="401"/>
    </row>
    <row r="144" spans="1:8" ht="15.75">
      <c r="A144" s="403" t="s">
        <v>578</v>
      </c>
      <c r="B144" s="401"/>
      <c r="C144" s="401"/>
      <c r="D144" s="401"/>
      <c r="E144" s="401"/>
      <c r="F144" s="401"/>
      <c r="G144" s="401"/>
      <c r="H144" s="401"/>
    </row>
    <row r="145" spans="1:8">
      <c r="A145" s="401"/>
      <c r="B145" s="401"/>
      <c r="C145" s="401"/>
      <c r="D145" s="401"/>
      <c r="E145" s="401"/>
      <c r="F145" s="401"/>
      <c r="G145" s="401"/>
      <c r="H145" s="401"/>
    </row>
    <row r="146" spans="1:8">
      <c r="A146" s="402" t="s">
        <v>766</v>
      </c>
      <c r="B146" s="401"/>
      <c r="C146" s="401"/>
      <c r="D146" s="401"/>
      <c r="E146" s="401"/>
      <c r="F146" s="401"/>
      <c r="G146" s="401"/>
      <c r="H146" s="401"/>
    </row>
    <row r="147" spans="1:8">
      <c r="A147" s="402" t="s">
        <v>767</v>
      </c>
      <c r="B147" s="401"/>
      <c r="C147" s="401"/>
      <c r="D147" s="401"/>
      <c r="E147" s="401"/>
      <c r="F147" s="401"/>
      <c r="G147" s="401"/>
      <c r="H147" s="401"/>
    </row>
    <row r="148" spans="1:8">
      <c r="A148" s="401"/>
      <c r="B148" s="401"/>
      <c r="C148" s="401"/>
      <c r="D148" s="401"/>
      <c r="E148" s="401"/>
      <c r="F148" s="401"/>
      <c r="G148" s="401"/>
      <c r="H148" s="401"/>
    </row>
    <row r="149" spans="1:8">
      <c r="A149" s="402" t="s">
        <v>763</v>
      </c>
      <c r="B149" s="401"/>
      <c r="C149" s="401"/>
      <c r="D149" s="401"/>
      <c r="E149" s="401"/>
      <c r="F149" s="401"/>
      <c r="G149" s="401"/>
      <c r="H149" s="401"/>
    </row>
    <row r="150" spans="1:8">
      <c r="A150" s="402" t="s">
        <v>764</v>
      </c>
      <c r="B150" s="401"/>
      <c r="C150" s="401"/>
      <c r="D150" s="401"/>
      <c r="E150" s="401"/>
      <c r="F150" s="401"/>
      <c r="G150" s="401"/>
      <c r="H150" s="401"/>
    </row>
    <row r="151" spans="1:8">
      <c r="A151" s="402" t="s">
        <v>765</v>
      </c>
      <c r="B151" s="401"/>
      <c r="C151" s="401"/>
      <c r="D151" s="401"/>
      <c r="E151" s="401"/>
      <c r="F151" s="401"/>
      <c r="G151" s="401"/>
      <c r="H151" s="401"/>
    </row>
    <row r="152" spans="1:8">
      <c r="A152" s="401"/>
      <c r="B152" s="401"/>
      <c r="C152" s="401"/>
      <c r="D152" s="401"/>
      <c r="E152" s="401"/>
      <c r="F152" s="401"/>
      <c r="G152" s="401"/>
      <c r="H152" s="401"/>
    </row>
    <row r="153" spans="1:8">
      <c r="A153" s="402" t="s">
        <v>760</v>
      </c>
      <c r="B153" s="401"/>
      <c r="C153" s="401"/>
      <c r="D153" s="401"/>
      <c r="E153" s="401"/>
      <c r="F153" s="401"/>
      <c r="G153" s="401"/>
      <c r="H153" s="401"/>
    </row>
    <row r="154" spans="1:8">
      <c r="A154" s="402" t="s">
        <v>761</v>
      </c>
      <c r="B154" s="401"/>
      <c r="C154" s="401"/>
      <c r="D154" s="401"/>
      <c r="E154" s="401"/>
      <c r="F154" s="401"/>
      <c r="G154" s="401"/>
      <c r="H154" s="401"/>
    </row>
    <row r="155" spans="1:8">
      <c r="A155" s="402" t="s">
        <v>762</v>
      </c>
      <c r="B155" s="401"/>
      <c r="C155" s="401"/>
      <c r="D155" s="401"/>
      <c r="E155" s="401"/>
      <c r="F155" s="401"/>
      <c r="G155" s="401"/>
      <c r="H155" s="401"/>
    </row>
    <row r="156" spans="1:8">
      <c r="A156" s="401"/>
      <c r="B156" s="401"/>
      <c r="C156" s="401"/>
      <c r="D156" s="401"/>
      <c r="E156" s="401"/>
      <c r="F156" s="401"/>
      <c r="G156" s="401"/>
      <c r="H156" s="401"/>
    </row>
    <row r="157" spans="1:8">
      <c r="A157" s="402" t="s">
        <v>757</v>
      </c>
      <c r="B157" s="401"/>
      <c r="C157" s="401"/>
      <c r="D157" s="401"/>
      <c r="E157" s="401"/>
      <c r="F157" s="401"/>
      <c r="G157" s="401"/>
      <c r="H157" s="401"/>
    </row>
    <row r="158" spans="1:8">
      <c r="A158" s="402" t="s">
        <v>758</v>
      </c>
      <c r="B158" s="401"/>
      <c r="C158" s="401"/>
      <c r="D158" s="401"/>
      <c r="E158" s="401"/>
      <c r="F158" s="401"/>
      <c r="G158" s="401"/>
      <c r="H158" s="401"/>
    </row>
    <row r="159" spans="1:8">
      <c r="A159" s="402" t="s">
        <v>759</v>
      </c>
      <c r="B159" s="401"/>
      <c r="C159" s="401"/>
      <c r="D159" s="401"/>
      <c r="E159" s="401"/>
      <c r="F159" s="401"/>
      <c r="G159" s="401"/>
      <c r="H159" s="401"/>
    </row>
    <row r="160" spans="1:8">
      <c r="A160" s="401"/>
      <c r="B160" s="401"/>
      <c r="C160" s="401"/>
      <c r="D160" s="401"/>
      <c r="E160" s="401"/>
      <c r="F160" s="401"/>
      <c r="G160" s="401"/>
      <c r="H160" s="401"/>
    </row>
    <row r="161" spans="1:8">
      <c r="A161" s="402" t="s">
        <v>755</v>
      </c>
      <c r="B161" s="401"/>
      <c r="C161" s="401"/>
      <c r="D161" s="401"/>
      <c r="E161" s="401"/>
      <c r="F161" s="401"/>
      <c r="G161" s="401"/>
      <c r="H161" s="401"/>
    </row>
    <row r="162" spans="1:8">
      <c r="A162" s="402" t="s">
        <v>756</v>
      </c>
      <c r="B162" s="401"/>
      <c r="C162" s="401"/>
      <c r="D162" s="401"/>
      <c r="E162" s="401"/>
      <c r="F162" s="401"/>
      <c r="G162" s="401"/>
      <c r="H162" s="401"/>
    </row>
    <row r="163" spans="1:8">
      <c r="A163" s="401"/>
      <c r="B163" s="401"/>
      <c r="C163" s="401"/>
      <c r="D163" s="401"/>
      <c r="E163" s="401"/>
      <c r="F163" s="401"/>
      <c r="G163" s="401"/>
      <c r="H163" s="401"/>
    </row>
    <row r="164" spans="1:8" ht="15.75">
      <c r="A164" s="403" t="s">
        <v>579</v>
      </c>
      <c r="B164" s="401"/>
      <c r="C164" s="401"/>
      <c r="D164" s="401"/>
      <c r="E164" s="401"/>
      <c r="F164" s="401"/>
      <c r="G164" s="401"/>
      <c r="H164" s="401"/>
    </row>
    <row r="165" spans="1:8">
      <c r="A165" s="401"/>
      <c r="B165" s="401"/>
      <c r="C165" s="401"/>
      <c r="D165" s="401"/>
      <c r="E165" s="401"/>
      <c r="F165" s="401"/>
      <c r="G165" s="401"/>
      <c r="H165" s="401"/>
    </row>
    <row r="166" spans="1:8">
      <c r="A166" s="402" t="s">
        <v>753</v>
      </c>
      <c r="B166" s="401"/>
      <c r="C166" s="401"/>
      <c r="D166" s="401"/>
      <c r="E166" s="401"/>
      <c r="F166" s="401"/>
      <c r="G166" s="401"/>
      <c r="H166" s="401"/>
    </row>
    <row r="167" spans="1:8">
      <c r="A167" s="402" t="s">
        <v>754</v>
      </c>
      <c r="B167" s="401"/>
      <c r="C167" s="401"/>
      <c r="D167" s="401"/>
      <c r="E167" s="401"/>
      <c r="F167" s="401"/>
      <c r="G167" s="401"/>
      <c r="H167" s="401"/>
    </row>
    <row r="168" spans="1:8">
      <c r="A168" s="401"/>
      <c r="B168" s="401"/>
      <c r="C168" s="401"/>
      <c r="D168" s="401"/>
      <c r="E168" s="401"/>
      <c r="F168" s="401"/>
      <c r="G168" s="401"/>
      <c r="H168" s="401"/>
    </row>
    <row r="169" spans="1:8">
      <c r="A169" s="402" t="s">
        <v>751</v>
      </c>
      <c r="B169" s="401"/>
      <c r="C169" s="401"/>
      <c r="D169" s="401"/>
      <c r="E169" s="401"/>
      <c r="F169" s="401"/>
      <c r="G169" s="401"/>
      <c r="H169" s="401"/>
    </row>
    <row r="170" spans="1:8">
      <c r="A170" s="402" t="s">
        <v>752</v>
      </c>
      <c r="B170" s="401"/>
      <c r="C170" s="401"/>
      <c r="D170" s="401"/>
      <c r="E170" s="401"/>
      <c r="F170" s="401"/>
      <c r="G170" s="401"/>
      <c r="H170" s="401"/>
    </row>
    <row r="171" spans="1:8">
      <c r="A171" s="401"/>
      <c r="B171" s="401"/>
      <c r="C171" s="401"/>
      <c r="D171" s="401"/>
      <c r="E171" s="401"/>
      <c r="F171" s="401"/>
      <c r="G171" s="401"/>
      <c r="H171" s="401"/>
    </row>
    <row r="172" spans="1:8">
      <c r="A172" s="402" t="s">
        <v>749</v>
      </c>
      <c r="B172" s="401"/>
      <c r="C172" s="401"/>
      <c r="D172" s="401"/>
      <c r="E172" s="401"/>
      <c r="F172" s="401"/>
      <c r="G172" s="401"/>
      <c r="H172" s="401"/>
    </row>
    <row r="173" spans="1:8">
      <c r="A173" s="402" t="s">
        <v>750</v>
      </c>
      <c r="B173" s="401"/>
      <c r="C173" s="401"/>
      <c r="D173" s="401"/>
      <c r="E173" s="401"/>
      <c r="F173" s="401"/>
      <c r="G173" s="401"/>
      <c r="H173" s="401"/>
    </row>
    <row r="174" spans="1:8">
      <c r="A174" s="401"/>
      <c r="B174" s="401"/>
      <c r="C174" s="401"/>
      <c r="D174" s="401"/>
      <c r="E174" s="401"/>
      <c r="F174" s="401"/>
      <c r="G174" s="401"/>
      <c r="H174" s="401"/>
    </row>
    <row r="175" spans="1:8">
      <c r="A175" s="402" t="s">
        <v>746</v>
      </c>
      <c r="B175" s="401"/>
      <c r="C175" s="401"/>
      <c r="D175" s="401"/>
      <c r="E175" s="401"/>
      <c r="F175" s="401"/>
      <c r="G175" s="401"/>
      <c r="H175" s="401"/>
    </row>
    <row r="176" spans="1:8">
      <c r="A176" s="402" t="s">
        <v>747</v>
      </c>
      <c r="B176" s="401"/>
      <c r="C176" s="401"/>
      <c r="D176" s="401"/>
      <c r="E176" s="401"/>
      <c r="F176" s="401"/>
      <c r="G176" s="401"/>
      <c r="H176" s="401"/>
    </row>
    <row r="177" spans="1:8">
      <c r="A177" s="402" t="s">
        <v>748</v>
      </c>
      <c r="B177" s="401"/>
      <c r="C177" s="401"/>
      <c r="D177" s="401"/>
      <c r="E177" s="401"/>
      <c r="F177" s="401"/>
      <c r="G177" s="401"/>
      <c r="H177" s="401"/>
    </row>
    <row r="178" spans="1:8">
      <c r="A178" s="401"/>
      <c r="B178" s="401"/>
      <c r="C178" s="401"/>
      <c r="D178" s="401"/>
      <c r="E178" s="401"/>
      <c r="F178" s="401"/>
      <c r="G178" s="401"/>
      <c r="H178" s="401"/>
    </row>
    <row r="179" spans="1:8">
      <c r="A179" s="401"/>
      <c r="B179" s="401"/>
      <c r="C179" s="401"/>
      <c r="D179" s="401"/>
      <c r="E179" s="401"/>
      <c r="F179" s="401"/>
      <c r="G179" s="401"/>
      <c r="H179" s="401"/>
    </row>
    <row r="180" spans="1:8">
      <c r="A180" s="402" t="s">
        <v>580</v>
      </c>
      <c r="B180" s="401"/>
      <c r="C180" s="401"/>
      <c r="D180" s="401"/>
      <c r="E180" s="401"/>
      <c r="F180" s="401"/>
      <c r="G180" s="401"/>
      <c r="H180" s="401"/>
    </row>
    <row r="181" spans="1:8">
      <c r="A181" s="401"/>
      <c r="B181" s="401"/>
      <c r="C181" s="401"/>
      <c r="D181" s="401"/>
      <c r="E181" s="401"/>
      <c r="F181" s="401"/>
      <c r="G181" s="401"/>
      <c r="H181" s="401"/>
    </row>
    <row r="182" spans="1:8" ht="15.75">
      <c r="A182" s="403" t="s">
        <v>581</v>
      </c>
      <c r="B182" s="401"/>
      <c r="C182" s="401"/>
      <c r="D182" s="401"/>
      <c r="E182" s="401"/>
      <c r="F182" s="401"/>
      <c r="G182" s="401"/>
      <c r="H182" s="401"/>
    </row>
    <row r="183" spans="1:8">
      <c r="A183" s="401"/>
      <c r="B183" s="401"/>
      <c r="C183" s="401"/>
      <c r="D183" s="401"/>
      <c r="E183" s="401"/>
      <c r="F183" s="401"/>
      <c r="G183" s="401"/>
      <c r="H183" s="401"/>
    </row>
    <row r="184" spans="1:8">
      <c r="A184" s="401"/>
      <c r="B184" s="401"/>
      <c r="C184" s="401"/>
      <c r="D184" s="401"/>
      <c r="E184" s="401"/>
      <c r="F184" s="401"/>
      <c r="G184" s="401"/>
      <c r="H184" s="401"/>
    </row>
    <row r="185" spans="1:8">
      <c r="A185" s="401"/>
      <c r="B185" s="401"/>
      <c r="C185" s="401"/>
      <c r="D185" s="401"/>
      <c r="E185" s="401"/>
      <c r="F185" s="401"/>
      <c r="G185" s="401"/>
      <c r="H185" s="401"/>
    </row>
    <row r="186" spans="1:8">
      <c r="A186" s="401"/>
      <c r="B186" s="401"/>
      <c r="C186" s="401"/>
      <c r="D186" s="401"/>
      <c r="E186" s="401"/>
      <c r="F186" s="401"/>
      <c r="G186" s="401"/>
      <c r="H186" s="401"/>
    </row>
    <row r="187" spans="1:8">
      <c r="A187" s="401"/>
      <c r="B187" s="401"/>
      <c r="C187" s="401"/>
      <c r="D187" s="401"/>
      <c r="E187" s="401"/>
      <c r="F187" s="401"/>
      <c r="G187" s="401"/>
      <c r="H187" s="401"/>
    </row>
    <row r="188" spans="1:8">
      <c r="A188" s="401"/>
      <c r="B188" s="401"/>
      <c r="C188" s="401"/>
      <c r="D188" s="401"/>
      <c r="E188" s="401"/>
      <c r="F188" s="401"/>
      <c r="G188" s="401"/>
      <c r="H188" s="401"/>
    </row>
    <row r="189" spans="1:8">
      <c r="A189" s="401"/>
      <c r="B189" s="401"/>
      <c r="C189" s="401"/>
      <c r="D189" s="401"/>
      <c r="E189" s="401"/>
      <c r="F189" s="401"/>
      <c r="G189" s="401"/>
      <c r="H189" s="401"/>
    </row>
    <row r="190" spans="1:8">
      <c r="A190" s="401"/>
      <c r="B190" s="401"/>
      <c r="C190" s="401"/>
      <c r="D190" s="401"/>
      <c r="E190" s="401"/>
      <c r="F190" s="401"/>
      <c r="G190" s="401"/>
      <c r="H190" s="401"/>
    </row>
    <row r="191" spans="1:8">
      <c r="A191" s="401"/>
      <c r="B191" s="401"/>
      <c r="C191" s="401"/>
      <c r="D191" s="401"/>
      <c r="E191" s="401"/>
      <c r="F191" s="401"/>
      <c r="G191" s="401"/>
      <c r="H191" s="401"/>
    </row>
    <row r="192" spans="1:8">
      <c r="A192" s="401"/>
      <c r="B192" s="401"/>
      <c r="C192" s="401"/>
      <c r="D192" s="401"/>
      <c r="E192" s="401"/>
      <c r="F192" s="401"/>
      <c r="G192" s="401"/>
      <c r="H192" s="401"/>
    </row>
    <row r="193" spans="1:8">
      <c r="A193" s="401"/>
      <c r="B193" s="401"/>
      <c r="C193" s="401"/>
      <c r="D193" s="401"/>
      <c r="E193" s="401"/>
      <c r="F193" s="401"/>
      <c r="G193" s="401"/>
      <c r="H193" s="401"/>
    </row>
    <row r="194" spans="1:8">
      <c r="A194" s="401"/>
      <c r="B194" s="401"/>
      <c r="C194" s="401"/>
      <c r="D194" s="401"/>
      <c r="E194" s="401"/>
      <c r="F194" s="401"/>
      <c r="G194" s="401"/>
      <c r="H194" s="401"/>
    </row>
    <row r="195" spans="1:8">
      <c r="A195" s="401"/>
      <c r="B195" s="401"/>
      <c r="C195" s="401"/>
      <c r="D195" s="401"/>
      <c r="E195" s="401"/>
      <c r="F195" s="401"/>
      <c r="G195" s="401"/>
      <c r="H195" s="401"/>
    </row>
    <row r="196" spans="1:8">
      <c r="A196" s="401"/>
      <c r="B196" s="401"/>
      <c r="C196" s="401"/>
      <c r="D196" s="401"/>
      <c r="E196" s="401"/>
      <c r="F196" s="401"/>
      <c r="G196" s="401"/>
      <c r="H196" s="401"/>
    </row>
    <row r="197" spans="1:8">
      <c r="A197" s="401"/>
      <c r="B197" s="401"/>
      <c r="C197" s="401"/>
      <c r="D197" s="401"/>
      <c r="E197" s="401"/>
      <c r="F197" s="401"/>
      <c r="G197" s="401"/>
      <c r="H197" s="401"/>
    </row>
    <row r="198" spans="1:8">
      <c r="A198" s="401"/>
      <c r="B198" s="401"/>
      <c r="C198" s="401"/>
      <c r="D198" s="401"/>
      <c r="E198" s="401"/>
      <c r="F198" s="401"/>
      <c r="G198" s="401"/>
      <c r="H198" s="401"/>
    </row>
    <row r="199" spans="1:8">
      <c r="A199" s="401"/>
      <c r="B199" s="401"/>
      <c r="C199" s="401"/>
      <c r="D199" s="401"/>
      <c r="E199" s="401"/>
      <c r="F199" s="401"/>
      <c r="G199" s="401"/>
      <c r="H199" s="401"/>
    </row>
    <row r="200" spans="1:8">
      <c r="A200" s="401"/>
      <c r="B200" s="401"/>
      <c r="C200" s="401"/>
      <c r="D200" s="401"/>
      <c r="E200" s="401"/>
      <c r="F200" s="401"/>
      <c r="G200" s="401"/>
      <c r="H200" s="401"/>
    </row>
    <row r="201" spans="1:8">
      <c r="A201" s="401"/>
      <c r="B201" s="401"/>
      <c r="C201" s="401"/>
      <c r="D201" s="401"/>
      <c r="E201" s="401"/>
      <c r="F201" s="401"/>
      <c r="G201" s="401"/>
      <c r="H201" s="401"/>
    </row>
    <row r="202" spans="1:8">
      <c r="A202" s="401"/>
      <c r="B202" s="401"/>
      <c r="C202" s="401"/>
      <c r="D202" s="401"/>
      <c r="E202" s="401"/>
      <c r="F202" s="401"/>
      <c r="G202" s="401"/>
      <c r="H202" s="401"/>
    </row>
    <row r="203" spans="1:8">
      <c r="A203" s="401"/>
      <c r="B203" s="401"/>
      <c r="C203" s="401"/>
      <c r="D203" s="401"/>
      <c r="E203" s="401"/>
      <c r="F203" s="401"/>
      <c r="G203" s="401"/>
      <c r="H203" s="401"/>
    </row>
    <row r="204" spans="1:8">
      <c r="A204" s="401"/>
      <c r="B204" s="401"/>
      <c r="C204" s="401"/>
      <c r="D204" s="401"/>
      <c r="E204" s="401"/>
      <c r="F204" s="401"/>
      <c r="G204" s="401"/>
      <c r="H204" s="401"/>
    </row>
    <row r="205" spans="1:8">
      <c r="A205" s="401"/>
      <c r="B205" s="401"/>
      <c r="C205" s="401"/>
      <c r="D205" s="401"/>
      <c r="E205" s="401"/>
      <c r="F205" s="401"/>
      <c r="G205" s="401"/>
      <c r="H205" s="401"/>
    </row>
    <row r="206" spans="1:8">
      <c r="A206" s="401"/>
      <c r="B206" s="401"/>
      <c r="C206" s="401"/>
      <c r="D206" s="401"/>
      <c r="E206" s="401"/>
      <c r="F206" s="401"/>
      <c r="G206" s="401"/>
      <c r="H206" s="401"/>
    </row>
    <row r="207" spans="1:8">
      <c r="A207" s="401"/>
      <c r="B207" s="401"/>
      <c r="C207" s="401"/>
      <c r="D207" s="401"/>
      <c r="E207" s="401"/>
      <c r="F207" s="401"/>
      <c r="G207" s="401"/>
      <c r="H207" s="401"/>
    </row>
    <row r="208" spans="1:8">
      <c r="A208" s="401"/>
      <c r="B208" s="401"/>
      <c r="C208" s="401"/>
      <c r="D208" s="401"/>
      <c r="E208" s="401"/>
      <c r="F208" s="401"/>
      <c r="G208" s="401"/>
      <c r="H208" s="401"/>
    </row>
    <row r="209" spans="1:8" ht="15.75">
      <c r="A209" s="403" t="s">
        <v>582</v>
      </c>
      <c r="B209" s="401"/>
      <c r="C209" s="401"/>
      <c r="D209" s="401"/>
      <c r="E209" s="401"/>
      <c r="F209" s="401"/>
      <c r="G209" s="401"/>
      <c r="H209" s="401"/>
    </row>
    <row r="210" spans="1:8">
      <c r="A210" s="401"/>
      <c r="B210" s="401"/>
      <c r="C210" s="401"/>
      <c r="D210" s="401"/>
      <c r="E210" s="401"/>
      <c r="F210" s="401"/>
      <c r="G210" s="401"/>
      <c r="H210" s="401"/>
    </row>
    <row r="211" spans="1:8">
      <c r="A211" s="402" t="s">
        <v>741</v>
      </c>
      <c r="B211" s="401"/>
      <c r="C211" s="401"/>
      <c r="D211" s="401"/>
      <c r="E211" s="401"/>
      <c r="F211" s="401"/>
      <c r="G211" s="401"/>
      <c r="H211" s="401"/>
    </row>
    <row r="212" spans="1:8">
      <c r="A212" s="402" t="s">
        <v>742</v>
      </c>
      <c r="B212" s="401"/>
      <c r="C212" s="401"/>
      <c r="D212" s="401"/>
      <c r="E212" s="401"/>
      <c r="F212" s="401"/>
      <c r="G212" s="401"/>
      <c r="H212" s="401"/>
    </row>
    <row r="213" spans="1:8">
      <c r="A213" s="402" t="s">
        <v>743</v>
      </c>
      <c r="B213" s="401"/>
      <c r="C213" s="401"/>
      <c r="D213" s="401"/>
      <c r="E213" s="401"/>
      <c r="F213" s="401"/>
      <c r="G213" s="401"/>
      <c r="H213" s="401"/>
    </row>
    <row r="214" spans="1:8">
      <c r="A214" s="402" t="s">
        <v>744</v>
      </c>
      <c r="B214" s="401"/>
      <c r="C214" s="401"/>
      <c r="D214" s="401"/>
      <c r="E214" s="401"/>
      <c r="F214" s="401"/>
      <c r="G214" s="401"/>
      <c r="H214" s="401"/>
    </row>
    <row r="215" spans="1:8">
      <c r="A215" s="402" t="s">
        <v>745</v>
      </c>
      <c r="B215" s="401"/>
      <c r="C215" s="401"/>
      <c r="D215" s="401"/>
      <c r="E215" s="401"/>
      <c r="F215" s="401"/>
      <c r="G215" s="401"/>
      <c r="H215" s="401"/>
    </row>
    <row r="216" spans="1:8">
      <c r="A216" s="401"/>
      <c r="B216" s="401"/>
      <c r="C216" s="401"/>
      <c r="D216" s="401"/>
      <c r="E216" s="401"/>
      <c r="F216" s="401"/>
      <c r="G216" s="401"/>
      <c r="H216" s="401"/>
    </row>
    <row r="217" spans="1:8">
      <c r="A217" s="402" t="s">
        <v>738</v>
      </c>
      <c r="B217" s="401"/>
      <c r="C217" s="401"/>
      <c r="D217" s="401"/>
      <c r="E217" s="401"/>
      <c r="F217" s="401"/>
      <c r="G217" s="401"/>
      <c r="H217" s="401"/>
    </row>
    <row r="218" spans="1:8">
      <c r="A218" s="402" t="s">
        <v>739</v>
      </c>
      <c r="B218" s="401"/>
      <c r="C218" s="401"/>
      <c r="D218" s="401"/>
      <c r="E218" s="401"/>
      <c r="F218" s="401"/>
      <c r="G218" s="401"/>
      <c r="H218" s="401"/>
    </row>
    <row r="219" spans="1:8">
      <c r="A219" s="402" t="s">
        <v>740</v>
      </c>
      <c r="B219" s="401"/>
      <c r="C219" s="401"/>
      <c r="D219" s="401"/>
      <c r="E219" s="401"/>
      <c r="F219" s="401"/>
      <c r="G219" s="401"/>
      <c r="H219" s="401"/>
    </row>
    <row r="220" spans="1:8" ht="15.75">
      <c r="A220" s="403" t="s">
        <v>583</v>
      </c>
      <c r="B220" s="401"/>
      <c r="C220" s="401"/>
      <c r="D220" s="401"/>
      <c r="E220" s="401"/>
      <c r="F220" s="401"/>
      <c r="G220" s="401"/>
      <c r="H220" s="401"/>
    </row>
    <row r="221" spans="1:8">
      <c r="A221" s="401"/>
      <c r="B221" s="401"/>
      <c r="C221" s="401"/>
      <c r="D221" s="401"/>
      <c r="E221" s="401"/>
      <c r="F221" s="401"/>
      <c r="G221" s="401"/>
      <c r="H221" s="401"/>
    </row>
    <row r="222" spans="1:8">
      <c r="A222" s="402" t="s">
        <v>731</v>
      </c>
      <c r="B222" s="401"/>
      <c r="C222" s="401"/>
      <c r="D222" s="401"/>
      <c r="E222" s="401"/>
      <c r="F222" s="401"/>
      <c r="G222" s="401"/>
      <c r="H222" s="401"/>
    </row>
    <row r="223" spans="1:8">
      <c r="A223" s="402" t="s">
        <v>732</v>
      </c>
      <c r="B223" s="401"/>
      <c r="C223" s="401"/>
      <c r="D223" s="401"/>
      <c r="E223" s="401"/>
      <c r="F223" s="401"/>
      <c r="G223" s="401"/>
      <c r="H223" s="401"/>
    </row>
    <row r="224" spans="1:8">
      <c r="A224" s="402" t="s">
        <v>733</v>
      </c>
      <c r="B224" s="401"/>
      <c r="C224" s="401"/>
      <c r="D224" s="401"/>
      <c r="E224" s="401"/>
      <c r="F224" s="401"/>
      <c r="G224" s="401"/>
      <c r="H224" s="401"/>
    </row>
    <row r="225" spans="1:8">
      <c r="A225" s="402" t="s">
        <v>734</v>
      </c>
      <c r="B225" s="401"/>
      <c r="C225" s="401"/>
      <c r="D225" s="401"/>
      <c r="E225" s="401"/>
      <c r="F225" s="401"/>
      <c r="G225" s="401"/>
      <c r="H225" s="401"/>
    </row>
    <row r="226" spans="1:8">
      <c r="A226" s="402" t="s">
        <v>735</v>
      </c>
      <c r="B226" s="401"/>
      <c r="C226" s="401"/>
      <c r="D226" s="401"/>
      <c r="E226" s="401"/>
      <c r="F226" s="401"/>
      <c r="G226" s="401"/>
      <c r="H226" s="401"/>
    </row>
    <row r="227" spans="1:8">
      <c r="A227" s="402" t="s">
        <v>736</v>
      </c>
      <c r="B227" s="401"/>
      <c r="C227" s="401"/>
      <c r="D227" s="401"/>
      <c r="E227" s="401"/>
      <c r="F227" s="401"/>
      <c r="G227" s="401"/>
      <c r="H227" s="401"/>
    </row>
    <row r="228" spans="1:8">
      <c r="A228" s="402" t="s">
        <v>737</v>
      </c>
      <c r="B228" s="401"/>
      <c r="C228" s="401"/>
      <c r="D228" s="401"/>
      <c r="E228" s="401"/>
      <c r="F228" s="401"/>
      <c r="G228" s="401"/>
      <c r="H228" s="401"/>
    </row>
    <row r="229" spans="1:8">
      <c r="A229" s="401"/>
      <c r="B229" s="401"/>
      <c r="C229" s="401"/>
      <c r="D229" s="401"/>
      <c r="E229" s="401"/>
      <c r="F229" s="401"/>
      <c r="G229" s="401"/>
      <c r="H229" s="401"/>
    </row>
    <row r="230" spans="1:8">
      <c r="A230" s="402" t="s">
        <v>728</v>
      </c>
      <c r="B230" s="401"/>
      <c r="C230" s="401"/>
      <c r="D230" s="401"/>
      <c r="E230" s="401"/>
      <c r="F230" s="401"/>
      <c r="G230" s="401"/>
      <c r="H230" s="401"/>
    </row>
    <row r="231" spans="1:8">
      <c r="A231" s="402" t="s">
        <v>729</v>
      </c>
      <c r="B231" s="401"/>
      <c r="C231" s="401"/>
      <c r="D231" s="401"/>
      <c r="E231" s="401"/>
      <c r="F231" s="401"/>
      <c r="G231" s="401"/>
      <c r="H231" s="401"/>
    </row>
    <row r="232" spans="1:8">
      <c r="A232" s="402" t="s">
        <v>730</v>
      </c>
      <c r="B232" s="401"/>
      <c r="C232" s="401"/>
      <c r="D232" s="401"/>
      <c r="E232" s="401"/>
      <c r="F232" s="401"/>
      <c r="G232" s="401"/>
      <c r="H232" s="401"/>
    </row>
    <row r="233" spans="1:8">
      <c r="A233" s="401"/>
      <c r="B233" s="401"/>
      <c r="C233" s="401"/>
      <c r="D233" s="401"/>
      <c r="E233" s="401"/>
      <c r="F233" s="401"/>
      <c r="G233" s="401"/>
      <c r="H233" s="401"/>
    </row>
    <row r="234" spans="1:8">
      <c r="A234" s="402" t="s">
        <v>723</v>
      </c>
      <c r="B234" s="401"/>
      <c r="C234" s="401"/>
      <c r="D234" s="401"/>
      <c r="E234" s="401"/>
      <c r="F234" s="401"/>
      <c r="G234" s="401"/>
      <c r="H234" s="401"/>
    </row>
    <row r="235" spans="1:8">
      <c r="A235" s="402" t="s">
        <v>724</v>
      </c>
      <c r="B235" s="401"/>
      <c r="C235" s="401"/>
      <c r="D235" s="401"/>
      <c r="E235" s="401"/>
      <c r="F235" s="401"/>
      <c r="G235" s="401"/>
      <c r="H235" s="401"/>
    </row>
    <row r="236" spans="1:8">
      <c r="A236" s="402" t="s">
        <v>725</v>
      </c>
      <c r="B236" s="401"/>
      <c r="C236" s="401"/>
      <c r="D236" s="401"/>
      <c r="E236" s="401"/>
      <c r="F236" s="401"/>
      <c r="G236" s="401"/>
      <c r="H236" s="401"/>
    </row>
    <row r="237" spans="1:8">
      <c r="A237" s="402" t="s">
        <v>726</v>
      </c>
      <c r="B237" s="401"/>
      <c r="C237" s="401"/>
      <c r="D237" s="401"/>
      <c r="E237" s="401"/>
      <c r="F237" s="401"/>
      <c r="G237" s="401"/>
      <c r="H237" s="401"/>
    </row>
    <row r="238" spans="1:8">
      <c r="A238" s="402" t="s">
        <v>727</v>
      </c>
      <c r="B238" s="401"/>
      <c r="C238" s="401"/>
      <c r="D238" s="401"/>
      <c r="E238" s="401"/>
      <c r="F238" s="401"/>
      <c r="G238" s="401"/>
      <c r="H238" s="401"/>
    </row>
    <row r="239" spans="1:8">
      <c r="A239" s="401"/>
      <c r="B239" s="401"/>
      <c r="C239" s="401"/>
      <c r="D239" s="401"/>
      <c r="E239" s="401"/>
      <c r="F239" s="401"/>
      <c r="G239" s="401"/>
      <c r="H239" s="401"/>
    </row>
    <row r="240" spans="1:8">
      <c r="A240" s="402" t="s">
        <v>717</v>
      </c>
      <c r="B240" s="401"/>
      <c r="C240" s="401"/>
      <c r="D240" s="401"/>
      <c r="E240" s="401"/>
      <c r="F240" s="401"/>
      <c r="G240" s="401"/>
      <c r="H240" s="401"/>
    </row>
    <row r="241" spans="1:8">
      <c r="A241" s="402" t="s">
        <v>718</v>
      </c>
      <c r="B241" s="401"/>
      <c r="C241" s="401"/>
      <c r="D241" s="401"/>
      <c r="E241" s="401"/>
      <c r="F241" s="401"/>
      <c r="G241" s="401"/>
      <c r="H241" s="401"/>
    </row>
    <row r="242" spans="1:8">
      <c r="A242" s="402" t="s">
        <v>719</v>
      </c>
      <c r="B242" s="401"/>
      <c r="C242" s="401"/>
      <c r="D242" s="401"/>
      <c r="E242" s="401"/>
      <c r="F242" s="401"/>
      <c r="G242" s="401"/>
      <c r="H242" s="401"/>
    </row>
    <row r="243" spans="1:8">
      <c r="A243" s="402" t="s">
        <v>720</v>
      </c>
      <c r="B243" s="401"/>
      <c r="C243" s="401"/>
      <c r="D243" s="401"/>
      <c r="E243" s="401"/>
      <c r="F243" s="401"/>
      <c r="G243" s="401"/>
      <c r="H243" s="401"/>
    </row>
    <row r="244" spans="1:8">
      <c r="A244" s="402" t="s">
        <v>721</v>
      </c>
      <c r="B244" s="401"/>
      <c r="C244" s="401"/>
      <c r="D244" s="401"/>
      <c r="E244" s="401"/>
      <c r="F244" s="401"/>
      <c r="G244" s="401"/>
      <c r="H244" s="401"/>
    </row>
    <row r="245" spans="1:8">
      <c r="A245" s="402" t="s">
        <v>722</v>
      </c>
      <c r="B245" s="401"/>
      <c r="C245" s="401"/>
      <c r="D245" s="401"/>
      <c r="E245" s="401"/>
      <c r="F245" s="401"/>
      <c r="G245" s="401"/>
      <c r="H245" s="401"/>
    </row>
    <row r="246" spans="1:8">
      <c r="A246" s="401"/>
      <c r="B246" s="401"/>
      <c r="C246" s="401"/>
      <c r="D246" s="401"/>
      <c r="E246" s="401"/>
      <c r="F246" s="401"/>
      <c r="G246" s="401"/>
      <c r="H246" s="401"/>
    </row>
    <row r="247" spans="1:8">
      <c r="A247" s="402" t="s">
        <v>707</v>
      </c>
      <c r="B247" s="401"/>
      <c r="C247" s="401"/>
      <c r="D247" s="401"/>
      <c r="E247" s="401"/>
      <c r="F247" s="401"/>
      <c r="G247" s="401"/>
      <c r="H247" s="401"/>
    </row>
    <row r="248" spans="1:8">
      <c r="A248" s="402" t="s">
        <v>708</v>
      </c>
      <c r="B248" s="401"/>
      <c r="C248" s="401"/>
      <c r="D248" s="401"/>
      <c r="E248" s="401"/>
      <c r="F248" s="401"/>
      <c r="G248" s="401"/>
      <c r="H248" s="401"/>
    </row>
    <row r="249" spans="1:8">
      <c r="A249" s="402" t="s">
        <v>709</v>
      </c>
      <c r="B249" s="401"/>
      <c r="C249" s="401"/>
      <c r="D249" s="401"/>
      <c r="E249" s="401"/>
      <c r="F249" s="401"/>
      <c r="G249" s="401"/>
      <c r="H249" s="401"/>
    </row>
    <row r="250" spans="1:8">
      <c r="A250" s="402" t="s">
        <v>710</v>
      </c>
      <c r="B250" s="401"/>
      <c r="C250" s="401"/>
      <c r="D250" s="401"/>
      <c r="E250" s="401"/>
      <c r="F250" s="401"/>
      <c r="G250" s="401"/>
      <c r="H250" s="401"/>
    </row>
    <row r="251" spans="1:8">
      <c r="A251" s="402" t="s">
        <v>711</v>
      </c>
      <c r="B251" s="401"/>
      <c r="C251" s="401"/>
      <c r="D251" s="401"/>
      <c r="E251" s="401"/>
      <c r="F251" s="401"/>
      <c r="G251" s="401"/>
      <c r="H251" s="401"/>
    </row>
    <row r="252" spans="1:8">
      <c r="A252" s="402" t="s">
        <v>712</v>
      </c>
      <c r="B252" s="401"/>
      <c r="C252" s="401"/>
      <c r="D252" s="401"/>
      <c r="E252" s="401"/>
      <c r="F252" s="401"/>
      <c r="G252" s="401"/>
      <c r="H252" s="401"/>
    </row>
    <row r="253" spans="1:8">
      <c r="A253" s="402" t="s">
        <v>713</v>
      </c>
      <c r="B253" s="401"/>
      <c r="C253" s="401"/>
      <c r="D253" s="401"/>
      <c r="E253" s="401"/>
      <c r="F253" s="401"/>
      <c r="G253" s="401"/>
      <c r="H253" s="401"/>
    </row>
    <row r="254" spans="1:8">
      <c r="A254" s="402" t="s">
        <v>714</v>
      </c>
      <c r="B254" s="401"/>
      <c r="C254" s="401"/>
      <c r="D254" s="401"/>
      <c r="E254" s="401"/>
      <c r="F254" s="401"/>
      <c r="G254" s="401"/>
      <c r="H254" s="401"/>
    </row>
    <row r="255" spans="1:8">
      <c r="A255" s="402" t="s">
        <v>715</v>
      </c>
      <c r="B255" s="401"/>
      <c r="C255" s="401"/>
      <c r="D255" s="401"/>
      <c r="E255" s="401"/>
      <c r="F255" s="401"/>
      <c r="G255" s="401"/>
      <c r="H255" s="401"/>
    </row>
    <row r="256" spans="1:8">
      <c r="A256" s="402" t="s">
        <v>716</v>
      </c>
      <c r="B256" s="401"/>
      <c r="C256" s="401"/>
      <c r="D256" s="401"/>
      <c r="E256" s="401"/>
      <c r="F256" s="401"/>
      <c r="G256" s="401"/>
      <c r="H256" s="401"/>
    </row>
    <row r="257" spans="1:8">
      <c r="A257" s="401"/>
      <c r="B257" s="401"/>
      <c r="C257" s="401"/>
      <c r="D257" s="401"/>
      <c r="E257" s="401"/>
      <c r="F257" s="401"/>
      <c r="G257" s="401"/>
      <c r="H257" s="401"/>
    </row>
    <row r="258" spans="1:8">
      <c r="A258" s="402" t="s">
        <v>705</v>
      </c>
      <c r="B258" s="401"/>
      <c r="C258" s="401"/>
      <c r="D258" s="401"/>
      <c r="E258" s="401"/>
      <c r="F258" s="401"/>
      <c r="G258" s="401"/>
      <c r="H258" s="401"/>
    </row>
    <row r="259" spans="1:8">
      <c r="A259" s="402" t="s">
        <v>706</v>
      </c>
      <c r="B259" s="401"/>
      <c r="C259" s="401"/>
      <c r="D259" s="401"/>
      <c r="E259" s="401"/>
      <c r="F259" s="401"/>
      <c r="G259" s="401"/>
      <c r="H259" s="401"/>
    </row>
    <row r="260" spans="1:8">
      <c r="A260" s="401"/>
      <c r="B260" s="401"/>
      <c r="C260" s="401"/>
      <c r="D260" s="401"/>
      <c r="E260" s="401"/>
      <c r="F260" s="401"/>
      <c r="G260" s="401"/>
      <c r="H260" s="401"/>
    </row>
    <row r="261" spans="1:8">
      <c r="A261" s="402" t="s">
        <v>689</v>
      </c>
      <c r="B261" s="401"/>
      <c r="C261" s="401"/>
      <c r="D261" s="401"/>
      <c r="E261" s="401"/>
      <c r="F261" s="401"/>
      <c r="G261" s="401"/>
      <c r="H261" s="401"/>
    </row>
    <row r="262" spans="1:8">
      <c r="A262" s="402" t="s">
        <v>690</v>
      </c>
      <c r="B262" s="401"/>
      <c r="C262" s="401"/>
      <c r="D262" s="401"/>
      <c r="E262" s="401"/>
      <c r="F262" s="401"/>
      <c r="G262" s="401"/>
      <c r="H262" s="401"/>
    </row>
    <row r="263" spans="1:8">
      <c r="A263" s="402" t="s">
        <v>691</v>
      </c>
      <c r="B263" s="401"/>
      <c r="C263" s="401"/>
      <c r="D263" s="401"/>
      <c r="E263" s="401"/>
      <c r="F263" s="401"/>
      <c r="G263" s="401"/>
      <c r="H263" s="401"/>
    </row>
    <row r="264" spans="1:8">
      <c r="A264" s="402" t="s">
        <v>692</v>
      </c>
      <c r="B264" s="401"/>
      <c r="C264" s="401"/>
      <c r="D264" s="401"/>
      <c r="E264" s="401"/>
      <c r="F264" s="401"/>
      <c r="G264" s="401"/>
      <c r="H264" s="401"/>
    </row>
    <row r="265" spans="1:8">
      <c r="A265" s="402" t="s">
        <v>693</v>
      </c>
      <c r="B265" s="401"/>
      <c r="C265" s="401"/>
      <c r="D265" s="401"/>
      <c r="E265" s="401"/>
      <c r="F265" s="401"/>
      <c r="G265" s="401"/>
      <c r="H265" s="401"/>
    </row>
    <row r="266" spans="1:8">
      <c r="A266" s="402" t="s">
        <v>694</v>
      </c>
      <c r="B266" s="401"/>
      <c r="C266" s="401"/>
      <c r="D266" s="401"/>
      <c r="E266" s="401"/>
      <c r="F266" s="401"/>
      <c r="G266" s="401"/>
      <c r="H266" s="401"/>
    </row>
    <row r="267" spans="1:8">
      <c r="A267" s="402" t="s">
        <v>695</v>
      </c>
      <c r="B267" s="401"/>
      <c r="C267" s="401"/>
      <c r="D267" s="401"/>
      <c r="E267" s="401"/>
      <c r="F267" s="401"/>
      <c r="G267" s="401"/>
      <c r="H267" s="401"/>
    </row>
    <row r="268" spans="1:8">
      <c r="A268" s="402" t="s">
        <v>696</v>
      </c>
      <c r="B268" s="401"/>
      <c r="C268" s="401"/>
      <c r="D268" s="401"/>
      <c r="E268" s="401"/>
      <c r="F268" s="401"/>
      <c r="G268" s="401"/>
      <c r="H268" s="401"/>
    </row>
    <row r="269" spans="1:8">
      <c r="A269" s="402" t="s">
        <v>697</v>
      </c>
      <c r="B269" s="401"/>
      <c r="C269" s="401"/>
      <c r="D269" s="401"/>
      <c r="E269" s="401"/>
      <c r="F269" s="401"/>
      <c r="G269" s="401"/>
      <c r="H269" s="401"/>
    </row>
    <row r="270" spans="1:8">
      <c r="A270" s="402" t="s">
        <v>698</v>
      </c>
      <c r="B270" s="401"/>
      <c r="C270" s="401"/>
      <c r="D270" s="401"/>
      <c r="E270" s="401"/>
      <c r="F270" s="401"/>
      <c r="G270" s="401"/>
      <c r="H270" s="401"/>
    </row>
    <row r="271" spans="1:8">
      <c r="A271" s="402" t="s">
        <v>699</v>
      </c>
      <c r="B271" s="401"/>
      <c r="C271" s="401"/>
      <c r="D271" s="401"/>
      <c r="E271" s="401"/>
      <c r="F271" s="401"/>
      <c r="G271" s="401"/>
      <c r="H271" s="401"/>
    </row>
    <row r="272" spans="1:8">
      <c r="A272" s="402" t="s">
        <v>700</v>
      </c>
      <c r="B272" s="401"/>
      <c r="C272" s="401"/>
      <c r="D272" s="401"/>
      <c r="E272" s="401"/>
      <c r="F272" s="401"/>
      <c r="G272" s="401"/>
      <c r="H272" s="401"/>
    </row>
    <row r="273" spans="1:8">
      <c r="A273" s="402" t="s">
        <v>701</v>
      </c>
      <c r="B273" s="401"/>
      <c r="C273" s="401"/>
      <c r="D273" s="401"/>
      <c r="E273" s="401"/>
      <c r="F273" s="401"/>
      <c r="G273" s="401"/>
      <c r="H273" s="401"/>
    </row>
    <row r="274" spans="1:8">
      <c r="A274" s="402" t="s">
        <v>702</v>
      </c>
      <c r="B274" s="401"/>
      <c r="C274" s="401"/>
      <c r="D274" s="401"/>
      <c r="E274" s="401"/>
      <c r="F274" s="401"/>
      <c r="G274" s="401"/>
      <c r="H274" s="401"/>
    </row>
    <row r="275" spans="1:8">
      <c r="A275" s="402" t="s">
        <v>703</v>
      </c>
      <c r="B275" s="401"/>
      <c r="C275" s="401"/>
      <c r="D275" s="401"/>
      <c r="E275" s="401"/>
      <c r="F275" s="401"/>
      <c r="G275" s="401"/>
      <c r="H275" s="401"/>
    </row>
    <row r="276" spans="1:8">
      <c r="A276" s="402" t="s">
        <v>704</v>
      </c>
      <c r="B276" s="401"/>
      <c r="C276" s="401"/>
      <c r="D276" s="401"/>
      <c r="E276" s="401"/>
      <c r="F276" s="401"/>
      <c r="G276" s="401"/>
      <c r="H276" s="401"/>
    </row>
    <row r="277" spans="1:8">
      <c r="A277" s="401"/>
      <c r="B277" s="401"/>
      <c r="C277" s="401"/>
      <c r="D277" s="401"/>
      <c r="E277" s="401"/>
      <c r="F277" s="401"/>
      <c r="G277" s="401"/>
      <c r="H277" s="401"/>
    </row>
    <row r="278" spans="1:8">
      <c r="A278" s="402" t="s">
        <v>682</v>
      </c>
      <c r="B278" s="401"/>
      <c r="C278" s="401"/>
      <c r="D278" s="401"/>
      <c r="E278" s="401"/>
      <c r="F278" s="401"/>
      <c r="G278" s="401"/>
      <c r="H278" s="401"/>
    </row>
    <row r="279" spans="1:8">
      <c r="A279" s="402" t="s">
        <v>683</v>
      </c>
      <c r="B279" s="401"/>
      <c r="C279" s="401"/>
      <c r="D279" s="401"/>
      <c r="E279" s="401"/>
      <c r="F279" s="401"/>
      <c r="G279" s="401"/>
      <c r="H279" s="401"/>
    </row>
    <row r="280" spans="1:8">
      <c r="A280" s="402" t="s">
        <v>684</v>
      </c>
      <c r="B280" s="401"/>
      <c r="C280" s="401"/>
      <c r="D280" s="401"/>
      <c r="E280" s="401"/>
      <c r="F280" s="401"/>
      <c r="G280" s="401"/>
      <c r="H280" s="401"/>
    </row>
    <row r="281" spans="1:8">
      <c r="A281" s="402" t="s">
        <v>685</v>
      </c>
      <c r="B281" s="401"/>
      <c r="C281" s="401"/>
      <c r="D281" s="401"/>
      <c r="E281" s="401"/>
      <c r="F281" s="401"/>
      <c r="G281" s="401"/>
      <c r="H281" s="401"/>
    </row>
    <row r="282" spans="1:8">
      <c r="A282" s="402" t="s">
        <v>686</v>
      </c>
      <c r="B282" s="401"/>
      <c r="C282" s="401"/>
      <c r="D282" s="401"/>
      <c r="E282" s="401"/>
      <c r="F282" s="401"/>
      <c r="G282" s="401"/>
      <c r="H282" s="401"/>
    </row>
    <row r="283" spans="1:8">
      <c r="A283" s="402" t="s">
        <v>687</v>
      </c>
      <c r="B283" s="401"/>
      <c r="C283" s="401"/>
      <c r="D283" s="401"/>
      <c r="E283" s="401"/>
      <c r="F283" s="401"/>
      <c r="G283" s="401"/>
      <c r="H283" s="401"/>
    </row>
    <row r="284" spans="1:8">
      <c r="A284" s="402" t="s">
        <v>688</v>
      </c>
      <c r="B284" s="401"/>
      <c r="C284" s="401"/>
      <c r="D284" s="401"/>
      <c r="E284" s="401"/>
      <c r="F284" s="401"/>
      <c r="G284" s="401"/>
      <c r="H284" s="401"/>
    </row>
    <row r="285" spans="1:8">
      <c r="A285" s="401"/>
      <c r="B285" s="401"/>
      <c r="C285" s="401"/>
      <c r="D285" s="401"/>
      <c r="E285" s="401"/>
      <c r="F285" s="401"/>
      <c r="G285" s="401"/>
      <c r="H285" s="401"/>
    </row>
    <row r="286" spans="1:8">
      <c r="A286" s="402" t="s">
        <v>673</v>
      </c>
      <c r="B286" s="401"/>
      <c r="C286" s="401"/>
      <c r="D286" s="401"/>
      <c r="E286" s="401"/>
      <c r="F286" s="401"/>
      <c r="G286" s="401"/>
      <c r="H286" s="401"/>
    </row>
    <row r="287" spans="1:8">
      <c r="A287" s="402" t="s">
        <v>674</v>
      </c>
      <c r="B287" s="401"/>
      <c r="C287" s="401"/>
      <c r="D287" s="401"/>
      <c r="E287" s="401"/>
      <c r="F287" s="401"/>
      <c r="G287" s="401"/>
      <c r="H287" s="401"/>
    </row>
    <row r="288" spans="1:8">
      <c r="A288" s="402" t="s">
        <v>675</v>
      </c>
      <c r="B288" s="401"/>
      <c r="C288" s="401"/>
      <c r="D288" s="401"/>
      <c r="E288" s="401"/>
      <c r="F288" s="401"/>
      <c r="G288" s="401"/>
      <c r="H288" s="401"/>
    </row>
    <row r="289" spans="1:8">
      <c r="A289" s="402" t="s">
        <v>676</v>
      </c>
      <c r="B289" s="401"/>
      <c r="C289" s="401"/>
      <c r="D289" s="401"/>
      <c r="E289" s="401"/>
      <c r="F289" s="401"/>
      <c r="G289" s="401"/>
      <c r="H289" s="401"/>
    </row>
    <row r="290" spans="1:8">
      <c r="A290" s="402" t="s">
        <v>677</v>
      </c>
      <c r="B290" s="401"/>
      <c r="C290" s="401"/>
      <c r="D290" s="401"/>
      <c r="E290" s="401"/>
      <c r="F290" s="401"/>
      <c r="G290" s="401"/>
      <c r="H290" s="401"/>
    </row>
    <row r="291" spans="1:8">
      <c r="A291" s="402" t="s">
        <v>678</v>
      </c>
      <c r="B291" s="401"/>
      <c r="C291" s="401"/>
      <c r="D291" s="401"/>
      <c r="E291" s="401"/>
      <c r="F291" s="401"/>
      <c r="G291" s="401"/>
      <c r="H291" s="401"/>
    </row>
    <row r="292" spans="1:8">
      <c r="A292" s="402" t="s">
        <v>679</v>
      </c>
      <c r="B292" s="401"/>
      <c r="C292" s="401"/>
      <c r="D292" s="401"/>
      <c r="E292" s="401"/>
      <c r="F292" s="401"/>
      <c r="G292" s="401"/>
      <c r="H292" s="401"/>
    </row>
    <row r="293" spans="1:8">
      <c r="A293" s="402" t="s">
        <v>680</v>
      </c>
      <c r="B293" s="401"/>
      <c r="C293" s="401"/>
      <c r="D293" s="401"/>
      <c r="E293" s="401"/>
      <c r="F293" s="401"/>
      <c r="G293" s="401"/>
      <c r="H293" s="401"/>
    </row>
    <row r="294" spans="1:8">
      <c r="A294" s="402" t="s">
        <v>681</v>
      </c>
      <c r="B294" s="401"/>
      <c r="C294" s="401"/>
      <c r="D294" s="401"/>
      <c r="E294" s="401"/>
      <c r="F294" s="401"/>
      <c r="G294" s="401"/>
      <c r="H294" s="401"/>
    </row>
    <row r="295" spans="1:8">
      <c r="A295" s="401"/>
      <c r="B295" s="401"/>
      <c r="C295" s="401"/>
      <c r="D295" s="401"/>
      <c r="E295" s="401"/>
      <c r="F295" s="401"/>
      <c r="G295" s="401"/>
      <c r="H295" s="401"/>
    </row>
    <row r="296" spans="1:8">
      <c r="A296" s="402" t="s">
        <v>666</v>
      </c>
      <c r="B296" s="401"/>
      <c r="C296" s="401"/>
      <c r="D296" s="401"/>
      <c r="E296" s="401"/>
      <c r="F296" s="401"/>
      <c r="G296" s="401"/>
      <c r="H296" s="401"/>
    </row>
    <row r="297" spans="1:8">
      <c r="A297" s="402" t="s">
        <v>667</v>
      </c>
      <c r="B297" s="401"/>
      <c r="C297" s="401"/>
      <c r="D297" s="401"/>
      <c r="E297" s="401"/>
      <c r="F297" s="401"/>
      <c r="G297" s="401"/>
      <c r="H297" s="401"/>
    </row>
    <row r="298" spans="1:8">
      <c r="A298" s="402" t="s">
        <v>668</v>
      </c>
      <c r="B298" s="401"/>
      <c r="C298" s="401"/>
      <c r="D298" s="401"/>
      <c r="E298" s="401"/>
      <c r="F298" s="401"/>
      <c r="G298" s="401"/>
      <c r="H298" s="401"/>
    </row>
    <row r="299" spans="1:8">
      <c r="A299" s="402" t="s">
        <v>669</v>
      </c>
      <c r="B299" s="401"/>
      <c r="C299" s="401"/>
      <c r="D299" s="401"/>
      <c r="E299" s="401"/>
      <c r="F299" s="401"/>
      <c r="G299" s="401"/>
      <c r="H299" s="401"/>
    </row>
    <row r="300" spans="1:8">
      <c r="A300" s="402" t="s">
        <v>670</v>
      </c>
      <c r="B300" s="401"/>
      <c r="C300" s="401"/>
      <c r="D300" s="401"/>
      <c r="E300" s="401"/>
      <c r="F300" s="401"/>
      <c r="G300" s="401"/>
      <c r="H300" s="401"/>
    </row>
    <row r="301" spans="1:8">
      <c r="A301" s="402" t="s">
        <v>671</v>
      </c>
      <c r="B301" s="401"/>
      <c r="C301" s="401"/>
      <c r="D301" s="401"/>
      <c r="E301" s="401"/>
      <c r="F301" s="401"/>
      <c r="G301" s="401"/>
      <c r="H301" s="401"/>
    </row>
    <row r="302" spans="1:8">
      <c r="A302" s="402" t="s">
        <v>672</v>
      </c>
      <c r="B302" s="401"/>
      <c r="C302" s="401"/>
      <c r="D302" s="401"/>
      <c r="E302" s="401"/>
      <c r="F302" s="401"/>
      <c r="G302" s="401"/>
      <c r="H302" s="401"/>
    </row>
    <row r="303" spans="1:8">
      <c r="A303" s="401"/>
      <c r="B303" s="401"/>
      <c r="C303" s="401"/>
      <c r="D303" s="401"/>
      <c r="E303" s="401"/>
      <c r="F303" s="401"/>
      <c r="G303" s="401"/>
      <c r="H303" s="401"/>
    </row>
    <row r="304" spans="1:8">
      <c r="A304" s="402" t="s">
        <v>663</v>
      </c>
      <c r="B304" s="401"/>
      <c r="C304" s="401"/>
      <c r="D304" s="401"/>
      <c r="E304" s="401"/>
      <c r="F304" s="401"/>
      <c r="G304" s="401"/>
      <c r="H304" s="401"/>
    </row>
    <row r="305" spans="1:8">
      <c r="A305" s="402" t="s">
        <v>664</v>
      </c>
      <c r="B305" s="401"/>
      <c r="C305" s="401"/>
      <c r="D305" s="401"/>
      <c r="E305" s="401"/>
      <c r="F305" s="401"/>
      <c r="G305" s="401"/>
      <c r="H305" s="401"/>
    </row>
    <row r="306" spans="1:8">
      <c r="A306" s="402" t="s">
        <v>665</v>
      </c>
      <c r="B306" s="401"/>
      <c r="C306" s="401"/>
      <c r="D306" s="401"/>
      <c r="E306" s="401"/>
      <c r="F306" s="401"/>
      <c r="G306" s="401"/>
      <c r="H306" s="401"/>
    </row>
    <row r="307" spans="1:8">
      <c r="A307" s="401"/>
      <c r="B307" s="401"/>
      <c r="C307" s="401"/>
      <c r="D307" s="401"/>
      <c r="E307" s="401"/>
      <c r="F307" s="401"/>
      <c r="G307" s="401"/>
      <c r="H307" s="401"/>
    </row>
    <row r="308" spans="1:8">
      <c r="A308" s="402" t="s">
        <v>661</v>
      </c>
      <c r="B308" s="401"/>
      <c r="C308" s="401"/>
      <c r="D308" s="401"/>
      <c r="E308" s="401"/>
      <c r="F308" s="401"/>
      <c r="G308" s="401"/>
      <c r="H308" s="401"/>
    </row>
    <row r="309" spans="1:8">
      <c r="A309" s="402" t="s">
        <v>662</v>
      </c>
      <c r="B309" s="401"/>
      <c r="C309" s="401"/>
      <c r="D309" s="401"/>
      <c r="E309" s="401"/>
      <c r="F309" s="401"/>
      <c r="G309" s="401"/>
      <c r="H309" s="401"/>
    </row>
    <row r="310" spans="1:8">
      <c r="A310" s="401"/>
      <c r="B310" s="401"/>
      <c r="C310" s="401"/>
      <c r="D310" s="401"/>
      <c r="E310" s="401"/>
      <c r="F310" s="401"/>
      <c r="G310" s="401"/>
      <c r="H310" s="401"/>
    </row>
    <row r="311" spans="1:8">
      <c r="A311" s="402" t="s">
        <v>648</v>
      </c>
      <c r="B311" s="401"/>
      <c r="C311" s="401"/>
      <c r="D311" s="401"/>
      <c r="E311" s="401"/>
      <c r="F311" s="401"/>
      <c r="G311" s="401"/>
      <c r="H311" s="401"/>
    </row>
    <row r="312" spans="1:8">
      <c r="A312" s="402" t="s">
        <v>649</v>
      </c>
      <c r="B312" s="401"/>
      <c r="C312" s="401"/>
      <c r="D312" s="401"/>
      <c r="E312" s="401"/>
      <c r="F312" s="401"/>
      <c r="G312" s="401"/>
      <c r="H312" s="401"/>
    </row>
    <row r="313" spans="1:8">
      <c r="A313" s="402" t="s">
        <v>650</v>
      </c>
      <c r="B313" s="401"/>
      <c r="C313" s="401"/>
      <c r="D313" s="401"/>
      <c r="E313" s="401"/>
      <c r="F313" s="401"/>
      <c r="G313" s="401"/>
      <c r="H313" s="401"/>
    </row>
    <row r="314" spans="1:8">
      <c r="A314" s="402" t="s">
        <v>651</v>
      </c>
      <c r="B314" s="401"/>
      <c r="C314" s="401"/>
      <c r="D314" s="401"/>
      <c r="E314" s="401"/>
      <c r="F314" s="401"/>
      <c r="G314" s="401"/>
      <c r="H314" s="401"/>
    </row>
    <row r="315" spans="1:8">
      <c r="A315" s="402" t="s">
        <v>652</v>
      </c>
      <c r="B315" s="401"/>
      <c r="C315" s="401"/>
      <c r="D315" s="401"/>
      <c r="E315" s="401"/>
      <c r="F315" s="401"/>
      <c r="G315" s="401"/>
      <c r="H315" s="401"/>
    </row>
    <row r="316" spans="1:8">
      <c r="A316" s="402" t="s">
        <v>653</v>
      </c>
      <c r="B316" s="401"/>
      <c r="C316" s="401"/>
      <c r="D316" s="401"/>
      <c r="E316" s="401"/>
      <c r="F316" s="401"/>
      <c r="G316" s="401"/>
      <c r="H316" s="401"/>
    </row>
    <row r="317" spans="1:8">
      <c r="A317" s="402" t="s">
        <v>654</v>
      </c>
      <c r="B317" s="401"/>
      <c r="C317" s="401"/>
      <c r="D317" s="401"/>
      <c r="E317" s="401"/>
      <c r="F317" s="401"/>
      <c r="G317" s="401"/>
      <c r="H317" s="401"/>
    </row>
    <row r="318" spans="1:8">
      <c r="A318" s="402" t="s">
        <v>655</v>
      </c>
      <c r="B318" s="401"/>
      <c r="C318" s="401"/>
      <c r="D318" s="401"/>
      <c r="E318" s="401"/>
      <c r="F318" s="401"/>
      <c r="G318" s="401"/>
      <c r="H318" s="401"/>
    </row>
    <row r="319" spans="1:8">
      <c r="A319" s="402" t="s">
        <v>656</v>
      </c>
      <c r="B319" s="401"/>
      <c r="C319" s="401"/>
      <c r="D319" s="401"/>
      <c r="E319" s="401"/>
      <c r="F319" s="401"/>
      <c r="G319" s="401"/>
      <c r="H319" s="401"/>
    </row>
    <row r="320" spans="1:8">
      <c r="A320" s="402" t="s">
        <v>657</v>
      </c>
      <c r="B320" s="401"/>
      <c r="C320" s="401"/>
      <c r="D320" s="401"/>
      <c r="E320" s="401"/>
      <c r="F320" s="401"/>
      <c r="G320" s="401"/>
      <c r="H320" s="401"/>
    </row>
    <row r="321" spans="1:8">
      <c r="A321" s="402" t="s">
        <v>658</v>
      </c>
      <c r="B321" s="401"/>
      <c r="C321" s="401"/>
      <c r="D321" s="401"/>
      <c r="E321" s="401"/>
      <c r="F321" s="401"/>
      <c r="G321" s="401"/>
      <c r="H321" s="401"/>
    </row>
    <row r="322" spans="1:8">
      <c r="A322" s="402" t="s">
        <v>659</v>
      </c>
      <c r="B322" s="401"/>
      <c r="C322" s="401"/>
      <c r="D322" s="401"/>
      <c r="E322" s="401"/>
      <c r="F322" s="401"/>
      <c r="G322" s="401"/>
      <c r="H322" s="401"/>
    </row>
    <row r="323" spans="1:8">
      <c r="A323" s="402" t="s">
        <v>660</v>
      </c>
      <c r="B323" s="401"/>
      <c r="C323" s="401"/>
      <c r="D323" s="401"/>
      <c r="E323" s="401"/>
      <c r="F323" s="401"/>
      <c r="G323" s="401"/>
      <c r="H323" s="401"/>
    </row>
    <row r="324" spans="1:8">
      <c r="A324" s="401"/>
      <c r="B324" s="401"/>
      <c r="C324" s="401"/>
      <c r="D324" s="401"/>
      <c r="E324" s="401"/>
      <c r="F324" s="401"/>
      <c r="G324" s="401"/>
      <c r="H324" s="401"/>
    </row>
    <row r="325" spans="1:8">
      <c r="A325" s="402" t="s">
        <v>640</v>
      </c>
      <c r="B325" s="401"/>
      <c r="C325" s="401"/>
      <c r="D325" s="401"/>
      <c r="E325" s="401"/>
      <c r="F325" s="401"/>
      <c r="G325" s="401"/>
      <c r="H325" s="401"/>
    </row>
    <row r="326" spans="1:8">
      <c r="A326" s="402" t="s">
        <v>641</v>
      </c>
      <c r="B326" s="401"/>
      <c r="C326" s="401"/>
      <c r="D326" s="401"/>
      <c r="E326" s="401"/>
      <c r="F326" s="401"/>
      <c r="G326" s="401"/>
      <c r="H326" s="401"/>
    </row>
    <row r="327" spans="1:8">
      <c r="A327" s="402" t="s">
        <v>642</v>
      </c>
      <c r="B327" s="401"/>
      <c r="C327" s="401"/>
      <c r="D327" s="401"/>
      <c r="E327" s="401"/>
      <c r="F327" s="401"/>
      <c r="G327" s="401"/>
      <c r="H327" s="401"/>
    </row>
    <row r="328" spans="1:8">
      <c r="A328" s="402" t="s">
        <v>643</v>
      </c>
      <c r="B328" s="401"/>
      <c r="C328" s="401"/>
      <c r="D328" s="401"/>
      <c r="E328" s="401"/>
      <c r="F328" s="401"/>
      <c r="G328" s="401"/>
      <c r="H328" s="401"/>
    </row>
    <row r="329" spans="1:8">
      <c r="A329" s="402" t="s">
        <v>644</v>
      </c>
      <c r="B329" s="401"/>
      <c r="C329" s="401"/>
      <c r="D329" s="401"/>
      <c r="E329" s="401"/>
      <c r="F329" s="401"/>
      <c r="G329" s="401"/>
      <c r="H329" s="401"/>
    </row>
    <row r="330" spans="1:8">
      <c r="A330" s="402" t="s">
        <v>645</v>
      </c>
      <c r="B330" s="401"/>
      <c r="C330" s="401"/>
      <c r="D330" s="401"/>
      <c r="E330" s="401"/>
      <c r="F330" s="401"/>
      <c r="G330" s="401"/>
      <c r="H330" s="401"/>
    </row>
    <row r="331" spans="1:8">
      <c r="A331" s="402" t="s">
        <v>646</v>
      </c>
      <c r="B331" s="401"/>
      <c r="C331" s="401"/>
      <c r="D331" s="401"/>
      <c r="E331" s="401"/>
      <c r="F331" s="401"/>
      <c r="G331" s="401"/>
      <c r="H331" s="401"/>
    </row>
    <row r="332" spans="1:8">
      <c r="A332" s="402" t="s">
        <v>647</v>
      </c>
      <c r="B332" s="401"/>
      <c r="C332" s="401"/>
      <c r="D332" s="401"/>
      <c r="E332" s="401"/>
      <c r="F332" s="401"/>
      <c r="G332" s="401"/>
      <c r="H332" s="401"/>
    </row>
    <row r="333" spans="1:8">
      <c r="A333" s="401"/>
      <c r="B333" s="401"/>
      <c r="C333" s="401"/>
      <c r="D333" s="401"/>
      <c r="E333" s="401"/>
      <c r="F333" s="401"/>
      <c r="G333" s="401"/>
      <c r="H333" s="401"/>
    </row>
    <row r="334" spans="1:8">
      <c r="A334" s="402" t="s">
        <v>605</v>
      </c>
      <c r="B334" s="401"/>
      <c r="C334" s="401"/>
      <c r="D334" s="401"/>
      <c r="E334" s="401"/>
      <c r="F334" s="401"/>
      <c r="G334" s="401"/>
      <c r="H334" s="401"/>
    </row>
    <row r="335" spans="1:8">
      <c r="A335" s="402" t="s">
        <v>606</v>
      </c>
      <c r="B335" s="401"/>
      <c r="C335" s="401"/>
      <c r="D335" s="401"/>
      <c r="E335" s="401"/>
      <c r="F335" s="401"/>
      <c r="G335" s="401"/>
      <c r="H335" s="401"/>
    </row>
    <row r="336" spans="1:8">
      <c r="A336" s="402" t="s">
        <v>607</v>
      </c>
      <c r="B336" s="401"/>
      <c r="C336" s="401"/>
      <c r="D336" s="401"/>
      <c r="E336" s="401"/>
      <c r="F336" s="401"/>
      <c r="G336" s="401"/>
      <c r="H336" s="401"/>
    </row>
    <row r="337" spans="1:8">
      <c r="A337" s="402" t="s">
        <v>608</v>
      </c>
      <c r="B337" s="401"/>
      <c r="C337" s="401"/>
      <c r="D337" s="401"/>
      <c r="E337" s="401"/>
      <c r="F337" s="401"/>
      <c r="G337" s="401"/>
      <c r="H337" s="401"/>
    </row>
    <row r="338" spans="1:8">
      <c r="A338" s="402" t="s">
        <v>609</v>
      </c>
      <c r="B338" s="401"/>
      <c r="C338" s="401"/>
      <c r="D338" s="401"/>
      <c r="E338" s="401"/>
      <c r="F338" s="401"/>
      <c r="G338" s="401"/>
      <c r="H338" s="401"/>
    </row>
    <row r="339" spans="1:8">
      <c r="A339" s="402" t="s">
        <v>610</v>
      </c>
      <c r="B339" s="401"/>
      <c r="C339" s="401"/>
      <c r="D339" s="401"/>
      <c r="E339" s="401"/>
      <c r="F339" s="401"/>
      <c r="G339" s="401"/>
      <c r="H339" s="401"/>
    </row>
    <row r="340" spans="1:8">
      <c r="A340" s="402" t="s">
        <v>611</v>
      </c>
      <c r="B340" s="401"/>
      <c r="C340" s="401"/>
      <c r="D340" s="401"/>
      <c r="E340" s="401"/>
      <c r="F340" s="401"/>
      <c r="G340" s="401"/>
      <c r="H340" s="401"/>
    </row>
    <row r="341" spans="1:8">
      <c r="A341" s="402" t="s">
        <v>612</v>
      </c>
      <c r="B341" s="401"/>
      <c r="C341" s="401"/>
      <c r="D341" s="401"/>
      <c r="E341" s="401"/>
      <c r="F341" s="401"/>
      <c r="G341" s="401"/>
      <c r="H341" s="401"/>
    </row>
    <row r="342" spans="1:8">
      <c r="A342" s="402" t="s">
        <v>613</v>
      </c>
      <c r="B342" s="401"/>
      <c r="C342" s="401"/>
      <c r="D342" s="401"/>
      <c r="E342" s="401"/>
      <c r="F342" s="401"/>
      <c r="G342" s="401"/>
      <c r="H342" s="401"/>
    </row>
    <row r="343" spans="1:8">
      <c r="A343" s="402" t="s">
        <v>614</v>
      </c>
      <c r="B343" s="401"/>
      <c r="C343" s="401"/>
      <c r="D343" s="401"/>
      <c r="E343" s="401"/>
      <c r="F343" s="401"/>
      <c r="G343" s="401"/>
      <c r="H343" s="401"/>
    </row>
    <row r="344" spans="1:8">
      <c r="A344" s="402" t="s">
        <v>615</v>
      </c>
      <c r="B344" s="401"/>
      <c r="C344" s="401"/>
      <c r="D344" s="401"/>
      <c r="E344" s="401"/>
      <c r="F344" s="401"/>
      <c r="G344" s="401"/>
      <c r="H344" s="401"/>
    </row>
    <row r="345" spans="1:8">
      <c r="A345" s="402" t="s">
        <v>616</v>
      </c>
      <c r="B345" s="401"/>
      <c r="C345" s="401"/>
      <c r="D345" s="401"/>
      <c r="E345" s="401"/>
      <c r="F345" s="401"/>
      <c r="G345" s="401"/>
      <c r="H345" s="401"/>
    </row>
    <row r="346" spans="1:8">
      <c r="A346" s="402" t="s">
        <v>617</v>
      </c>
      <c r="B346" s="401"/>
      <c r="C346" s="401"/>
      <c r="D346" s="401"/>
      <c r="E346" s="401"/>
      <c r="F346" s="401"/>
      <c r="G346" s="401"/>
      <c r="H346" s="401"/>
    </row>
    <row r="347" spans="1:8">
      <c r="A347" s="402" t="s">
        <v>618</v>
      </c>
      <c r="B347" s="401"/>
      <c r="C347" s="401"/>
      <c r="D347" s="401"/>
      <c r="E347" s="401"/>
      <c r="F347" s="401"/>
      <c r="G347" s="401"/>
      <c r="H347" s="401"/>
    </row>
    <row r="348" spans="1:8">
      <c r="A348" s="402" t="s">
        <v>619</v>
      </c>
      <c r="B348" s="401"/>
      <c r="C348" s="401"/>
      <c r="D348" s="401"/>
      <c r="E348" s="401"/>
      <c r="F348" s="401"/>
      <c r="G348" s="401"/>
      <c r="H348" s="401"/>
    </row>
    <row r="349" spans="1:8">
      <c r="A349" s="402" t="s">
        <v>620</v>
      </c>
      <c r="B349" s="401"/>
      <c r="C349" s="401"/>
      <c r="D349" s="401"/>
      <c r="E349" s="401"/>
      <c r="F349" s="401"/>
      <c r="G349" s="401"/>
      <c r="H349" s="401"/>
    </row>
    <row r="350" spans="1:8">
      <c r="A350" s="402" t="s">
        <v>621</v>
      </c>
      <c r="B350" s="401"/>
      <c r="C350" s="401"/>
      <c r="D350" s="401"/>
      <c r="E350" s="401"/>
      <c r="F350" s="401"/>
      <c r="G350" s="401"/>
      <c r="H350" s="401"/>
    </row>
    <row r="351" spans="1:8">
      <c r="A351" s="402" t="s">
        <v>622</v>
      </c>
      <c r="B351" s="401"/>
      <c r="C351" s="401"/>
      <c r="D351" s="401"/>
      <c r="E351" s="401"/>
      <c r="F351" s="401"/>
      <c r="G351" s="401"/>
      <c r="H351" s="401"/>
    </row>
    <row r="352" spans="1:8">
      <c r="A352" s="402" t="s">
        <v>623</v>
      </c>
      <c r="B352" s="401"/>
      <c r="C352" s="401"/>
      <c r="D352" s="401"/>
      <c r="E352" s="401"/>
      <c r="F352" s="401"/>
      <c r="G352" s="401"/>
      <c r="H352" s="401"/>
    </row>
    <row r="353" spans="1:8">
      <c r="A353" s="402" t="s">
        <v>624</v>
      </c>
      <c r="B353" s="401"/>
      <c r="C353" s="401"/>
      <c r="D353" s="401"/>
      <c r="E353" s="401"/>
      <c r="F353" s="401"/>
      <c r="G353" s="401"/>
      <c r="H353" s="401"/>
    </row>
    <row r="354" spans="1:8">
      <c r="A354" s="402" t="s">
        <v>625</v>
      </c>
      <c r="B354" s="401"/>
      <c r="C354" s="401"/>
      <c r="D354" s="401"/>
      <c r="E354" s="401"/>
      <c r="F354" s="401"/>
      <c r="G354" s="401"/>
      <c r="H354" s="401"/>
    </row>
    <row r="355" spans="1:8">
      <c r="A355" s="402" t="s">
        <v>626</v>
      </c>
      <c r="B355" s="401"/>
      <c r="C355" s="401"/>
      <c r="D355" s="401"/>
      <c r="E355" s="401"/>
      <c r="F355" s="401"/>
      <c r="G355" s="401"/>
      <c r="H355" s="401"/>
    </row>
    <row r="356" spans="1:8">
      <c r="A356" s="402" t="s">
        <v>627</v>
      </c>
      <c r="B356" s="401"/>
      <c r="C356" s="401"/>
      <c r="D356" s="401"/>
      <c r="E356" s="401"/>
      <c r="F356" s="401"/>
      <c r="G356" s="401"/>
      <c r="H356" s="401"/>
    </row>
    <row r="357" spans="1:8">
      <c r="A357" s="402" t="s">
        <v>628</v>
      </c>
      <c r="B357" s="401"/>
      <c r="C357" s="401"/>
      <c r="D357" s="401"/>
      <c r="E357" s="401"/>
      <c r="F357" s="401"/>
      <c r="G357" s="401"/>
      <c r="H357" s="401"/>
    </row>
    <row r="358" spans="1:8">
      <c r="A358" s="402" t="s">
        <v>629</v>
      </c>
      <c r="B358" s="401"/>
      <c r="C358" s="401"/>
      <c r="D358" s="401"/>
      <c r="E358" s="401"/>
      <c r="F358" s="401"/>
      <c r="G358" s="401"/>
      <c r="H358" s="401"/>
    </row>
    <row r="359" spans="1:8">
      <c r="A359" s="402" t="s">
        <v>630</v>
      </c>
      <c r="B359" s="401"/>
      <c r="C359" s="401"/>
      <c r="D359" s="401"/>
      <c r="E359" s="401"/>
      <c r="F359" s="401"/>
      <c r="G359" s="401"/>
      <c r="H359" s="401"/>
    </row>
    <row r="360" spans="1:8">
      <c r="A360" s="402" t="s">
        <v>631</v>
      </c>
      <c r="B360" s="401"/>
      <c r="C360" s="401"/>
      <c r="D360" s="401"/>
      <c r="E360" s="401"/>
      <c r="F360" s="401"/>
      <c r="G360" s="401"/>
      <c r="H360" s="401"/>
    </row>
    <row r="361" spans="1:8">
      <c r="A361" s="402" t="s">
        <v>632</v>
      </c>
      <c r="B361" s="401"/>
      <c r="C361" s="401"/>
      <c r="D361" s="401"/>
      <c r="E361" s="401"/>
      <c r="F361" s="401"/>
      <c r="G361" s="401"/>
      <c r="H361" s="401"/>
    </row>
    <row r="362" spans="1:8">
      <c r="A362" s="402" t="s">
        <v>633</v>
      </c>
      <c r="B362" s="401"/>
      <c r="C362" s="401"/>
      <c r="D362" s="401"/>
      <c r="E362" s="401"/>
      <c r="F362" s="401"/>
      <c r="G362" s="401"/>
      <c r="H362" s="401"/>
    </row>
    <row r="363" spans="1:8">
      <c r="A363" s="402" t="s">
        <v>634</v>
      </c>
      <c r="B363" s="401"/>
      <c r="C363" s="401"/>
      <c r="D363" s="401"/>
      <c r="E363" s="401"/>
      <c r="F363" s="401"/>
      <c r="G363" s="401"/>
      <c r="H363" s="401"/>
    </row>
    <row r="364" spans="1:8">
      <c r="A364" s="402" t="s">
        <v>635</v>
      </c>
      <c r="B364" s="401"/>
      <c r="C364" s="401"/>
      <c r="D364" s="401"/>
      <c r="E364" s="401"/>
      <c r="F364" s="401"/>
      <c r="G364" s="401"/>
      <c r="H364" s="401"/>
    </row>
    <row r="365" spans="1:8">
      <c r="A365" s="402" t="s">
        <v>636</v>
      </c>
      <c r="B365" s="401"/>
      <c r="C365" s="401"/>
      <c r="D365" s="401"/>
      <c r="E365" s="401"/>
      <c r="F365" s="401"/>
      <c r="G365" s="401"/>
      <c r="H365" s="401"/>
    </row>
    <row r="366" spans="1:8">
      <c r="A366" s="402" t="s">
        <v>637</v>
      </c>
      <c r="B366" s="401"/>
      <c r="C366" s="401"/>
      <c r="D366" s="401"/>
      <c r="E366" s="401"/>
      <c r="F366" s="401"/>
      <c r="G366" s="401"/>
      <c r="H366" s="401"/>
    </row>
    <row r="367" spans="1:8">
      <c r="A367" s="402" t="s">
        <v>638</v>
      </c>
      <c r="B367" s="401"/>
      <c r="C367" s="401"/>
      <c r="D367" s="401"/>
      <c r="E367" s="401"/>
      <c r="F367" s="401"/>
      <c r="G367" s="401"/>
      <c r="H367" s="401"/>
    </row>
    <row r="368" spans="1:8">
      <c r="A368" s="402" t="s">
        <v>639</v>
      </c>
      <c r="B368" s="401"/>
      <c r="C368" s="401"/>
      <c r="D368" s="401"/>
      <c r="E368" s="401"/>
      <c r="F368" s="401"/>
      <c r="G368" s="401"/>
      <c r="H368" s="401"/>
    </row>
    <row r="369" spans="1:8">
      <c r="A369" s="401"/>
      <c r="B369" s="401"/>
      <c r="C369" s="401"/>
      <c r="D369" s="401"/>
      <c r="E369" s="401"/>
      <c r="F369" s="401"/>
      <c r="G369" s="401"/>
      <c r="H369" s="401"/>
    </row>
    <row r="370" spans="1:8">
      <c r="A370" s="402" t="s">
        <v>597</v>
      </c>
      <c r="B370" s="401"/>
      <c r="C370" s="401"/>
      <c r="D370" s="401"/>
      <c r="E370" s="401"/>
      <c r="F370" s="401"/>
      <c r="G370" s="401"/>
      <c r="H370" s="401"/>
    </row>
    <row r="371" spans="1:8">
      <c r="A371" s="402" t="s">
        <v>601</v>
      </c>
      <c r="B371" s="401"/>
      <c r="C371" s="401"/>
      <c r="D371" s="401"/>
      <c r="E371" s="401"/>
      <c r="F371" s="401"/>
      <c r="G371" s="401"/>
      <c r="H371" s="401"/>
    </row>
    <row r="372" spans="1:8">
      <c r="A372" s="402" t="s">
        <v>602</v>
      </c>
      <c r="B372" s="401"/>
      <c r="C372" s="401"/>
      <c r="D372" s="401"/>
      <c r="E372" s="401"/>
      <c r="F372" s="401"/>
      <c r="G372" s="401"/>
      <c r="H372" s="401"/>
    </row>
    <row r="373" spans="1:8">
      <c r="A373" s="402" t="s">
        <v>603</v>
      </c>
      <c r="B373" s="401"/>
      <c r="C373" s="401"/>
      <c r="D373" s="401"/>
      <c r="E373" s="401"/>
      <c r="F373" s="401"/>
      <c r="G373" s="401"/>
      <c r="H373" s="401"/>
    </row>
    <row r="374" spans="1:8">
      <c r="A374" s="402" t="s">
        <v>604</v>
      </c>
      <c r="B374" s="401"/>
      <c r="C374" s="401"/>
      <c r="D374" s="401"/>
      <c r="E374" s="401"/>
      <c r="F374" s="401"/>
      <c r="G374" s="401"/>
      <c r="H374" s="401"/>
    </row>
    <row r="375" spans="1:8">
      <c r="A375" s="401"/>
      <c r="B375" s="401"/>
      <c r="C375" s="401"/>
      <c r="D375" s="401"/>
      <c r="E375" s="401"/>
      <c r="F375" s="401"/>
      <c r="G375" s="401"/>
      <c r="H375" s="401"/>
    </row>
    <row r="376" spans="1:8">
      <c r="A376" s="402" t="s">
        <v>597</v>
      </c>
      <c r="B376" s="401"/>
      <c r="C376" s="401"/>
      <c r="D376" s="401"/>
      <c r="E376" s="401"/>
      <c r="F376" s="401"/>
      <c r="G376" s="401"/>
      <c r="H376" s="401"/>
    </row>
    <row r="377" spans="1:8">
      <c r="A377" s="402" t="s">
        <v>598</v>
      </c>
      <c r="B377" s="401"/>
      <c r="C377" s="401"/>
      <c r="D377" s="401"/>
      <c r="E377" s="401"/>
      <c r="F377" s="401"/>
      <c r="G377" s="401"/>
      <c r="H377" s="401"/>
    </row>
    <row r="378" spans="1:8">
      <c r="A378" s="402" t="s">
        <v>599</v>
      </c>
      <c r="B378" s="401"/>
      <c r="C378" s="401"/>
      <c r="D378" s="401"/>
      <c r="E378" s="401"/>
      <c r="F378" s="401"/>
      <c r="G378" s="401"/>
      <c r="H378" s="401"/>
    </row>
    <row r="379" spans="1:8">
      <c r="A379" s="402" t="s">
        <v>600</v>
      </c>
      <c r="B379" s="401"/>
      <c r="C379" s="401"/>
      <c r="D379" s="401"/>
      <c r="E379" s="401"/>
      <c r="F379" s="401"/>
      <c r="G379" s="401"/>
      <c r="H379" s="401"/>
    </row>
    <row r="380" spans="1:8">
      <c r="A380" s="401"/>
      <c r="B380" s="401"/>
      <c r="C380" s="401"/>
      <c r="D380" s="401"/>
      <c r="E380" s="401"/>
      <c r="F380" s="401"/>
      <c r="G380" s="401"/>
      <c r="H380" s="401"/>
    </row>
    <row r="381" spans="1:8">
      <c r="A381" s="402" t="s">
        <v>591</v>
      </c>
      <c r="B381" s="401"/>
      <c r="C381" s="401"/>
      <c r="D381" s="401"/>
      <c r="E381" s="401"/>
      <c r="F381" s="401"/>
      <c r="G381" s="401"/>
      <c r="H381" s="401"/>
    </row>
    <row r="382" spans="1:8">
      <c r="A382" s="402" t="s">
        <v>592</v>
      </c>
      <c r="B382" s="401"/>
      <c r="C382" s="401"/>
      <c r="D382" s="401"/>
      <c r="E382" s="401"/>
      <c r="F382" s="401"/>
      <c r="G382" s="401"/>
      <c r="H382" s="401"/>
    </row>
    <row r="383" spans="1:8">
      <c r="A383" s="402" t="s">
        <v>593</v>
      </c>
      <c r="B383" s="401"/>
      <c r="C383" s="401"/>
      <c r="D383" s="401"/>
      <c r="E383" s="401"/>
      <c r="F383" s="401"/>
      <c r="G383" s="401"/>
      <c r="H383" s="401"/>
    </row>
    <row r="384" spans="1:8">
      <c r="A384" s="402" t="s">
        <v>594</v>
      </c>
      <c r="B384" s="401"/>
      <c r="C384" s="401"/>
      <c r="D384" s="401"/>
      <c r="E384" s="401"/>
      <c r="F384" s="401"/>
      <c r="G384" s="401"/>
      <c r="H384" s="401"/>
    </row>
    <row r="385" spans="1:8">
      <c r="A385" s="402" t="s">
        <v>595</v>
      </c>
      <c r="B385" s="401"/>
      <c r="C385" s="401"/>
      <c r="D385" s="401"/>
      <c r="E385" s="401"/>
      <c r="F385" s="401"/>
      <c r="G385" s="401"/>
      <c r="H385" s="401"/>
    </row>
    <row r="386" spans="1:8">
      <c r="A386" s="402" t="s">
        <v>596</v>
      </c>
      <c r="B386" s="401"/>
      <c r="C386" s="401"/>
      <c r="D386" s="401"/>
      <c r="E386" s="401"/>
      <c r="F386" s="401"/>
      <c r="G386" s="401"/>
      <c r="H386" s="401"/>
    </row>
    <row r="387" spans="1:8">
      <c r="A387" s="401"/>
      <c r="B387" s="401"/>
      <c r="C387" s="401"/>
      <c r="D387" s="401"/>
      <c r="E387" s="401"/>
      <c r="F387" s="401"/>
      <c r="G387" s="401"/>
      <c r="H387" s="401"/>
    </row>
    <row r="388" spans="1:8">
      <c r="A388" s="402" t="s">
        <v>586</v>
      </c>
      <c r="B388" s="401"/>
      <c r="C388" s="401"/>
      <c r="D388" s="401"/>
      <c r="E388" s="401"/>
      <c r="F388" s="401"/>
      <c r="G388" s="401"/>
      <c r="H388" s="401"/>
    </row>
    <row r="389" spans="1:8">
      <c r="A389" s="402" t="s">
        <v>587</v>
      </c>
      <c r="B389" s="401"/>
      <c r="C389" s="401"/>
      <c r="D389" s="401"/>
      <c r="E389" s="401"/>
      <c r="F389" s="401"/>
      <c r="G389" s="401"/>
      <c r="H389" s="401"/>
    </row>
    <row r="390" spans="1:8">
      <c r="A390" s="402" t="s">
        <v>588</v>
      </c>
      <c r="B390" s="401"/>
      <c r="C390" s="401"/>
      <c r="D390" s="401"/>
      <c r="E390" s="401"/>
      <c r="F390" s="401"/>
      <c r="G390" s="401"/>
      <c r="H390" s="401"/>
    </row>
    <row r="391" spans="1:8">
      <c r="A391" s="402" t="s">
        <v>589</v>
      </c>
      <c r="B391" s="401"/>
      <c r="C391" s="401"/>
      <c r="D391" s="401"/>
      <c r="E391" s="401"/>
      <c r="F391" s="401"/>
      <c r="G391" s="401"/>
      <c r="H391" s="401"/>
    </row>
    <row r="392" spans="1:8">
      <c r="A392" s="402" t="s">
        <v>590</v>
      </c>
      <c r="B392" s="401"/>
      <c r="C392" s="401"/>
      <c r="D392" s="401"/>
      <c r="E392" s="401"/>
      <c r="F392" s="401"/>
      <c r="G392" s="401"/>
      <c r="H392" s="401"/>
    </row>
    <row r="393" spans="1:8">
      <c r="A393" s="401"/>
      <c r="B393" s="401"/>
      <c r="C393" s="401"/>
      <c r="D393" s="401"/>
      <c r="E393" s="401"/>
      <c r="F393" s="401"/>
      <c r="G393" s="401"/>
      <c r="H393" s="401"/>
    </row>
    <row r="394" spans="1:8">
      <c r="A394" s="402" t="s">
        <v>584</v>
      </c>
      <c r="B394" s="401"/>
      <c r="C394" s="401"/>
      <c r="D394" s="401"/>
      <c r="E394" s="401"/>
      <c r="F394" s="401"/>
      <c r="G394" s="401"/>
      <c r="H394" s="401"/>
    </row>
    <row r="395" spans="1:8">
      <c r="A395" s="402" t="s">
        <v>585</v>
      </c>
      <c r="B395" s="401"/>
      <c r="C395" s="401"/>
      <c r="D395" s="401"/>
      <c r="E395" s="401"/>
      <c r="F395" s="401"/>
      <c r="G395" s="401"/>
      <c r="H395" s="401"/>
    </row>
    <row r="397" spans="1:8">
      <c r="A397" s="397" t="s">
        <v>844</v>
      </c>
    </row>
  </sheetData>
  <mergeCells count="12">
    <mergeCell ref="A138:H138"/>
    <mergeCell ref="A139:H139"/>
    <mergeCell ref="B131:C131"/>
    <mergeCell ref="D131:F131"/>
    <mergeCell ref="G131:H131"/>
    <mergeCell ref="A123:H123"/>
    <mergeCell ref="A130:H130"/>
    <mergeCell ref="A117:H117"/>
    <mergeCell ref="A118:H118"/>
    <mergeCell ref="A119:H119"/>
    <mergeCell ref="A120:H120"/>
    <mergeCell ref="A122:H122"/>
  </mergeCells>
  <pageMargins left="0.5" right="0.5" top="0.5" bottom="0.5" header="0.5" footer="0.5"/>
  <pageSetup orientation="portrait" horizontalDpi="300" verticalDpi="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B11"/>
  <sheetViews>
    <sheetView showGridLines="0" showRowColHeaders="0" workbookViewId="0">
      <selection activeCell="N1" sqref="N1"/>
    </sheetView>
  </sheetViews>
  <sheetFormatPr defaultRowHeight="12.75"/>
  <cols>
    <col min="1" max="1" width="9.140625" style="372"/>
    <col min="2" max="2" width="88.28515625" style="372" customWidth="1"/>
    <col min="3" max="257" width="9.140625" style="372"/>
    <col min="258" max="258" width="88.28515625" style="372" customWidth="1"/>
    <col min="259" max="513" width="9.140625" style="372"/>
    <col min="514" max="514" width="88.28515625" style="372" customWidth="1"/>
    <col min="515" max="769" width="9.140625" style="372"/>
    <col min="770" max="770" width="88.28515625" style="372" customWidth="1"/>
    <col min="771" max="1025" width="9.140625" style="372"/>
    <col min="1026" max="1026" width="88.28515625" style="372" customWidth="1"/>
    <col min="1027" max="1281" width="9.140625" style="372"/>
    <col min="1282" max="1282" width="88.28515625" style="372" customWidth="1"/>
    <col min="1283" max="1537" width="9.140625" style="372"/>
    <col min="1538" max="1538" width="88.28515625" style="372" customWidth="1"/>
    <col min="1539" max="1793" width="9.140625" style="372"/>
    <col min="1794" max="1794" width="88.28515625" style="372" customWidth="1"/>
    <col min="1795" max="2049" width="9.140625" style="372"/>
    <col min="2050" max="2050" width="88.28515625" style="372" customWidth="1"/>
    <col min="2051" max="2305" width="9.140625" style="372"/>
    <col min="2306" max="2306" width="88.28515625" style="372" customWidth="1"/>
    <col min="2307" max="2561" width="9.140625" style="372"/>
    <col min="2562" max="2562" width="88.28515625" style="372" customWidth="1"/>
    <col min="2563" max="2817" width="9.140625" style="372"/>
    <col min="2818" max="2818" width="88.28515625" style="372" customWidth="1"/>
    <col min="2819" max="3073" width="9.140625" style="372"/>
    <col min="3074" max="3074" width="88.28515625" style="372" customWidth="1"/>
    <col min="3075" max="3329" width="9.140625" style="372"/>
    <col min="3330" max="3330" width="88.28515625" style="372" customWidth="1"/>
    <col min="3331" max="3585" width="9.140625" style="372"/>
    <col min="3586" max="3586" width="88.28515625" style="372" customWidth="1"/>
    <col min="3587" max="3841" width="9.140625" style="372"/>
    <col min="3842" max="3842" width="88.28515625" style="372" customWidth="1"/>
    <col min="3843" max="4097" width="9.140625" style="372"/>
    <col min="4098" max="4098" width="88.28515625" style="372" customWidth="1"/>
    <col min="4099" max="4353" width="9.140625" style="372"/>
    <col min="4354" max="4354" width="88.28515625" style="372" customWidth="1"/>
    <col min="4355" max="4609" width="9.140625" style="372"/>
    <col min="4610" max="4610" width="88.28515625" style="372" customWidth="1"/>
    <col min="4611" max="4865" width="9.140625" style="372"/>
    <col min="4866" max="4866" width="88.28515625" style="372" customWidth="1"/>
    <col min="4867" max="5121" width="9.140625" style="372"/>
    <col min="5122" max="5122" width="88.28515625" style="372" customWidth="1"/>
    <col min="5123" max="5377" width="9.140625" style="372"/>
    <col min="5378" max="5378" width="88.28515625" style="372" customWidth="1"/>
    <col min="5379" max="5633" width="9.140625" style="372"/>
    <col min="5634" max="5634" width="88.28515625" style="372" customWidth="1"/>
    <col min="5635" max="5889" width="9.140625" style="372"/>
    <col min="5890" max="5890" width="88.28515625" style="372" customWidth="1"/>
    <col min="5891" max="6145" width="9.140625" style="372"/>
    <col min="6146" max="6146" width="88.28515625" style="372" customWidth="1"/>
    <col min="6147" max="6401" width="9.140625" style="372"/>
    <col min="6402" max="6402" width="88.28515625" style="372" customWidth="1"/>
    <col min="6403" max="6657" width="9.140625" style="372"/>
    <col min="6658" max="6658" width="88.28515625" style="372" customWidth="1"/>
    <col min="6659" max="6913" width="9.140625" style="372"/>
    <col min="6914" max="6914" width="88.28515625" style="372" customWidth="1"/>
    <col min="6915" max="7169" width="9.140625" style="372"/>
    <col min="7170" max="7170" width="88.28515625" style="372" customWidth="1"/>
    <col min="7171" max="7425" width="9.140625" style="372"/>
    <col min="7426" max="7426" width="88.28515625" style="372" customWidth="1"/>
    <col min="7427" max="7681" width="9.140625" style="372"/>
    <col min="7682" max="7682" width="88.28515625" style="372" customWidth="1"/>
    <col min="7683" max="7937" width="9.140625" style="372"/>
    <col min="7938" max="7938" width="88.28515625" style="372" customWidth="1"/>
    <col min="7939" max="8193" width="9.140625" style="372"/>
    <col min="8194" max="8194" width="88.28515625" style="372" customWidth="1"/>
    <col min="8195" max="8449" width="9.140625" style="372"/>
    <col min="8450" max="8450" width="88.28515625" style="372" customWidth="1"/>
    <col min="8451" max="8705" width="9.140625" style="372"/>
    <col min="8706" max="8706" width="88.28515625" style="372" customWidth="1"/>
    <col min="8707" max="8961" width="9.140625" style="372"/>
    <col min="8962" max="8962" width="88.28515625" style="372" customWidth="1"/>
    <col min="8963" max="9217" width="9.140625" style="372"/>
    <col min="9218" max="9218" width="88.28515625" style="372" customWidth="1"/>
    <col min="9219" max="9473" width="9.140625" style="372"/>
    <col min="9474" max="9474" width="88.28515625" style="372" customWidth="1"/>
    <col min="9475" max="9729" width="9.140625" style="372"/>
    <col min="9730" max="9730" width="88.28515625" style="372" customWidth="1"/>
    <col min="9731" max="9985" width="9.140625" style="372"/>
    <col min="9986" max="9986" width="88.28515625" style="372" customWidth="1"/>
    <col min="9987" max="10241" width="9.140625" style="372"/>
    <col min="10242" max="10242" width="88.28515625" style="372" customWidth="1"/>
    <col min="10243" max="10497" width="9.140625" style="372"/>
    <col min="10498" max="10498" width="88.28515625" style="372" customWidth="1"/>
    <col min="10499" max="10753" width="9.140625" style="372"/>
    <col min="10754" max="10754" width="88.28515625" style="372" customWidth="1"/>
    <col min="10755" max="11009" width="9.140625" style="372"/>
    <col min="11010" max="11010" width="88.28515625" style="372" customWidth="1"/>
    <col min="11011" max="11265" width="9.140625" style="372"/>
    <col min="11266" max="11266" width="88.28515625" style="372" customWidth="1"/>
    <col min="11267" max="11521" width="9.140625" style="372"/>
    <col min="11522" max="11522" width="88.28515625" style="372" customWidth="1"/>
    <col min="11523" max="11777" width="9.140625" style="372"/>
    <col min="11778" max="11778" width="88.28515625" style="372" customWidth="1"/>
    <col min="11779" max="12033" width="9.140625" style="372"/>
    <col min="12034" max="12034" width="88.28515625" style="372" customWidth="1"/>
    <col min="12035" max="12289" width="9.140625" style="372"/>
    <col min="12290" max="12290" width="88.28515625" style="372" customWidth="1"/>
    <col min="12291" max="12545" width="9.140625" style="372"/>
    <col min="12546" max="12546" width="88.28515625" style="372" customWidth="1"/>
    <col min="12547" max="12801" width="9.140625" style="372"/>
    <col min="12802" max="12802" width="88.28515625" style="372" customWidth="1"/>
    <col min="12803" max="13057" width="9.140625" style="372"/>
    <col min="13058" max="13058" width="88.28515625" style="372" customWidth="1"/>
    <col min="13059" max="13313" width="9.140625" style="372"/>
    <col min="13314" max="13314" width="88.28515625" style="372" customWidth="1"/>
    <col min="13315" max="13569" width="9.140625" style="372"/>
    <col min="13570" max="13570" width="88.28515625" style="372" customWidth="1"/>
    <col min="13571" max="13825" width="9.140625" style="372"/>
    <col min="13826" max="13826" width="88.28515625" style="372" customWidth="1"/>
    <col min="13827" max="14081" width="9.140625" style="372"/>
    <col min="14082" max="14082" width="88.28515625" style="372" customWidth="1"/>
    <col min="14083" max="14337" width="9.140625" style="372"/>
    <col min="14338" max="14338" width="88.28515625" style="372" customWidth="1"/>
    <col min="14339" max="14593" width="9.140625" style="372"/>
    <col min="14594" max="14594" width="88.28515625" style="372" customWidth="1"/>
    <col min="14595" max="14849" width="9.140625" style="372"/>
    <col min="14850" max="14850" width="88.28515625" style="372" customWidth="1"/>
    <col min="14851" max="15105" width="9.140625" style="372"/>
    <col min="15106" max="15106" width="88.28515625" style="372" customWidth="1"/>
    <col min="15107" max="15361" width="9.140625" style="372"/>
    <col min="15362" max="15362" width="88.28515625" style="372" customWidth="1"/>
    <col min="15363" max="15617" width="9.140625" style="372"/>
    <col min="15618" max="15618" width="88.28515625" style="372" customWidth="1"/>
    <col min="15619" max="15873" width="9.140625" style="372"/>
    <col min="15874" max="15874" width="88.28515625" style="372" customWidth="1"/>
    <col min="15875" max="16129" width="9.140625" style="372"/>
    <col min="16130" max="16130" width="88.28515625" style="372" customWidth="1"/>
    <col min="16131" max="16384" width="9.140625" style="372"/>
  </cols>
  <sheetData>
    <row r="1" spans="2:2" ht="32.25" customHeight="1"/>
    <row r="2" spans="2:2" ht="72" hidden="1">
      <c r="B2" s="413" t="s">
        <v>912</v>
      </c>
    </row>
    <row r="3" spans="2:2" ht="72">
      <c r="B3" s="413" t="s">
        <v>913</v>
      </c>
    </row>
    <row r="4" spans="2:2" ht="18" hidden="1">
      <c r="B4" s="413"/>
    </row>
    <row r="5" spans="2:2" ht="54" hidden="1">
      <c r="B5" s="413" t="s">
        <v>914</v>
      </c>
    </row>
    <row r="6" spans="2:2" ht="7.5" customHeight="1">
      <c r="B6" s="413"/>
    </row>
    <row r="7" spans="2:2" ht="18">
      <c r="B7" s="414" t="s">
        <v>915</v>
      </c>
    </row>
    <row r="8" spans="2:2" ht="18">
      <c r="B8" s="414" t="s">
        <v>917</v>
      </c>
    </row>
    <row r="9" spans="2:2" ht="18">
      <c r="B9" s="414" t="s">
        <v>918</v>
      </c>
    </row>
    <row r="10" spans="2:2" ht="18">
      <c r="B10" s="415"/>
    </row>
    <row r="11" spans="2:2" ht="54">
      <c r="B11" s="416" t="s">
        <v>916</v>
      </c>
    </row>
  </sheetData>
  <dataConsolidate/>
  <pageMargins left="0.75" right="0.75" top="1" bottom="1" header="0.5" footer="0.5"/>
  <pageSetup orientation="portrait" horizontalDpi="30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JK533"/>
  <sheetViews>
    <sheetView showGridLines="0" zoomScale="70" zoomScaleNormal="70" zoomScaleSheetLayoutView="70" workbookViewId="0">
      <pane xSplit="7" ySplit="11" topLeftCell="H12" activePane="bottomRight" state="frozen"/>
      <selection activeCell="C3" sqref="C3:F34"/>
      <selection pane="topRight" activeCell="C3" sqref="C3:F34"/>
      <selection pane="bottomLeft" activeCell="C3" sqref="C3:F34"/>
      <selection pane="bottomRight" activeCell="H12" sqref="H12"/>
    </sheetView>
  </sheetViews>
  <sheetFormatPr defaultRowHeight="12.75" outlineLevelRow="1" outlineLevelCol="1"/>
  <cols>
    <col min="1" max="1" width="4" customWidth="1"/>
    <col min="2" max="2" width="41.28515625" customWidth="1"/>
    <col min="3" max="3" width="8.140625" bestFit="1" customWidth="1"/>
    <col min="4" max="7" width="9.140625" hidden="1" customWidth="1" outlineLevel="1"/>
    <col min="8" max="8" width="9.140625" hidden="1" customWidth="1" outlineLevel="1" collapsed="1"/>
    <col min="9" max="11" width="10.28515625" hidden="1" customWidth="1" outlineLevel="1"/>
    <col min="12" max="12" width="10.28515625" hidden="1" customWidth="1" outlineLevel="1" collapsed="1"/>
    <col min="13" max="15" width="10.28515625" hidden="1" customWidth="1" outlineLevel="1"/>
    <col min="16" max="16" width="10.28515625" hidden="1" customWidth="1" outlineLevel="1" collapsed="1"/>
    <col min="17" max="19" width="10.28515625" hidden="1" customWidth="1" outlineLevel="1"/>
    <col min="20" max="20" width="10.28515625" hidden="1" customWidth="1" outlineLevel="1" collapsed="1"/>
    <col min="21" max="23" width="10.28515625" hidden="1" customWidth="1" outlineLevel="1"/>
    <col min="24" max="24" width="10.28515625" customWidth="1" collapsed="1"/>
    <col min="25" max="31" width="10.28515625" customWidth="1"/>
    <col min="32" max="51" width="10.28515625" hidden="1" customWidth="1" outlineLevel="1"/>
    <col min="52" max="52" width="11.140625" style="22" customWidth="1" collapsed="1"/>
    <col min="53" max="53" width="9.140625" style="22" hidden="1" customWidth="1" outlineLevel="1"/>
    <col min="54" max="54" width="9.140625" hidden="1" customWidth="1" outlineLevel="1"/>
    <col min="55" max="55" width="9.140625" hidden="1" customWidth="1" outlineLevel="1" collapsed="1"/>
    <col min="56" max="58" width="10.28515625" hidden="1" customWidth="1" outlineLevel="1" collapsed="1"/>
    <col min="59" max="59" width="10.28515625" bestFit="1" customWidth="1" collapsed="1"/>
    <col min="60" max="63" width="10.28515625" bestFit="1" customWidth="1"/>
    <col min="64" max="66" width="10.28515625" customWidth="1"/>
    <col min="67" max="67" width="9.140625" style="22"/>
    <col min="69" max="69" width="10.7109375" style="230" customWidth="1"/>
    <col min="70" max="70" width="38.42578125" customWidth="1"/>
    <col min="71" max="71" width="10.7109375" customWidth="1"/>
    <col min="72" max="72" width="12.140625" customWidth="1"/>
    <col min="73" max="75" width="10.7109375" customWidth="1"/>
  </cols>
  <sheetData>
    <row r="1" spans="1:69">
      <c r="A1" s="58" t="s">
        <v>222</v>
      </c>
      <c r="D1" s="36">
        <v>40999</v>
      </c>
      <c r="E1" s="35">
        <f t="shared" ref="E1:W1" si="0">+EOMONTH(D1,3)</f>
        <v>41090</v>
      </c>
      <c r="F1" s="35">
        <f t="shared" si="0"/>
        <v>41182</v>
      </c>
      <c r="G1" s="35">
        <f t="shared" si="0"/>
        <v>41274</v>
      </c>
      <c r="H1" s="35">
        <f t="shared" si="0"/>
        <v>41364</v>
      </c>
      <c r="I1" s="35">
        <f t="shared" si="0"/>
        <v>41455</v>
      </c>
      <c r="J1" s="35">
        <f t="shared" si="0"/>
        <v>41547</v>
      </c>
      <c r="K1" s="35">
        <f t="shared" si="0"/>
        <v>41639</v>
      </c>
      <c r="L1" s="35">
        <f t="shared" si="0"/>
        <v>41729</v>
      </c>
      <c r="M1" s="35">
        <f t="shared" si="0"/>
        <v>41820</v>
      </c>
      <c r="N1" s="35">
        <f t="shared" si="0"/>
        <v>41912</v>
      </c>
      <c r="O1" s="35">
        <f t="shared" si="0"/>
        <v>42004</v>
      </c>
      <c r="P1" s="35">
        <f t="shared" si="0"/>
        <v>42094</v>
      </c>
      <c r="Q1" s="35">
        <f t="shared" si="0"/>
        <v>42185</v>
      </c>
      <c r="R1" s="35">
        <f t="shared" si="0"/>
        <v>42277</v>
      </c>
      <c r="S1" s="35">
        <f t="shared" si="0"/>
        <v>42369</v>
      </c>
      <c r="T1" s="35">
        <f t="shared" si="0"/>
        <v>42460</v>
      </c>
      <c r="U1" s="35">
        <f t="shared" si="0"/>
        <v>42551</v>
      </c>
      <c r="V1" s="35">
        <f t="shared" si="0"/>
        <v>42643</v>
      </c>
      <c r="W1" s="35">
        <f t="shared" si="0"/>
        <v>42735</v>
      </c>
      <c r="X1" s="35">
        <f t="shared" ref="X1:AM1" si="1">+EOMONTH(W1,3)</f>
        <v>42825</v>
      </c>
      <c r="Y1" s="35">
        <f t="shared" si="1"/>
        <v>42916</v>
      </c>
      <c r="Z1" s="35">
        <f t="shared" si="1"/>
        <v>43008</v>
      </c>
      <c r="AA1" s="35">
        <f t="shared" si="1"/>
        <v>43100</v>
      </c>
      <c r="AB1" s="35">
        <f t="shared" si="1"/>
        <v>43190</v>
      </c>
      <c r="AC1" s="35">
        <f t="shared" si="1"/>
        <v>43281</v>
      </c>
      <c r="AD1" s="35">
        <f t="shared" si="1"/>
        <v>43373</v>
      </c>
      <c r="AE1" s="35">
        <f t="shared" si="1"/>
        <v>43465</v>
      </c>
      <c r="AF1" s="35">
        <f t="shared" si="1"/>
        <v>43555</v>
      </c>
      <c r="AG1" s="35">
        <f t="shared" si="1"/>
        <v>43646</v>
      </c>
      <c r="AH1" s="35">
        <f t="shared" si="1"/>
        <v>43738</v>
      </c>
      <c r="AI1" s="35">
        <f t="shared" si="1"/>
        <v>43830</v>
      </c>
      <c r="AJ1" s="35">
        <f t="shared" si="1"/>
        <v>43921</v>
      </c>
      <c r="AK1" s="35">
        <f t="shared" si="1"/>
        <v>44012</v>
      </c>
      <c r="AL1" s="35">
        <f t="shared" si="1"/>
        <v>44104</v>
      </c>
      <c r="AM1" s="35">
        <f t="shared" si="1"/>
        <v>44196</v>
      </c>
      <c r="AN1" s="35">
        <f t="shared" ref="AN1" si="2">+EOMONTH(AM1,3)</f>
        <v>44286</v>
      </c>
      <c r="AO1" s="35">
        <f t="shared" ref="AO1" si="3">+EOMONTH(AN1,3)</f>
        <v>44377</v>
      </c>
      <c r="AP1" s="35">
        <f t="shared" ref="AP1" si="4">+EOMONTH(AO1,3)</f>
        <v>44469</v>
      </c>
      <c r="AQ1" s="35">
        <f t="shared" ref="AQ1" si="5">+EOMONTH(AP1,3)</f>
        <v>44561</v>
      </c>
      <c r="AR1" s="35">
        <f t="shared" ref="AR1" si="6">+EOMONTH(AQ1,3)</f>
        <v>44651</v>
      </c>
      <c r="AS1" s="35">
        <f t="shared" ref="AS1" si="7">+EOMONTH(AR1,3)</f>
        <v>44742</v>
      </c>
      <c r="AT1" s="35">
        <f t="shared" ref="AT1" si="8">+EOMONTH(AS1,3)</f>
        <v>44834</v>
      </c>
      <c r="AU1" s="35">
        <f t="shared" ref="AU1" si="9">+EOMONTH(AT1,3)</f>
        <v>44926</v>
      </c>
      <c r="AV1" s="35">
        <f t="shared" ref="AV1" si="10">+EOMONTH(AU1,3)</f>
        <v>45016</v>
      </c>
      <c r="AW1" s="35">
        <f t="shared" ref="AW1" si="11">+EOMONTH(AV1,3)</f>
        <v>45107</v>
      </c>
      <c r="AX1" s="35">
        <f t="shared" ref="AX1" si="12">+EOMONTH(AW1,3)</f>
        <v>45199</v>
      </c>
      <c r="AY1" s="35">
        <f t="shared" ref="AY1" si="13">+EOMONTH(AX1,3)</f>
        <v>45291</v>
      </c>
      <c r="AZ1" s="64"/>
      <c r="BA1" s="63">
        <v>40543</v>
      </c>
      <c r="BB1" s="35">
        <f t="shared" ref="BB1:BG1" si="14">+EOMONTH(BA1,12)</f>
        <v>40908</v>
      </c>
      <c r="BC1" s="35">
        <f t="shared" si="14"/>
        <v>41274</v>
      </c>
      <c r="BD1" s="35">
        <f t="shared" si="14"/>
        <v>41639</v>
      </c>
      <c r="BE1" s="35">
        <f t="shared" si="14"/>
        <v>42004</v>
      </c>
      <c r="BF1" s="35">
        <f t="shared" si="14"/>
        <v>42369</v>
      </c>
      <c r="BG1" s="35">
        <f t="shared" si="14"/>
        <v>42735</v>
      </c>
      <c r="BH1" s="35">
        <f>+EOMONTH(BG1,12)</f>
        <v>43100</v>
      </c>
      <c r="BI1" s="35">
        <f>+EOMONTH(BH1,12)</f>
        <v>43465</v>
      </c>
      <c r="BJ1" s="35">
        <f>+EOMONTH(BI1,12)</f>
        <v>43830</v>
      </c>
      <c r="BK1" s="35">
        <f>+EOMONTH(BJ1,12)</f>
        <v>44196</v>
      </c>
      <c r="BL1" s="35">
        <f t="shared" ref="BL1:BN1" si="15">+EOMONTH(BK1,12)</f>
        <v>44561</v>
      </c>
      <c r="BM1" s="35">
        <f t="shared" si="15"/>
        <v>44926</v>
      </c>
      <c r="BN1" s="35">
        <f t="shared" si="15"/>
        <v>45291</v>
      </c>
      <c r="BQ1" s="226"/>
    </row>
    <row r="2" spans="1:69">
      <c r="H2" s="36"/>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64"/>
      <c r="BA2" s="64"/>
      <c r="BB2" s="35"/>
      <c r="BC2" s="35"/>
      <c r="BD2" s="35"/>
      <c r="BE2" s="35"/>
      <c r="BF2" s="35"/>
      <c r="BG2" s="35"/>
      <c r="BH2" s="35"/>
      <c r="BI2" s="35"/>
      <c r="BJ2" s="35"/>
      <c r="BK2" s="35"/>
      <c r="BL2" s="35"/>
      <c r="BM2" s="35"/>
      <c r="BN2" s="35"/>
    </row>
    <row r="3" spans="1:69" hidden="1" outlineLevel="1">
      <c r="B3" s="48" t="s">
        <v>153</v>
      </c>
      <c r="C3" s="49">
        <v>0</v>
      </c>
      <c r="D3" s="202"/>
      <c r="E3" s="202"/>
      <c r="F3" s="202"/>
      <c r="G3" s="202"/>
      <c r="H3" s="36"/>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64"/>
      <c r="BA3" s="64"/>
      <c r="BB3" s="35"/>
      <c r="BC3" s="35"/>
      <c r="BD3" s="35"/>
      <c r="BE3" s="35"/>
      <c r="BF3" s="35"/>
      <c r="BG3" s="35"/>
      <c r="BH3" s="35"/>
      <c r="BI3" s="35"/>
      <c r="BJ3" s="35"/>
      <c r="BK3" s="35"/>
      <c r="BL3" s="35"/>
      <c r="BM3" s="35"/>
      <c r="BN3" s="35"/>
    </row>
    <row r="4" spans="1:69" hidden="1" outlineLevel="1">
      <c r="D4" s="22"/>
      <c r="E4" s="22"/>
      <c r="F4" s="22"/>
      <c r="G4" s="22"/>
      <c r="H4" s="36"/>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64"/>
      <c r="BA4" s="64"/>
      <c r="BB4" s="35"/>
      <c r="BC4" s="35"/>
      <c r="BD4" s="35"/>
      <c r="BE4" s="35"/>
      <c r="BF4" s="35"/>
      <c r="BG4" s="35"/>
      <c r="BH4" s="35"/>
      <c r="BI4" s="35"/>
      <c r="BJ4" s="35"/>
      <c r="BK4" s="35"/>
      <c r="BL4" s="35"/>
      <c r="BM4" s="35"/>
      <c r="BN4" s="35"/>
    </row>
    <row r="5" spans="1:69" collapsed="1">
      <c r="B5" s="105" t="s">
        <v>242</v>
      </c>
      <c r="C5" s="106">
        <v>2</v>
      </c>
      <c r="D5" s="203"/>
      <c r="E5" s="203"/>
      <c r="F5" s="203"/>
      <c r="G5" s="203"/>
      <c r="H5" s="36"/>
      <c r="I5" s="35"/>
      <c r="J5" s="35"/>
      <c r="K5" s="35"/>
      <c r="L5" s="35"/>
      <c r="M5" s="35"/>
      <c r="N5" s="35"/>
      <c r="O5" s="35"/>
      <c r="P5" s="35"/>
      <c r="Q5" s="35"/>
      <c r="R5" s="35"/>
      <c r="AZ5" s="64"/>
      <c r="BA5" s="64"/>
      <c r="BB5" s="35"/>
      <c r="BC5" s="35"/>
      <c r="BD5" s="35"/>
      <c r="BE5" s="35"/>
      <c r="BF5" s="35"/>
      <c r="BG5" s="35"/>
      <c r="BH5" s="35"/>
      <c r="BI5" s="35"/>
      <c r="BJ5" s="35"/>
      <c r="BK5" s="35"/>
      <c r="BL5" s="35"/>
      <c r="BM5" s="35"/>
      <c r="BN5" s="35"/>
    </row>
    <row r="6" spans="1:69">
      <c r="B6" t="s">
        <v>243</v>
      </c>
      <c r="H6" s="36"/>
      <c r="I6" s="35"/>
      <c r="J6" s="35"/>
      <c r="K6" s="35"/>
      <c r="L6" s="35"/>
      <c r="M6" s="35"/>
      <c r="N6" s="35"/>
      <c r="O6" s="35"/>
      <c r="P6" s="35"/>
      <c r="Q6" s="35"/>
      <c r="R6" s="35"/>
      <c r="AZ6" s="64"/>
      <c r="BA6" s="64"/>
      <c r="BB6" s="35"/>
      <c r="BC6" s="35"/>
      <c r="BD6" s="35"/>
      <c r="BE6" s="35"/>
      <c r="BF6" s="35"/>
      <c r="BG6" s="35"/>
      <c r="BH6" s="35"/>
      <c r="BI6" s="35"/>
      <c r="BJ6" s="35"/>
      <c r="BK6" s="35"/>
      <c r="BL6" s="35"/>
      <c r="BM6" s="35"/>
      <c r="BN6" s="35"/>
    </row>
    <row r="7" spans="1:69">
      <c r="B7" t="s">
        <v>244</v>
      </c>
      <c r="H7" s="36"/>
      <c r="I7" s="35"/>
      <c r="J7" s="35"/>
      <c r="K7" s="35"/>
      <c r="L7" s="35"/>
      <c r="M7" s="35"/>
      <c r="N7" s="35"/>
      <c r="O7" s="35"/>
      <c r="P7" s="35"/>
      <c r="Q7" s="35"/>
      <c r="R7" s="35"/>
      <c r="AZ7" s="64"/>
      <c r="BA7" s="64"/>
      <c r="BB7" s="35"/>
      <c r="BC7" s="35"/>
      <c r="BD7" s="35"/>
      <c r="BE7" s="35"/>
      <c r="BF7" s="35"/>
      <c r="BG7" s="35"/>
      <c r="BH7" s="35"/>
      <c r="BI7" s="35"/>
      <c r="BJ7" s="35"/>
      <c r="BK7" s="35"/>
      <c r="BL7" s="35"/>
      <c r="BM7" s="35"/>
      <c r="BN7" s="35"/>
    </row>
    <row r="8" spans="1:69">
      <c r="B8" t="s">
        <v>245</v>
      </c>
      <c r="H8" s="36"/>
      <c r="I8" s="35"/>
      <c r="J8" s="35"/>
      <c r="K8" s="35"/>
      <c r="L8" s="35"/>
      <c r="M8" s="35"/>
      <c r="N8" s="35"/>
      <c r="O8" s="35"/>
      <c r="P8" s="35"/>
      <c r="Q8" s="35"/>
      <c r="R8" s="35"/>
      <c r="AZ8" s="64"/>
      <c r="BA8" s="64"/>
      <c r="BB8" s="35"/>
      <c r="BC8" s="35"/>
      <c r="BD8" s="35"/>
      <c r="BE8" s="35"/>
      <c r="BF8" s="35"/>
      <c r="BG8" s="35"/>
      <c r="BH8" s="35"/>
      <c r="BI8" s="35"/>
      <c r="BJ8" s="35"/>
      <c r="BK8" s="35"/>
      <c r="BL8" s="35"/>
      <c r="BM8" s="35"/>
      <c r="BN8" s="35"/>
    </row>
    <row r="9" spans="1:69">
      <c r="B9" s="60"/>
      <c r="W9" s="4"/>
    </row>
    <row r="10" spans="1:69">
      <c r="A10" s="1" t="s">
        <v>24</v>
      </c>
      <c r="B10" s="2" t="s">
        <v>0</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65"/>
      <c r="BA10" s="2"/>
      <c r="BB10" s="2"/>
      <c r="BC10" s="2"/>
      <c r="BD10" s="2"/>
      <c r="BE10" s="2"/>
      <c r="BF10" s="2"/>
      <c r="BG10" s="2"/>
      <c r="BH10" s="2"/>
      <c r="BI10" s="2"/>
      <c r="BJ10" s="2"/>
      <c r="BK10" s="2"/>
      <c r="BL10" s="2"/>
      <c r="BM10" s="2"/>
      <c r="BN10" s="2"/>
    </row>
    <row r="11" spans="1:69">
      <c r="B11" s="2" t="s">
        <v>35</v>
      </c>
      <c r="C11" s="2"/>
      <c r="D11" s="3" t="s">
        <v>256</v>
      </c>
      <c r="E11" s="3" t="s">
        <v>257</v>
      </c>
      <c r="F11" s="3" t="s">
        <v>258</v>
      </c>
      <c r="G11" s="3" t="s">
        <v>259</v>
      </c>
      <c r="H11" s="3" t="s">
        <v>26</v>
      </c>
      <c r="I11" s="3" t="s">
        <v>25</v>
      </c>
      <c r="J11" s="3" t="s">
        <v>278</v>
      </c>
      <c r="K11" s="3" t="s">
        <v>341</v>
      </c>
      <c r="L11" s="3" t="s">
        <v>357</v>
      </c>
      <c r="M11" s="3" t="s">
        <v>375</v>
      </c>
      <c r="N11" s="3" t="s">
        <v>386</v>
      </c>
      <c r="O11" s="3" t="s">
        <v>391</v>
      </c>
      <c r="P11" s="3" t="s">
        <v>414</v>
      </c>
      <c r="Q11" s="3" t="s">
        <v>423</v>
      </c>
      <c r="R11" s="3" t="s">
        <v>432</v>
      </c>
      <c r="S11" s="3" t="s">
        <v>439</v>
      </c>
      <c r="T11" s="3" t="s">
        <v>458</v>
      </c>
      <c r="U11" s="3" t="s">
        <v>462</v>
      </c>
      <c r="V11" s="3" t="s">
        <v>472</v>
      </c>
      <c r="W11" s="3" t="s">
        <v>479</v>
      </c>
      <c r="X11" s="3" t="s">
        <v>489</v>
      </c>
      <c r="Y11" s="3" t="s">
        <v>493</v>
      </c>
      <c r="Z11" s="3" t="s">
        <v>503</v>
      </c>
      <c r="AA11" s="3" t="s">
        <v>511</v>
      </c>
      <c r="AB11" s="3" t="s">
        <v>397</v>
      </c>
      <c r="AC11" s="3" t="s">
        <v>398</v>
      </c>
      <c r="AD11" s="3" t="s">
        <v>399</v>
      </c>
      <c r="AE11" s="3" t="s">
        <v>400</v>
      </c>
      <c r="AF11" s="3" t="s">
        <v>401</v>
      </c>
      <c r="AG11" s="3" t="s">
        <v>402</v>
      </c>
      <c r="AH11" s="3" t="s">
        <v>403</v>
      </c>
      <c r="AI11" s="3" t="s">
        <v>404</v>
      </c>
      <c r="AJ11" s="3" t="s">
        <v>405</v>
      </c>
      <c r="AK11" s="3" t="s">
        <v>406</v>
      </c>
      <c r="AL11" s="3" t="s">
        <v>407</v>
      </c>
      <c r="AM11" s="3" t="s">
        <v>408</v>
      </c>
      <c r="AN11" s="3" t="s">
        <v>518</v>
      </c>
      <c r="AO11" s="3" t="s">
        <v>519</v>
      </c>
      <c r="AP11" s="3" t="s">
        <v>520</v>
      </c>
      <c r="AQ11" s="3" t="s">
        <v>521</v>
      </c>
      <c r="AR11" s="3" t="s">
        <v>522</v>
      </c>
      <c r="AS11" s="3" t="s">
        <v>523</v>
      </c>
      <c r="AT11" s="3" t="s">
        <v>524</v>
      </c>
      <c r="AU11" s="3" t="s">
        <v>525</v>
      </c>
      <c r="AV11" s="3" t="s">
        <v>526</v>
      </c>
      <c r="AW11" s="3" t="s">
        <v>527</v>
      </c>
      <c r="AX11" s="3" t="s">
        <v>528</v>
      </c>
      <c r="AY11" s="3" t="s">
        <v>529</v>
      </c>
      <c r="AZ11" s="66"/>
      <c r="BA11" s="3" t="s">
        <v>322</v>
      </c>
      <c r="BB11" s="3" t="s">
        <v>323</v>
      </c>
      <c r="BC11" s="3" t="s">
        <v>358</v>
      </c>
      <c r="BD11" s="3" t="s">
        <v>359</v>
      </c>
      <c r="BE11" s="3" t="s">
        <v>409</v>
      </c>
      <c r="BF11" s="3">
        <v>2015</v>
      </c>
      <c r="BG11" s="3">
        <v>2016</v>
      </c>
      <c r="BH11" s="3">
        <v>2017</v>
      </c>
      <c r="BI11" s="3" t="s">
        <v>411</v>
      </c>
      <c r="BJ11" s="3" t="s">
        <v>412</v>
      </c>
      <c r="BK11" s="3" t="s">
        <v>413</v>
      </c>
      <c r="BL11" s="3" t="s">
        <v>530</v>
      </c>
      <c r="BM11" s="3" t="s">
        <v>531</v>
      </c>
      <c r="BN11" s="3" t="s">
        <v>532</v>
      </c>
    </row>
    <row r="12" spans="1:69">
      <c r="S12" s="4"/>
      <c r="BA12"/>
    </row>
    <row r="13" spans="1:69">
      <c r="B13" t="s">
        <v>3</v>
      </c>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24"/>
      <c r="BA13" s="4"/>
      <c r="BB13" s="4"/>
      <c r="BC13" s="4"/>
      <c r="BD13" s="4"/>
      <c r="BE13" s="4"/>
      <c r="BF13" s="4"/>
      <c r="BG13" s="4"/>
      <c r="BH13" s="4"/>
      <c r="BI13" s="4"/>
      <c r="BJ13" s="4"/>
      <c r="BK13" s="4"/>
      <c r="BL13" s="4"/>
      <c r="BM13" s="4"/>
      <c r="BN13" s="4"/>
    </row>
    <row r="14" spans="1:69">
      <c r="B14" t="s">
        <v>4</v>
      </c>
      <c r="C14" s="4"/>
      <c r="D14" s="28">
        <f>59.516-E14</f>
        <v>28.790999999999997</v>
      </c>
      <c r="E14" s="28">
        <v>30.725000000000001</v>
      </c>
      <c r="F14" s="28">
        <v>30.036999999999999</v>
      </c>
      <c r="G14" s="28">
        <f>120.758-D14-E14-F14</f>
        <v>31.204999999999998</v>
      </c>
      <c r="H14" s="7">
        <f>68.589-I14</f>
        <v>33.805999999999997</v>
      </c>
      <c r="I14" s="28">
        <v>34.783000000000001</v>
      </c>
      <c r="J14" s="28">
        <v>37.594999999999999</v>
      </c>
      <c r="K14" s="28">
        <v>39.122</v>
      </c>
      <c r="L14" s="28">
        <v>40.579000000000001</v>
      </c>
      <c r="M14" s="28">
        <v>41.966000000000001</v>
      </c>
      <c r="N14" s="28">
        <v>45.448</v>
      </c>
      <c r="O14" s="28">
        <v>47.655999999999999</v>
      </c>
      <c r="P14" s="28">
        <v>49.332999999999998</v>
      </c>
      <c r="Q14" s="28">
        <v>52.192999999999998</v>
      </c>
      <c r="R14" s="28">
        <v>62.744</v>
      </c>
      <c r="S14" s="28">
        <v>66.239999999999995</v>
      </c>
      <c r="T14" s="28">
        <v>68.426000000000002</v>
      </c>
      <c r="U14" s="28">
        <v>71.67</v>
      </c>
      <c r="V14" s="28">
        <v>77.004999999999995</v>
      </c>
      <c r="W14" s="28">
        <v>78.622</v>
      </c>
      <c r="X14" s="28">
        <v>79.117000000000004</v>
      </c>
      <c r="Y14" s="28">
        <v>80.793000000000006</v>
      </c>
      <c r="Z14" s="28">
        <v>85.831000000000003</v>
      </c>
      <c r="AA14" s="28">
        <v>90.078000000000003</v>
      </c>
      <c r="AB14" s="4">
        <f t="shared" ref="AB14:AY14" ca="1" si="16">+AB$21*AB$22</f>
        <v>91.040547103170368</v>
      </c>
      <c r="AC14" s="4">
        <f t="shared" ca="1" si="16"/>
        <v>92.43803035165692</v>
      </c>
      <c r="AD14" s="4">
        <f t="shared" ca="1" si="16"/>
        <v>93.667536969304919</v>
      </c>
      <c r="AE14" s="4">
        <f t="shared" ca="1" si="16"/>
        <v>94.831643443018564</v>
      </c>
      <c r="AF14" s="4">
        <f t="shared" ca="1" si="16"/>
        <v>97.053785780783116</v>
      </c>
      <c r="AG14" s="4">
        <f t="shared" ca="1" si="16"/>
        <v>99.460256451044302</v>
      </c>
      <c r="AH14" s="4">
        <f t="shared" ca="1" si="16"/>
        <v>101.74974525649372</v>
      </c>
      <c r="AI14" s="4">
        <f t="shared" ca="1" si="16"/>
        <v>104.02550218515169</v>
      </c>
      <c r="AJ14" s="4">
        <f t="shared" ca="1" si="16"/>
        <v>106.32798429875633</v>
      </c>
      <c r="AK14" s="4">
        <f t="shared" ca="1" si="16"/>
        <v>108.67245833479303</v>
      </c>
      <c r="AL14" s="4">
        <f t="shared" ca="1" si="16"/>
        <v>111.06565291357711</v>
      </c>
      <c r="AM14" s="4">
        <f t="shared" ca="1" si="16"/>
        <v>113.50936225548334</v>
      </c>
      <c r="AN14" s="4">
        <f t="shared" ca="1" si="16"/>
        <v>116.00335688819777</v>
      </c>
      <c r="AO14" s="4">
        <f t="shared" ca="1" si="16"/>
        <v>118.54652412472581</v>
      </c>
      <c r="AP14" s="4">
        <f t="shared" ca="1" si="16"/>
        <v>121.13904463573198</v>
      </c>
      <c r="AQ14" s="4">
        <f t="shared" ca="1" si="16"/>
        <v>123.78000435836944</v>
      </c>
      <c r="AR14" s="4">
        <f t="shared" ca="1" si="16"/>
        <v>126.4679952116109</v>
      </c>
      <c r="AS14" s="4">
        <f t="shared" ca="1" si="16"/>
        <v>129.20133546645306</v>
      </c>
      <c r="AT14" s="4">
        <f t="shared" ca="1" si="16"/>
        <v>131.98002557149283</v>
      </c>
      <c r="AU14" s="4">
        <f t="shared" ca="1" si="16"/>
        <v>134.80299898558408</v>
      </c>
      <c r="AV14" s="4">
        <f t="shared" ca="1" si="16"/>
        <v>137.66870562504593</v>
      </c>
      <c r="AW14" s="4">
        <f t="shared" ca="1" si="16"/>
        <v>140.57532519362761</v>
      </c>
      <c r="AX14" s="4">
        <f t="shared" ca="1" si="16"/>
        <v>143.5228769661758</v>
      </c>
      <c r="AY14" s="4">
        <f t="shared" ca="1" si="16"/>
        <v>146.51023500982976</v>
      </c>
      <c r="AZ14" s="24"/>
      <c r="BA14" s="28">
        <v>92.8</v>
      </c>
      <c r="BB14" s="28">
        <v>104.051</v>
      </c>
      <c r="BC14" s="39">
        <f>+SUM(D14:G14)</f>
        <v>120.758</v>
      </c>
      <c r="BD14" s="4">
        <f>+SUM(H14:K14)</f>
        <v>145.30599999999998</v>
      </c>
      <c r="BE14" s="4">
        <f>+SUM(L14:O14)</f>
        <v>175.649</v>
      </c>
      <c r="BF14" s="4">
        <f>+SUM(P14:S14)</f>
        <v>230.51</v>
      </c>
      <c r="BG14" s="4">
        <f>+SUM(T14:W14)</f>
        <v>295.72300000000001</v>
      </c>
      <c r="BH14" s="4">
        <f>+SUM(X14:AA14)</f>
        <v>335.81900000000007</v>
      </c>
      <c r="BI14" s="4">
        <f ca="1">+SUM(AB14:AE14)</f>
        <v>371.97775786715079</v>
      </c>
      <c r="BJ14" s="4">
        <f ca="1">+SUM(AF14:AI14)</f>
        <v>402.28928967347287</v>
      </c>
      <c r="BK14" s="4">
        <f ca="1">+SUM(AJ14:AM14)</f>
        <v>439.57545780260978</v>
      </c>
      <c r="BL14" s="4">
        <f ca="1">+SUM(AN14:AQ14)</f>
        <v>479.46893000702494</v>
      </c>
      <c r="BM14" s="4">
        <f ca="1">+SUM(AR14:AU14)</f>
        <v>522.45235523514089</v>
      </c>
      <c r="BN14" s="4">
        <f ca="1">+SUM(AV14:AY14)</f>
        <v>568.27714279467909</v>
      </c>
    </row>
    <row r="15" spans="1:69">
      <c r="B15" t="s">
        <v>5</v>
      </c>
      <c r="C15" s="4"/>
      <c r="D15" s="28">
        <f>4.489-E15</f>
        <v>2.206</v>
      </c>
      <c r="E15" s="28">
        <v>2.2829999999999999</v>
      </c>
      <c r="F15" s="28">
        <v>2.2959999999999998</v>
      </c>
      <c r="G15" s="28">
        <f>9.294-D15-E15-F15</f>
        <v>2.5090000000000017</v>
      </c>
      <c r="H15" s="7">
        <f>6.322-I15</f>
        <v>2.8660000000000001</v>
      </c>
      <c r="I15" s="28">
        <v>3.456</v>
      </c>
      <c r="J15" s="28">
        <v>3.6030000000000002</v>
      </c>
      <c r="K15" s="28">
        <v>3.173</v>
      </c>
      <c r="L15" s="28">
        <v>3.6909999999999998</v>
      </c>
      <c r="M15" s="28">
        <v>3.8519999999999999</v>
      </c>
      <c r="N15" s="28">
        <v>6.1310000000000002</v>
      </c>
      <c r="O15" s="28">
        <v>5.52</v>
      </c>
      <c r="P15" s="28">
        <v>5.6639999999999997</v>
      </c>
      <c r="Q15" s="28">
        <v>5.5819999999999999</v>
      </c>
      <c r="R15" s="28">
        <v>6.1580000000000004</v>
      </c>
      <c r="S15" s="28">
        <v>5.1769999999999996</v>
      </c>
      <c r="T15" s="28">
        <v>5.4349999999999996</v>
      </c>
      <c r="U15" s="28">
        <v>6.1680000000000001</v>
      </c>
      <c r="V15" s="28">
        <v>8.7029999999999994</v>
      </c>
      <c r="W15" s="28">
        <v>8.9649999999999999</v>
      </c>
      <c r="X15" s="28">
        <v>8.3610000000000007</v>
      </c>
      <c r="Y15" s="28">
        <v>8.7739999999999991</v>
      </c>
      <c r="Z15" s="28">
        <v>9.6980000000000004</v>
      </c>
      <c r="AA15" s="28">
        <v>11.053000000000001</v>
      </c>
      <c r="AB15" s="4">
        <f t="shared" ref="AB15:AM15" ca="1" si="17">+AB64*AB100</f>
        <v>7.6231801370173073</v>
      </c>
      <c r="AC15" s="4">
        <f t="shared" ca="1" si="17"/>
        <v>7.8652446806786367</v>
      </c>
      <c r="AD15" s="4">
        <f t="shared" ca="1" si="17"/>
        <v>8.4891395754117092</v>
      </c>
      <c r="AE15" s="4">
        <f t="shared" ca="1" si="17"/>
        <v>8.5400945133014687</v>
      </c>
      <c r="AF15" s="4">
        <f t="shared" ca="1" si="17"/>
        <v>7.533227840991942</v>
      </c>
      <c r="AG15" s="4">
        <f t="shared" ca="1" si="17"/>
        <v>8.1949102913928211</v>
      </c>
      <c r="AH15" s="4">
        <f t="shared" ca="1" si="17"/>
        <v>8.8658435235112343</v>
      </c>
      <c r="AI15" s="4">
        <f t="shared" ca="1" si="17"/>
        <v>8.931343855361531</v>
      </c>
      <c r="AJ15" s="4">
        <f t="shared" ca="1" si="17"/>
        <v>8.0522848236638183</v>
      </c>
      <c r="AK15" s="4">
        <f t="shared" ca="1" si="17"/>
        <v>8.7167295520276102</v>
      </c>
      <c r="AL15" s="4">
        <f t="shared" ca="1" si="17"/>
        <v>9.4119293641707671</v>
      </c>
      <c r="AM15" s="4">
        <f t="shared" ca="1" si="17"/>
        <v>9.4730454492293106</v>
      </c>
      <c r="AN15" s="4">
        <f t="shared" ref="AN15:AY15" ca="1" si="18">+AN64*AN100</f>
        <v>8.531624364817425</v>
      </c>
      <c r="AO15" s="4">
        <f t="shared" ca="1" si="18"/>
        <v>9.2389862006054013</v>
      </c>
      <c r="AP15" s="4">
        <f t="shared" ca="1" si="18"/>
        <v>9.9845084445392338</v>
      </c>
      <c r="AQ15" s="4">
        <f t="shared" ca="1" si="18"/>
        <v>10.045514645930389</v>
      </c>
      <c r="AR15" s="4">
        <f t="shared" ca="1" si="18"/>
        <v>9.0181267999953327</v>
      </c>
      <c r="AS15" s="4">
        <f t="shared" ca="1" si="18"/>
        <v>9.7757994925881988</v>
      </c>
      <c r="AT15" s="4">
        <f t="shared" ca="1" si="18"/>
        <v>10.575479866669161</v>
      </c>
      <c r="AU15" s="4">
        <f t="shared" ca="1" si="18"/>
        <v>10.632356260997399</v>
      </c>
      <c r="AV15" s="4">
        <f t="shared" ca="1" si="18"/>
        <v>9.5083275091224557</v>
      </c>
      <c r="AW15" s="4">
        <f t="shared" ca="1" si="18"/>
        <v>10.318483642180965</v>
      </c>
      <c r="AX15" s="4">
        <f t="shared" ca="1" si="18"/>
        <v>11.173226980916603</v>
      </c>
      <c r="AY15" s="4">
        <f t="shared" ca="1" si="18"/>
        <v>11.222639506880961</v>
      </c>
      <c r="AZ15" s="24"/>
      <c r="BA15" s="28">
        <v>12.506</v>
      </c>
      <c r="BB15" s="28">
        <v>12.154</v>
      </c>
      <c r="BC15" s="39">
        <f>+SUM(D15:G15)</f>
        <v>9.2940000000000023</v>
      </c>
      <c r="BD15" s="4">
        <f>+SUM(H15:K15)</f>
        <v>13.098000000000001</v>
      </c>
      <c r="BE15" s="4">
        <f>+SUM(L15:O15)</f>
        <v>19.193999999999999</v>
      </c>
      <c r="BF15" s="4">
        <f>+SUM(P15:S15)</f>
        <v>22.581</v>
      </c>
      <c r="BG15" s="4">
        <f>+SUM(T15:W15)</f>
        <v>29.270999999999997</v>
      </c>
      <c r="BH15" s="4">
        <f>+SUM(X15:AA15)</f>
        <v>37.885999999999996</v>
      </c>
      <c r="BI15" s="4">
        <f ca="1">+SUM(AB15:AE15)</f>
        <v>32.517658906409125</v>
      </c>
      <c r="BJ15" s="4">
        <f ca="1">+SUM(AF15:AI15)</f>
        <v>33.525325511257527</v>
      </c>
      <c r="BK15" s="4">
        <f ca="1">+SUM(AJ15:AM15)</f>
        <v>35.653989189091504</v>
      </c>
      <c r="BL15" s="4">
        <f ca="1">+SUM(AN15:AQ15)</f>
        <v>37.800633655892454</v>
      </c>
      <c r="BM15" s="4">
        <f ca="1">+SUM(AR15:AU15)</f>
        <v>40.001762420250088</v>
      </c>
      <c r="BN15" s="4">
        <f ca="1">+SUM(AV15:AY15)</f>
        <v>42.222677639100986</v>
      </c>
    </row>
    <row r="16" spans="1:69">
      <c r="B16" t="s">
        <v>6</v>
      </c>
      <c r="C16" s="4"/>
      <c r="D16" s="28">
        <f>6.883-E16</f>
        <v>3.4239999999999999</v>
      </c>
      <c r="E16" s="28">
        <v>3.4590000000000001</v>
      </c>
      <c r="F16" s="28">
        <v>3.8420000000000001</v>
      </c>
      <c r="G16" s="28">
        <f>14.497-D16-E16-F16</f>
        <v>3.7720000000000007</v>
      </c>
      <c r="H16" s="7">
        <f>8.435-I16</f>
        <v>4.1100000000000003</v>
      </c>
      <c r="I16" s="28">
        <v>4.3250000000000002</v>
      </c>
      <c r="J16" s="28">
        <v>4.3929999999999998</v>
      </c>
      <c r="K16" s="28">
        <v>4.7030000000000003</v>
      </c>
      <c r="L16" s="28">
        <v>4.2309999999999999</v>
      </c>
      <c r="M16" s="28">
        <v>4.97</v>
      </c>
      <c r="N16" s="28">
        <v>5.242</v>
      </c>
      <c r="O16" s="28">
        <v>5.7880000000000003</v>
      </c>
      <c r="P16" s="28">
        <v>5.7949999999999999</v>
      </c>
      <c r="Q16" s="28">
        <v>8.2200000000000006</v>
      </c>
      <c r="R16" s="28">
        <v>18.573</v>
      </c>
      <c r="S16" s="28">
        <v>19.405999999999999</v>
      </c>
      <c r="T16" s="28">
        <v>18.89</v>
      </c>
      <c r="U16" s="28">
        <v>17.015000000000001</v>
      </c>
      <c r="V16" s="28">
        <v>16.242999999999999</v>
      </c>
      <c r="W16" s="28">
        <v>16.34</v>
      </c>
      <c r="X16" s="28">
        <v>16.965</v>
      </c>
      <c r="Y16" s="28">
        <v>16.856000000000002</v>
      </c>
      <c r="Z16" s="28">
        <v>16.224</v>
      </c>
      <c r="AA16" s="28">
        <v>15.420999999999999</v>
      </c>
      <c r="AB16" s="4">
        <f t="shared" ref="AB16:AY16" ca="1" si="19">+AB$21*AB$26</f>
        <v>14.820554179585876</v>
      </c>
      <c r="AC16" s="4">
        <f t="shared" ca="1" si="19"/>
        <v>14.736497592293139</v>
      </c>
      <c r="AD16" s="4">
        <f t="shared" ca="1" si="19"/>
        <v>14.618632937405986</v>
      </c>
      <c r="AE16" s="4">
        <f t="shared" ca="1" si="19"/>
        <v>14.484372053256461</v>
      </c>
      <c r="AF16" s="4">
        <f t="shared" ca="1" si="19"/>
        <v>0</v>
      </c>
      <c r="AG16" s="4">
        <f t="shared" ca="1" si="19"/>
        <v>0</v>
      </c>
      <c r="AH16" s="4">
        <f t="shared" ca="1" si="19"/>
        <v>0</v>
      </c>
      <c r="AI16" s="4">
        <f t="shared" ca="1" si="19"/>
        <v>0</v>
      </c>
      <c r="AJ16" s="4">
        <f t="shared" ca="1" si="19"/>
        <v>0</v>
      </c>
      <c r="AK16" s="4">
        <f t="shared" ca="1" si="19"/>
        <v>0</v>
      </c>
      <c r="AL16" s="4">
        <f t="shared" ca="1" si="19"/>
        <v>0</v>
      </c>
      <c r="AM16" s="4">
        <f t="shared" ca="1" si="19"/>
        <v>0</v>
      </c>
      <c r="AN16" s="4">
        <f t="shared" ca="1" si="19"/>
        <v>0</v>
      </c>
      <c r="AO16" s="4">
        <f t="shared" ca="1" si="19"/>
        <v>0</v>
      </c>
      <c r="AP16" s="4">
        <f t="shared" ca="1" si="19"/>
        <v>0</v>
      </c>
      <c r="AQ16" s="4">
        <f t="shared" ca="1" si="19"/>
        <v>0</v>
      </c>
      <c r="AR16" s="4">
        <f t="shared" ca="1" si="19"/>
        <v>0</v>
      </c>
      <c r="AS16" s="4">
        <f t="shared" ca="1" si="19"/>
        <v>0</v>
      </c>
      <c r="AT16" s="4">
        <f t="shared" ca="1" si="19"/>
        <v>0</v>
      </c>
      <c r="AU16" s="4">
        <f t="shared" ca="1" si="19"/>
        <v>0</v>
      </c>
      <c r="AV16" s="4">
        <f t="shared" ca="1" si="19"/>
        <v>0</v>
      </c>
      <c r="AW16" s="4">
        <f t="shared" ca="1" si="19"/>
        <v>0</v>
      </c>
      <c r="AX16" s="4">
        <f t="shared" ca="1" si="19"/>
        <v>0</v>
      </c>
      <c r="AY16" s="4">
        <f t="shared" ca="1" si="19"/>
        <v>0</v>
      </c>
      <c r="AZ16" s="24"/>
      <c r="BA16" s="28">
        <v>9.0540000000000003</v>
      </c>
      <c r="BB16" s="28">
        <v>12.173</v>
      </c>
      <c r="BC16" s="39">
        <f>+SUM(D16:G16)</f>
        <v>14.497</v>
      </c>
      <c r="BD16" s="4">
        <f>+SUM(H16:K16)</f>
        <v>17.530999999999999</v>
      </c>
      <c r="BE16" s="4">
        <f>+SUM(L16:O16)</f>
        <v>20.231000000000002</v>
      </c>
      <c r="BF16" s="4">
        <f>+SUM(P16:S16)</f>
        <v>51.994</v>
      </c>
      <c r="BG16" s="4">
        <f>+SUM(T16:W16)</f>
        <v>68.488</v>
      </c>
      <c r="BH16" s="4">
        <f>+SUM(X16:AA16)</f>
        <v>65.466000000000008</v>
      </c>
      <c r="BI16" s="4">
        <f ca="1">+SUM(AB16:AE16)</f>
        <v>58.660056762541458</v>
      </c>
      <c r="BJ16" s="4">
        <f ca="1">+SUM(AF16:AI16)</f>
        <v>0</v>
      </c>
      <c r="BK16" s="4">
        <f ca="1">+SUM(AJ16:AM16)</f>
        <v>0</v>
      </c>
      <c r="BL16" s="4">
        <f ca="1">+SUM(AN16:AQ16)</f>
        <v>0</v>
      </c>
      <c r="BM16" s="4">
        <f ca="1">+SUM(AR16:AU16)</f>
        <v>0</v>
      </c>
      <c r="BN16" s="4">
        <f ca="1">+SUM(AV16:AY16)</f>
        <v>0</v>
      </c>
    </row>
    <row r="17" spans="1:75">
      <c r="B17" t="s">
        <v>7</v>
      </c>
      <c r="C17" s="4"/>
      <c r="D17" s="28">
        <f>0.444-E17</f>
        <v>0.222</v>
      </c>
      <c r="E17" s="28">
        <v>0.222</v>
      </c>
      <c r="F17" s="28">
        <v>7.9000000000000001E-2</v>
      </c>
      <c r="G17" s="28">
        <f>1.21-D17-E17-F17</f>
        <v>0.68700000000000006</v>
      </c>
      <c r="H17" s="7">
        <f>1.092-I17</f>
        <v>0.71600000000000008</v>
      </c>
      <c r="I17" s="28">
        <v>0.376</v>
      </c>
      <c r="J17" s="28">
        <v>0.42899999999999999</v>
      </c>
      <c r="K17" s="28">
        <v>0.43099999999999999</v>
      </c>
      <c r="L17" s="28">
        <v>0.442</v>
      </c>
      <c r="M17" s="28">
        <v>0.55000000000000004</v>
      </c>
      <c r="N17" s="28">
        <v>1.1240000000000001</v>
      </c>
      <c r="O17" s="28">
        <v>0.59899999999999998</v>
      </c>
      <c r="P17" s="28">
        <v>0.59399999999999997</v>
      </c>
      <c r="Q17" s="28">
        <v>2.1219999999999999</v>
      </c>
      <c r="R17" s="28">
        <v>1.415</v>
      </c>
      <c r="S17" s="28">
        <v>1.867</v>
      </c>
      <c r="T17" s="28">
        <v>2.0169999999999999</v>
      </c>
      <c r="U17" s="28">
        <v>3.8340000000000001</v>
      </c>
      <c r="V17" s="28">
        <v>1.514</v>
      </c>
      <c r="W17" s="28">
        <v>1.516</v>
      </c>
      <c r="X17" s="28">
        <v>1.5209999999999999</v>
      </c>
      <c r="Y17" s="28">
        <v>1.4450000000000001</v>
      </c>
      <c r="Z17" s="28">
        <v>2.0139999999999998</v>
      </c>
      <c r="AA17" s="28">
        <v>2.359</v>
      </c>
      <c r="AB17" s="4">
        <f t="shared" ref="AB17:AM17" ca="1" si="20">+AB21*AB65</f>
        <v>2.3670967300734795</v>
      </c>
      <c r="AC17" s="4">
        <f t="shared" ca="1" si="20"/>
        <v>2.3964654775853629</v>
      </c>
      <c r="AD17" s="4">
        <f t="shared" ca="1" si="20"/>
        <v>2.4213222382196138</v>
      </c>
      <c r="AE17" s="4">
        <f t="shared" ca="1" si="20"/>
        <v>2.444349999106274</v>
      </c>
      <c r="AF17" s="4">
        <f t="shared" ca="1" si="20"/>
        <v>2.1701616191325739</v>
      </c>
      <c r="AG17" s="4">
        <f t="shared" ca="1" si="20"/>
        <v>2.2239712695666642</v>
      </c>
      <c r="AH17" s="4">
        <f t="shared" ca="1" si="20"/>
        <v>2.2751651585329595</v>
      </c>
      <c r="AI17" s="4">
        <f t="shared" ca="1" si="20"/>
        <v>2.3260519972205698</v>
      </c>
      <c r="AJ17" s="4">
        <f t="shared" ca="1" si="20"/>
        <v>2.3775364217742938</v>
      </c>
      <c r="AK17" s="4">
        <f t="shared" ca="1" si="20"/>
        <v>2.4299598025742122</v>
      </c>
      <c r="AL17" s="4">
        <f t="shared" ca="1" si="20"/>
        <v>2.4834725942722531</v>
      </c>
      <c r="AM17" s="4">
        <f t="shared" ca="1" si="20"/>
        <v>2.5381149163564132</v>
      </c>
      <c r="AN17" s="4">
        <f t="shared" ref="AN17:AY17" ca="1" si="21">+AN21*AN65</f>
        <v>2.593881637733614</v>
      </c>
      <c r="AO17" s="4">
        <f t="shared" ca="1" si="21"/>
        <v>2.6507478782758906</v>
      </c>
      <c r="AP17" s="4">
        <f t="shared" ca="1" si="21"/>
        <v>2.7087176778518445</v>
      </c>
      <c r="AQ17" s="4">
        <f t="shared" ca="1" si="21"/>
        <v>2.7677705976492053</v>
      </c>
      <c r="AR17" s="4">
        <f t="shared" ca="1" si="21"/>
        <v>2.8278751524108299</v>
      </c>
      <c r="AS17" s="4">
        <f t="shared" ca="1" si="21"/>
        <v>2.8889937380009556</v>
      </c>
      <c r="AT17" s="4">
        <f t="shared" ca="1" si="21"/>
        <v>2.9511263644503893</v>
      </c>
      <c r="AU17" s="4">
        <f t="shared" ca="1" si="21"/>
        <v>3.014249183470866</v>
      </c>
      <c r="AV17" s="4">
        <f t="shared" ca="1" si="21"/>
        <v>3.0783275345688903</v>
      </c>
      <c r="AW17" s="4">
        <f t="shared" ca="1" si="21"/>
        <v>3.14332071518941</v>
      </c>
      <c r="AX17" s="4">
        <f t="shared" ca="1" si="21"/>
        <v>3.2092291563257351</v>
      </c>
      <c r="AY17" s="4">
        <f t="shared" ca="1" si="21"/>
        <v>3.2760276816670149</v>
      </c>
      <c r="AZ17" s="24"/>
      <c r="BA17" s="28">
        <v>5.7949999999999999</v>
      </c>
      <c r="BB17" s="28">
        <v>2.0179999999999998</v>
      </c>
      <c r="BC17" s="39">
        <f>+SUM(D17:G17)</f>
        <v>1.21</v>
      </c>
      <c r="BD17" s="4">
        <f>+SUM(H17:K17)</f>
        <v>1.9520000000000002</v>
      </c>
      <c r="BE17" s="4">
        <f>+SUM(L17:O17)</f>
        <v>2.7149999999999999</v>
      </c>
      <c r="BF17" s="4">
        <f>+SUM(P17:S17)</f>
        <v>5.9980000000000002</v>
      </c>
      <c r="BG17" s="4">
        <f>+SUM(T17:W17)</f>
        <v>8.8810000000000002</v>
      </c>
      <c r="BH17" s="4">
        <f>+SUM(X17:AA17)</f>
        <v>7.3390000000000004</v>
      </c>
      <c r="BI17" s="4">
        <f ca="1">+SUM(AB17:AE17)</f>
        <v>9.6292344449847302</v>
      </c>
      <c r="BJ17" s="4">
        <f ca="1">+SUM(AF17:AI17)</f>
        <v>8.995350044452767</v>
      </c>
      <c r="BK17" s="4">
        <f ca="1">+SUM(AJ17:AM17)</f>
        <v>9.8290837349771731</v>
      </c>
      <c r="BL17" s="4">
        <f ca="1">+SUM(AN17:AQ17)</f>
        <v>10.721117791510554</v>
      </c>
      <c r="BM17" s="4">
        <f ca="1">+SUM(AR17:AU17)</f>
        <v>11.68224443833304</v>
      </c>
      <c r="BN17" s="4">
        <f ca="1">+SUM(AV17:AY17)</f>
        <v>12.706905087751052</v>
      </c>
    </row>
    <row r="18" spans="1:75">
      <c r="B18" t="s">
        <v>8</v>
      </c>
      <c r="C18" s="4"/>
      <c r="D18" s="4">
        <f t="shared" ref="D18:L18" si="22">SUM(D14:D17)</f>
        <v>34.643000000000001</v>
      </c>
      <c r="E18" s="4">
        <f t="shared" si="22"/>
        <v>36.689000000000007</v>
      </c>
      <c r="F18" s="4">
        <f t="shared" si="22"/>
        <v>36.253999999999998</v>
      </c>
      <c r="G18" s="4">
        <f t="shared" si="22"/>
        <v>38.172999999999995</v>
      </c>
      <c r="H18" s="4">
        <f t="shared" si="22"/>
        <v>41.497999999999998</v>
      </c>
      <c r="I18" s="4">
        <f t="shared" si="22"/>
        <v>42.940000000000005</v>
      </c>
      <c r="J18" s="4">
        <f t="shared" si="22"/>
        <v>46.02</v>
      </c>
      <c r="K18" s="4">
        <f t="shared" si="22"/>
        <v>47.429000000000002</v>
      </c>
      <c r="L18" s="4">
        <f t="shared" si="22"/>
        <v>48.943000000000005</v>
      </c>
      <c r="M18" s="4">
        <f>SUM(M14:M17)</f>
        <v>51.337999999999994</v>
      </c>
      <c r="N18" s="4">
        <f>SUM(N14:N17)</f>
        <v>57.945</v>
      </c>
      <c r="O18" s="4">
        <f>SUM(O14:O17)</f>
        <v>59.562999999999995</v>
      </c>
      <c r="P18" s="4">
        <f t="shared" ref="P18:U18" si="23">SUM(P14:P17)</f>
        <v>61.386000000000003</v>
      </c>
      <c r="Q18" s="4">
        <f t="shared" si="23"/>
        <v>68.117000000000004</v>
      </c>
      <c r="R18" s="4">
        <f t="shared" si="23"/>
        <v>88.89</v>
      </c>
      <c r="S18" s="4">
        <f t="shared" si="23"/>
        <v>92.690000000000012</v>
      </c>
      <c r="T18" s="4">
        <f t="shared" si="23"/>
        <v>94.768000000000001</v>
      </c>
      <c r="U18" s="4">
        <f t="shared" si="23"/>
        <v>98.687000000000012</v>
      </c>
      <c r="V18" s="4">
        <f t="shared" ref="V18:AA18" si="24">SUM(V14:V17)</f>
        <v>103.46499999999999</v>
      </c>
      <c r="W18" s="4">
        <f t="shared" si="24"/>
        <v>105.44300000000001</v>
      </c>
      <c r="X18" s="4">
        <f t="shared" si="24"/>
        <v>105.96400000000001</v>
      </c>
      <c r="Y18" s="4">
        <f t="shared" si="24"/>
        <v>107.86799999999999</v>
      </c>
      <c r="Z18" s="4">
        <f t="shared" si="24"/>
        <v>113.767</v>
      </c>
      <c r="AA18" s="4">
        <f t="shared" si="24"/>
        <v>118.91099999999999</v>
      </c>
      <c r="AB18" s="4">
        <f t="shared" ref="AB18:AM18" ca="1" si="25">SUM(AB14:AB17)</f>
        <v>115.85137814984705</v>
      </c>
      <c r="AC18" s="4">
        <f t="shared" ca="1" si="25"/>
        <v>117.43623810221406</v>
      </c>
      <c r="AD18" s="4">
        <f t="shared" ca="1" si="25"/>
        <v>119.19663172034224</v>
      </c>
      <c r="AE18" s="4">
        <f t="shared" ca="1" si="25"/>
        <v>120.30046000868278</v>
      </c>
      <c r="AF18" s="4">
        <f t="shared" ca="1" si="25"/>
        <v>106.75717524090763</v>
      </c>
      <c r="AG18" s="4">
        <f t="shared" ca="1" si="25"/>
        <v>109.87913801200378</v>
      </c>
      <c r="AH18" s="4">
        <f t="shared" ca="1" si="25"/>
        <v>112.89075393853791</v>
      </c>
      <c r="AI18" s="4">
        <f t="shared" ca="1" si="25"/>
        <v>115.2828980377338</v>
      </c>
      <c r="AJ18" s="4">
        <f t="shared" ca="1" si="25"/>
        <v>116.75780554419444</v>
      </c>
      <c r="AK18" s="4">
        <f t="shared" ca="1" si="25"/>
        <v>119.81914768939487</v>
      </c>
      <c r="AL18" s="4">
        <f t="shared" ca="1" si="25"/>
        <v>122.96105487202013</v>
      </c>
      <c r="AM18" s="4">
        <f t="shared" ca="1" si="25"/>
        <v>125.52052262106906</v>
      </c>
      <c r="AN18" s="4">
        <f t="shared" ref="AN18:AY18" ca="1" si="26">SUM(AN14:AN17)</f>
        <v>127.12886289074881</v>
      </c>
      <c r="AO18" s="4">
        <f t="shared" ca="1" si="26"/>
        <v>130.43625820360708</v>
      </c>
      <c r="AP18" s="4">
        <f t="shared" ca="1" si="26"/>
        <v>133.83227075812306</v>
      </c>
      <c r="AQ18" s="4">
        <f t="shared" ca="1" si="26"/>
        <v>136.59328960194904</v>
      </c>
      <c r="AR18" s="4">
        <f t="shared" ca="1" si="26"/>
        <v>138.31399716401705</v>
      </c>
      <c r="AS18" s="4">
        <f t="shared" ca="1" si="26"/>
        <v>141.8661286970422</v>
      </c>
      <c r="AT18" s="4">
        <f t="shared" ca="1" si="26"/>
        <v>145.50663180261239</v>
      </c>
      <c r="AU18" s="4">
        <f t="shared" ca="1" si="26"/>
        <v>148.44960443005235</v>
      </c>
      <c r="AV18" s="4">
        <f t="shared" ca="1" si="26"/>
        <v>150.2553606687373</v>
      </c>
      <c r="AW18" s="4">
        <f t="shared" ca="1" si="26"/>
        <v>154.03712955099797</v>
      </c>
      <c r="AX18" s="4">
        <f t="shared" ca="1" si="26"/>
        <v>157.90533310341814</v>
      </c>
      <c r="AY18" s="4">
        <f t="shared" ca="1" si="26"/>
        <v>161.00890219837774</v>
      </c>
      <c r="AZ18" s="24"/>
      <c r="BA18" s="4">
        <f t="shared" ref="BA18:BG18" si="27">SUM(BA14:BA17)</f>
        <v>120.155</v>
      </c>
      <c r="BB18" s="4">
        <f t="shared" si="27"/>
        <v>130.39599999999999</v>
      </c>
      <c r="BC18" s="4">
        <f t="shared" si="27"/>
        <v>145.75899999999999</v>
      </c>
      <c r="BD18" s="4">
        <f t="shared" si="27"/>
        <v>177.887</v>
      </c>
      <c r="BE18" s="4">
        <f t="shared" si="27"/>
        <v>217.78899999999999</v>
      </c>
      <c r="BF18" s="4">
        <f t="shared" si="27"/>
        <v>311.08299999999997</v>
      </c>
      <c r="BG18" s="4">
        <f t="shared" si="27"/>
        <v>402.36300000000006</v>
      </c>
      <c r="BH18" s="4">
        <f>SUM(BH14:BH17)</f>
        <v>446.51000000000005</v>
      </c>
      <c r="BI18" s="4">
        <f ca="1">SUM(BI14:BI17)</f>
        <v>472.78470798108606</v>
      </c>
      <c r="BJ18" s="4">
        <f ca="1">SUM(BJ14:BJ17)</f>
        <v>444.80996522918315</v>
      </c>
      <c r="BK18" s="4">
        <f ca="1">SUM(BK14:BK17)</f>
        <v>485.05853072667844</v>
      </c>
      <c r="BL18" s="4">
        <f t="shared" ref="BL18:BN18" ca="1" si="28">SUM(BL14:BL17)</f>
        <v>527.99068145442789</v>
      </c>
      <c r="BM18" s="4">
        <f t="shared" ca="1" si="28"/>
        <v>574.13636209372396</v>
      </c>
      <c r="BN18" s="4">
        <f t="shared" ca="1" si="28"/>
        <v>623.2067255215311</v>
      </c>
    </row>
    <row r="19" spans="1:75" s="58" customFormat="1">
      <c r="B19" s="309" t="s">
        <v>104</v>
      </c>
      <c r="C19" s="10"/>
      <c r="D19" s="310"/>
      <c r="E19" s="310">
        <f>+E18/D18-1</f>
        <v>5.9059550269896066E-2</v>
      </c>
      <c r="F19" s="310">
        <f>+F18/E18-1</f>
        <v>-1.1856414729210618E-2</v>
      </c>
      <c r="G19" s="310">
        <f>+G18/F18-1</f>
        <v>5.2932090252109987E-2</v>
      </c>
      <c r="H19" s="310">
        <f>+H18/G18-1</f>
        <v>8.7103450082519185E-2</v>
      </c>
      <c r="I19" s="310">
        <f t="shared" ref="I19:AA19" si="29">+I18/H18-1</f>
        <v>3.4748662586148837E-2</v>
      </c>
      <c r="J19" s="310">
        <f t="shared" si="29"/>
        <v>7.1727992547740982E-2</v>
      </c>
      <c r="K19" s="310">
        <f t="shared" si="29"/>
        <v>3.0617122990004297E-2</v>
      </c>
      <c r="L19" s="310">
        <f t="shared" si="29"/>
        <v>3.1921398300617909E-2</v>
      </c>
      <c r="M19" s="310">
        <f t="shared" si="29"/>
        <v>4.8934474797212912E-2</v>
      </c>
      <c r="N19" s="310">
        <f t="shared" si="29"/>
        <v>0.12869609256301384</v>
      </c>
      <c r="O19" s="310">
        <f t="shared" si="29"/>
        <v>2.792303045991873E-2</v>
      </c>
      <c r="P19" s="310">
        <f t="shared" si="29"/>
        <v>3.0606248845760131E-2</v>
      </c>
      <c r="Q19" s="310">
        <f t="shared" si="29"/>
        <v>0.10965040888802013</v>
      </c>
      <c r="R19" s="310">
        <f t="shared" si="29"/>
        <v>0.30496058252712244</v>
      </c>
      <c r="S19" s="310">
        <f t="shared" si="29"/>
        <v>4.2749465631679806E-2</v>
      </c>
      <c r="T19" s="310">
        <f t="shared" si="29"/>
        <v>2.2418815406192616E-2</v>
      </c>
      <c r="U19" s="310">
        <f t="shared" si="29"/>
        <v>4.1353621475603619E-2</v>
      </c>
      <c r="V19" s="310">
        <f t="shared" si="29"/>
        <v>4.8415698116266448E-2</v>
      </c>
      <c r="W19" s="310">
        <f t="shared" si="29"/>
        <v>1.9117575991881575E-2</v>
      </c>
      <c r="X19" s="310">
        <f t="shared" si="29"/>
        <v>4.9410582020616989E-3</v>
      </c>
      <c r="Y19" s="310">
        <f t="shared" si="29"/>
        <v>1.7968366615076725E-2</v>
      </c>
      <c r="Z19" s="310">
        <f t="shared" si="29"/>
        <v>5.4687210294063204E-2</v>
      </c>
      <c r="AA19" s="310">
        <f t="shared" si="29"/>
        <v>4.5215220582418336E-2</v>
      </c>
      <c r="AB19" s="310">
        <f t="shared" ref="AB19:AM19" ca="1" si="30">+AB18/AA18-1</f>
        <v>-2.5730351692887399E-2</v>
      </c>
      <c r="AC19" s="310">
        <f t="shared" ca="1" si="30"/>
        <v>1.3680113069669986E-2</v>
      </c>
      <c r="AD19" s="310">
        <f t="shared" ca="1" si="30"/>
        <v>1.4990207848755821E-2</v>
      </c>
      <c r="AE19" s="310">
        <f t="shared" ca="1" si="30"/>
        <v>9.2605661117197702E-3</v>
      </c>
      <c r="AF19" s="310">
        <f t="shared" ca="1" si="30"/>
        <v>-0.11257882776838635</v>
      </c>
      <c r="AG19" s="310">
        <f t="shared" ca="1" si="30"/>
        <v>2.9243587272247851E-2</v>
      </c>
      <c r="AH19" s="310">
        <f t="shared" ca="1" si="30"/>
        <v>2.7408441502381642E-2</v>
      </c>
      <c r="AI19" s="310">
        <f t="shared" ca="1" si="30"/>
        <v>2.1189902766512336E-2</v>
      </c>
      <c r="AJ19" s="310">
        <f t="shared" ca="1" si="30"/>
        <v>1.2793810110306891E-2</v>
      </c>
      <c r="AK19" s="310">
        <f t="shared" ca="1" si="30"/>
        <v>2.6219593036473032E-2</v>
      </c>
      <c r="AL19" s="310">
        <f t="shared" ca="1" si="30"/>
        <v>2.6222079218673588E-2</v>
      </c>
      <c r="AM19" s="310">
        <f t="shared" ca="1" si="30"/>
        <v>2.0815271564747606E-2</v>
      </c>
      <c r="AN19" s="310">
        <f t="shared" ref="AN19" ca="1" si="31">+AN18/AM18-1</f>
        <v>1.2813364986816733E-2</v>
      </c>
      <c r="AO19" s="310">
        <f t="shared" ref="AO19" ca="1" si="32">+AO18/AN18-1</f>
        <v>2.6016085078182094E-2</v>
      </c>
      <c r="AP19" s="310">
        <f t="shared" ref="AP19" ca="1" si="33">+AP18/AO18-1</f>
        <v>2.6035801711015827E-2</v>
      </c>
      <c r="AQ19" s="310">
        <f t="shared" ref="AQ19" ca="1" si="34">+AQ18/AP18-1</f>
        <v>2.0630441583226355E-2</v>
      </c>
      <c r="AR19" s="310">
        <f t="shared" ref="AR19" ca="1" si="35">+AR18/AQ18-1</f>
        <v>1.2597306698465038E-2</v>
      </c>
      <c r="AS19" s="310">
        <f t="shared" ref="AS19" ca="1" si="36">+AS18/AR18-1</f>
        <v>2.5681649043899135E-2</v>
      </c>
      <c r="AT19" s="310">
        <f t="shared" ref="AT19" ca="1" si="37">+AT18/AS18-1</f>
        <v>2.5661538374283532E-2</v>
      </c>
      <c r="AU19" s="310">
        <f t="shared" ref="AU19" ca="1" si="38">+AU18/AT18-1</f>
        <v>2.0225694121160487E-2</v>
      </c>
      <c r="AV19" s="310">
        <f t="shared" ref="AV19" ca="1" si="39">+AV18/AU18-1</f>
        <v>1.2164102731144766E-2</v>
      </c>
      <c r="AW19" s="310">
        <f t="shared" ref="AW19" ca="1" si="40">+AW18/AV18-1</f>
        <v>2.5168944824525807E-2</v>
      </c>
      <c r="AX19" s="310">
        <f t="shared" ref="AX19" ca="1" si="41">+AX18/AW18-1</f>
        <v>2.5112150321780158E-2</v>
      </c>
      <c r="AY19" s="310">
        <f t="shared" ref="AY19" ca="1" si="42">+AY18/AX18-1</f>
        <v>1.9654618586738559E-2</v>
      </c>
      <c r="AZ19" s="306"/>
      <c r="BA19" s="310"/>
      <c r="BB19" s="310"/>
      <c r="BC19" s="310">
        <f t="shared" ref="BC19:BK19" si="43">+BC18/BB18-1</f>
        <v>0.11781803122795176</v>
      </c>
      <c r="BD19" s="310">
        <f t="shared" si="43"/>
        <v>0.22041863624201596</v>
      </c>
      <c r="BE19" s="310">
        <f t="shared" si="43"/>
        <v>0.22431093896687226</v>
      </c>
      <c r="BF19" s="310">
        <f t="shared" si="43"/>
        <v>0.42836874222297716</v>
      </c>
      <c r="BG19" s="310">
        <f t="shared" si="43"/>
        <v>0.29342651318136981</v>
      </c>
      <c r="BH19" s="310">
        <f t="shared" si="43"/>
        <v>0.10971933304006587</v>
      </c>
      <c r="BI19" s="310">
        <f t="shared" ca="1" si="43"/>
        <v>5.8844612620290615E-2</v>
      </c>
      <c r="BJ19" s="310">
        <f t="shared" ca="1" si="43"/>
        <v>-5.9170151402236248E-2</v>
      </c>
      <c r="BK19" s="310">
        <f t="shared" ca="1" si="43"/>
        <v>9.0484855654611174E-2</v>
      </c>
      <c r="BL19" s="310">
        <f t="shared" ref="BL19" ca="1" si="44">+BL18/BK18-1</f>
        <v>8.8509216946317082E-2</v>
      </c>
      <c r="BM19" s="310">
        <f t="shared" ref="BM19" ca="1" si="45">+BM18/BL18-1</f>
        <v>8.7398664901018774E-2</v>
      </c>
      <c r="BN19" s="310">
        <f t="shared" ref="BN19" ca="1" si="46">+BN18/BM18-1</f>
        <v>8.5468133822530268E-2</v>
      </c>
      <c r="BO19" s="314"/>
      <c r="BQ19" s="312"/>
      <c r="BR19"/>
      <c r="BS19"/>
      <c r="BT19"/>
      <c r="BU19"/>
      <c r="BV19"/>
      <c r="BW19"/>
    </row>
    <row r="20" spans="1:75">
      <c r="C20" s="4"/>
      <c r="D20" s="4"/>
      <c r="E20" s="4"/>
      <c r="F20" s="4"/>
      <c r="G20" s="4"/>
      <c r="H20" s="4"/>
      <c r="I20" s="4"/>
      <c r="J20" s="4"/>
      <c r="K20" s="4"/>
      <c r="L20" s="4"/>
      <c r="M20" s="4"/>
      <c r="N20" s="4"/>
      <c r="O20" s="4"/>
      <c r="P20" s="4"/>
      <c r="Q20" s="4"/>
      <c r="R20" s="4"/>
      <c r="S20" s="4"/>
      <c r="T20" s="4"/>
      <c r="U20" s="4"/>
      <c r="V20" s="4"/>
      <c r="W20" s="4"/>
      <c r="X20" s="4"/>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24"/>
      <c r="BA20" s="4"/>
      <c r="BB20" s="4"/>
      <c r="BC20" s="4"/>
      <c r="BD20" s="19"/>
      <c r="BE20" s="4"/>
      <c r="BF20" s="4"/>
      <c r="BG20" s="4"/>
      <c r="BH20" s="4"/>
      <c r="BI20" s="4"/>
      <c r="BJ20" s="4"/>
      <c r="BK20" s="4"/>
      <c r="BL20" s="4"/>
      <c r="BM20" s="4"/>
      <c r="BN20" s="4"/>
    </row>
    <row r="21" spans="1:75">
      <c r="B21" t="s">
        <v>197</v>
      </c>
      <c r="C21" s="4"/>
      <c r="D21" s="10">
        <f t="shared" ref="D21:J21" si="47">+D14+D16</f>
        <v>32.214999999999996</v>
      </c>
      <c r="E21" s="10">
        <f t="shared" si="47"/>
        <v>34.184000000000005</v>
      </c>
      <c r="F21" s="10">
        <f t="shared" si="47"/>
        <v>33.878999999999998</v>
      </c>
      <c r="G21" s="10">
        <f t="shared" si="47"/>
        <v>34.976999999999997</v>
      </c>
      <c r="H21" s="10">
        <f t="shared" si="47"/>
        <v>37.915999999999997</v>
      </c>
      <c r="I21" s="10">
        <f t="shared" si="47"/>
        <v>39.108000000000004</v>
      </c>
      <c r="J21" s="10">
        <f t="shared" si="47"/>
        <v>41.988</v>
      </c>
      <c r="K21" s="10">
        <f t="shared" ref="K21:P21" si="48">+K14+K16</f>
        <v>43.825000000000003</v>
      </c>
      <c r="L21" s="10">
        <f t="shared" si="48"/>
        <v>44.81</v>
      </c>
      <c r="M21" s="10">
        <f t="shared" si="48"/>
        <v>46.936</v>
      </c>
      <c r="N21" s="10">
        <f t="shared" si="48"/>
        <v>50.69</v>
      </c>
      <c r="O21" s="10">
        <f t="shared" si="48"/>
        <v>53.444000000000003</v>
      </c>
      <c r="P21" s="10">
        <f t="shared" si="48"/>
        <v>55.128</v>
      </c>
      <c r="Q21" s="10">
        <f t="shared" ref="Q21:V21" si="49">+Q14+Q16</f>
        <v>60.412999999999997</v>
      </c>
      <c r="R21" s="10">
        <f t="shared" si="49"/>
        <v>81.317000000000007</v>
      </c>
      <c r="S21" s="10">
        <f t="shared" si="49"/>
        <v>85.645999999999987</v>
      </c>
      <c r="T21" s="10">
        <f t="shared" si="49"/>
        <v>87.316000000000003</v>
      </c>
      <c r="U21" s="10">
        <f t="shared" si="49"/>
        <v>88.685000000000002</v>
      </c>
      <c r="V21" s="10">
        <f t="shared" si="49"/>
        <v>93.24799999999999</v>
      </c>
      <c r="W21" s="10">
        <f>+W14+W16</f>
        <v>94.962000000000003</v>
      </c>
      <c r="X21" s="10">
        <f>+X14+X16</f>
        <v>96.082000000000008</v>
      </c>
      <c r="Y21" s="10">
        <f>+Y14+Y16</f>
        <v>97.649000000000001</v>
      </c>
      <c r="Z21" s="10">
        <f>+Z14+Z16</f>
        <v>102.05500000000001</v>
      </c>
      <c r="AA21" s="10">
        <f>+AA14+AA16</f>
        <v>105.499</v>
      </c>
      <c r="AB21" s="4">
        <f t="shared" ref="AB21:AM21" ca="1" si="50">+SUM(AB30:AB33)</f>
        <v>105.86110128275625</v>
      </c>
      <c r="AC21" s="4">
        <f t="shared" ca="1" si="50"/>
        <v>107.17452794395005</v>
      </c>
      <c r="AD21" s="4">
        <f t="shared" ca="1" si="50"/>
        <v>108.28616990671091</v>
      </c>
      <c r="AE21" s="4">
        <f t="shared" ca="1" si="50"/>
        <v>109.31601549627503</v>
      </c>
      <c r="AF21" s="4">
        <f t="shared" ca="1" si="50"/>
        <v>97.053785780783116</v>
      </c>
      <c r="AG21" s="4">
        <f t="shared" ca="1" si="50"/>
        <v>99.460256451044302</v>
      </c>
      <c r="AH21" s="4">
        <f t="shared" ca="1" si="50"/>
        <v>101.74974525649372</v>
      </c>
      <c r="AI21" s="4">
        <f t="shared" ca="1" si="50"/>
        <v>104.02550218515169</v>
      </c>
      <c r="AJ21" s="4">
        <f t="shared" ca="1" si="50"/>
        <v>106.32798429875633</v>
      </c>
      <c r="AK21" s="4">
        <f t="shared" ca="1" si="50"/>
        <v>108.67245833479303</v>
      </c>
      <c r="AL21" s="4">
        <f t="shared" ca="1" si="50"/>
        <v>111.06565291357711</v>
      </c>
      <c r="AM21" s="4">
        <f t="shared" ca="1" si="50"/>
        <v>113.50936225548334</v>
      </c>
      <c r="AN21" s="4">
        <f t="shared" ref="AN21:AY21" ca="1" si="51">+SUM(AN30:AN33)</f>
        <v>116.00335688819777</v>
      </c>
      <c r="AO21" s="4">
        <f t="shared" ca="1" si="51"/>
        <v>118.54652412472581</v>
      </c>
      <c r="AP21" s="4">
        <f t="shared" ca="1" si="51"/>
        <v>121.13904463573198</v>
      </c>
      <c r="AQ21" s="4">
        <f t="shared" ca="1" si="51"/>
        <v>123.78000435836944</v>
      </c>
      <c r="AR21" s="4">
        <f t="shared" ca="1" si="51"/>
        <v>126.4679952116109</v>
      </c>
      <c r="AS21" s="4">
        <f t="shared" ca="1" si="51"/>
        <v>129.20133546645306</v>
      </c>
      <c r="AT21" s="4">
        <f t="shared" ca="1" si="51"/>
        <v>131.98002557149283</v>
      </c>
      <c r="AU21" s="4">
        <f t="shared" ca="1" si="51"/>
        <v>134.80299898558408</v>
      </c>
      <c r="AV21" s="4">
        <f t="shared" ca="1" si="51"/>
        <v>137.66870562504593</v>
      </c>
      <c r="AW21" s="4">
        <f t="shared" ca="1" si="51"/>
        <v>140.57532519362761</v>
      </c>
      <c r="AX21" s="4">
        <f t="shared" ca="1" si="51"/>
        <v>143.5228769661758</v>
      </c>
      <c r="AY21" s="4">
        <f t="shared" ca="1" si="51"/>
        <v>146.51023500982976</v>
      </c>
      <c r="AZ21" s="24"/>
      <c r="BA21" s="4"/>
      <c r="BB21" s="4"/>
      <c r="BC21" s="4"/>
      <c r="BD21" s="4">
        <f>+SUM(H21:K21)</f>
        <v>162.83699999999999</v>
      </c>
      <c r="BE21" s="4">
        <f>+SUM(L21:O21)</f>
        <v>195.88</v>
      </c>
      <c r="BF21" s="4">
        <f>+SUM(P21:S21)</f>
        <v>282.50400000000002</v>
      </c>
      <c r="BG21" s="4">
        <f>+SUM(T21:W21)</f>
        <v>364.21100000000001</v>
      </c>
      <c r="BH21" s="4">
        <f>+SUM(X21:AA21)</f>
        <v>401.28499999999997</v>
      </c>
      <c r="BI21" s="4">
        <f ca="1">+SUM(AB21:AE21)</f>
        <v>430.63781462969229</v>
      </c>
      <c r="BJ21" s="4">
        <f ca="1">+SUM(AF21:AI21)</f>
        <v>402.28928967347287</v>
      </c>
      <c r="BK21" s="4">
        <f ca="1">+SUM(AJ21:AM21)</f>
        <v>439.57545780260978</v>
      </c>
      <c r="BL21" s="4">
        <f ca="1">+SUM(AN21:AQ21)</f>
        <v>479.46893000702494</v>
      </c>
      <c r="BM21" s="4">
        <f ca="1">+SUM(AR21:AU21)</f>
        <v>522.45235523514089</v>
      </c>
      <c r="BN21" s="4">
        <f ca="1">+SUM(AV21:AY21)</f>
        <v>568.27714279467909</v>
      </c>
    </row>
    <row r="22" spans="1:75">
      <c r="B22" s="13" t="s">
        <v>161</v>
      </c>
      <c r="C22" s="4"/>
      <c r="D22" s="8">
        <f t="shared" ref="D22:J22" si="52">+D14/SUM(D14,D16)</f>
        <v>0.89371410833462672</v>
      </c>
      <c r="E22" s="8">
        <f t="shared" si="52"/>
        <v>0.89881230985256255</v>
      </c>
      <c r="F22" s="8">
        <f t="shared" si="52"/>
        <v>0.88659641665928746</v>
      </c>
      <c r="G22" s="8">
        <f t="shared" si="52"/>
        <v>0.89215770363381652</v>
      </c>
      <c r="H22" s="8">
        <f t="shared" si="52"/>
        <v>0.89160248971410483</v>
      </c>
      <c r="I22" s="8">
        <f t="shared" si="52"/>
        <v>0.88940881661041216</v>
      </c>
      <c r="J22" s="8">
        <f t="shared" si="52"/>
        <v>0.89537486901019336</v>
      </c>
      <c r="K22" s="8">
        <f t="shared" ref="K22:P22" si="53">+K14/SUM(K14,K16)</f>
        <v>0.89268682258984589</v>
      </c>
      <c r="L22" s="8">
        <f t="shared" si="53"/>
        <v>0.90557911180540052</v>
      </c>
      <c r="M22" s="8">
        <f t="shared" si="53"/>
        <v>0.89411113004942899</v>
      </c>
      <c r="N22" s="8">
        <f t="shared" si="53"/>
        <v>0.89658709804695214</v>
      </c>
      <c r="O22" s="8">
        <f t="shared" si="53"/>
        <v>0.89169972307462009</v>
      </c>
      <c r="P22" s="8">
        <f t="shared" si="53"/>
        <v>0.89488100420838768</v>
      </c>
      <c r="Q22" s="8">
        <f t="shared" ref="Q22:V22" si="54">+Q14/SUM(Q14,Q16)</f>
        <v>0.86393656994355517</v>
      </c>
      <c r="R22" s="8">
        <f t="shared" si="54"/>
        <v>0.77159757492283276</v>
      </c>
      <c r="S22" s="8">
        <f t="shared" si="54"/>
        <v>0.77341615487004656</v>
      </c>
      <c r="T22" s="8">
        <f t="shared" si="54"/>
        <v>0.78365935223784877</v>
      </c>
      <c r="U22" s="8">
        <f t="shared" si="54"/>
        <v>0.80814117381744377</v>
      </c>
      <c r="V22" s="8">
        <f t="shared" si="54"/>
        <v>0.82580859643102267</v>
      </c>
      <c r="W22" s="8">
        <f>+W14/SUM(W14,W16)</f>
        <v>0.82793117246898762</v>
      </c>
      <c r="X22" s="8">
        <f>+X14/SUM(X14,X16)</f>
        <v>0.82343206844153949</v>
      </c>
      <c r="Y22" s="8">
        <f>+Y14/SUM(Y14,Y16)</f>
        <v>0.82738174482073557</v>
      </c>
      <c r="Z22" s="8">
        <f>+Z14/SUM(Z14,Z16)</f>
        <v>0.84102689726128066</v>
      </c>
      <c r="AA22" s="8">
        <f>+AA14/SUM(AA14,AA16)</f>
        <v>0.85382799836965284</v>
      </c>
      <c r="AB22" s="16">
        <f t="shared" ref="AB22:AY22" ca="1" si="55">+OFFSET(AB22,$C$5,0)</f>
        <v>0.86</v>
      </c>
      <c r="AC22" s="16">
        <f t="shared" ca="1" si="55"/>
        <v>0.86249999999999993</v>
      </c>
      <c r="AD22" s="16">
        <f t="shared" ca="1" si="55"/>
        <v>0.86499999999999988</v>
      </c>
      <c r="AE22" s="16">
        <f t="shared" ca="1" si="55"/>
        <v>0.86749999999999983</v>
      </c>
      <c r="AF22" s="16">
        <f t="shared" ca="1" si="55"/>
        <v>1</v>
      </c>
      <c r="AG22" s="16">
        <f t="shared" ca="1" si="55"/>
        <v>1</v>
      </c>
      <c r="AH22" s="16">
        <f t="shared" ca="1" si="55"/>
        <v>1</v>
      </c>
      <c r="AI22" s="16">
        <f t="shared" ca="1" si="55"/>
        <v>1</v>
      </c>
      <c r="AJ22" s="16">
        <f t="shared" ca="1" si="55"/>
        <v>1</v>
      </c>
      <c r="AK22" s="16">
        <f t="shared" ca="1" si="55"/>
        <v>1</v>
      </c>
      <c r="AL22" s="16">
        <f t="shared" ca="1" si="55"/>
        <v>1</v>
      </c>
      <c r="AM22" s="16">
        <f t="shared" ca="1" si="55"/>
        <v>1</v>
      </c>
      <c r="AN22" s="16">
        <f t="shared" ca="1" si="55"/>
        <v>1</v>
      </c>
      <c r="AO22" s="16">
        <f t="shared" ca="1" si="55"/>
        <v>1</v>
      </c>
      <c r="AP22" s="16">
        <f t="shared" ca="1" si="55"/>
        <v>1</v>
      </c>
      <c r="AQ22" s="16">
        <f t="shared" ca="1" si="55"/>
        <v>1</v>
      </c>
      <c r="AR22" s="16">
        <f t="shared" ca="1" si="55"/>
        <v>1</v>
      </c>
      <c r="AS22" s="16">
        <f t="shared" ca="1" si="55"/>
        <v>1</v>
      </c>
      <c r="AT22" s="16">
        <f t="shared" ca="1" si="55"/>
        <v>1</v>
      </c>
      <c r="AU22" s="16">
        <f t="shared" ca="1" si="55"/>
        <v>1</v>
      </c>
      <c r="AV22" s="16">
        <f t="shared" ca="1" si="55"/>
        <v>1</v>
      </c>
      <c r="AW22" s="16">
        <f t="shared" ca="1" si="55"/>
        <v>1</v>
      </c>
      <c r="AX22" s="16">
        <f t="shared" ca="1" si="55"/>
        <v>1</v>
      </c>
      <c r="AY22" s="16">
        <f t="shared" ca="1" si="55"/>
        <v>1</v>
      </c>
      <c r="AZ22" s="24"/>
      <c r="BA22" s="16"/>
      <c r="BB22" s="16"/>
      <c r="BC22" s="16"/>
      <c r="BD22" s="16"/>
      <c r="BE22" s="16"/>
      <c r="BF22" s="16"/>
      <c r="BG22" s="16"/>
      <c r="BH22" s="16"/>
      <c r="BI22" s="16"/>
      <c r="BJ22" s="16"/>
      <c r="BK22" s="16"/>
      <c r="BL22" s="16"/>
      <c r="BM22" s="16"/>
      <c r="BN22" s="16"/>
    </row>
    <row r="23" spans="1:75">
      <c r="B23" s="13"/>
      <c r="C23" s="4"/>
      <c r="D23" s="8"/>
      <c r="E23" s="8"/>
      <c r="F23" s="8"/>
      <c r="G23" s="8"/>
      <c r="H23" s="8"/>
      <c r="I23" s="8"/>
      <c r="J23" s="8"/>
      <c r="K23" s="8"/>
      <c r="L23" s="8"/>
      <c r="M23" s="8"/>
      <c r="N23" s="8"/>
      <c r="O23" s="8"/>
      <c r="P23" s="8"/>
      <c r="Q23" s="8"/>
      <c r="R23" s="8"/>
      <c r="S23" s="8"/>
      <c r="T23" s="8"/>
      <c r="U23" s="8"/>
      <c r="V23" s="8"/>
      <c r="W23" s="8"/>
      <c r="X23" s="8"/>
      <c r="Y23" s="8"/>
      <c r="Z23" s="8"/>
      <c r="AA23" s="8"/>
      <c r="AB23" s="107">
        <f t="shared" ref="AB23:AY23" si="56">+AB24</f>
        <v>0.86</v>
      </c>
      <c r="AC23" s="107">
        <f t="shared" si="56"/>
        <v>0.86249999999999993</v>
      </c>
      <c r="AD23" s="107">
        <f t="shared" si="56"/>
        <v>0.86499999999999988</v>
      </c>
      <c r="AE23" s="107">
        <f t="shared" si="56"/>
        <v>0.86749999999999983</v>
      </c>
      <c r="AF23" s="107">
        <f t="shared" si="56"/>
        <v>1</v>
      </c>
      <c r="AG23" s="107">
        <f t="shared" si="56"/>
        <v>1</v>
      </c>
      <c r="AH23" s="107">
        <f t="shared" si="56"/>
        <v>1</v>
      </c>
      <c r="AI23" s="107">
        <f t="shared" si="56"/>
        <v>1</v>
      </c>
      <c r="AJ23" s="107">
        <f t="shared" si="56"/>
        <v>1</v>
      </c>
      <c r="AK23" s="107">
        <f t="shared" si="56"/>
        <v>1</v>
      </c>
      <c r="AL23" s="107">
        <f t="shared" si="56"/>
        <v>1</v>
      </c>
      <c r="AM23" s="107">
        <f t="shared" si="56"/>
        <v>1</v>
      </c>
      <c r="AN23" s="107">
        <f t="shared" si="56"/>
        <v>1</v>
      </c>
      <c r="AO23" s="107">
        <f t="shared" si="56"/>
        <v>1</v>
      </c>
      <c r="AP23" s="107">
        <f t="shared" si="56"/>
        <v>1</v>
      </c>
      <c r="AQ23" s="107">
        <f t="shared" si="56"/>
        <v>1</v>
      </c>
      <c r="AR23" s="107">
        <f t="shared" si="56"/>
        <v>1</v>
      </c>
      <c r="AS23" s="107">
        <f t="shared" si="56"/>
        <v>1</v>
      </c>
      <c r="AT23" s="107">
        <f t="shared" si="56"/>
        <v>1</v>
      </c>
      <c r="AU23" s="107">
        <f t="shared" si="56"/>
        <v>1</v>
      </c>
      <c r="AV23" s="107">
        <f t="shared" si="56"/>
        <v>1</v>
      </c>
      <c r="AW23" s="107">
        <f t="shared" si="56"/>
        <v>1</v>
      </c>
      <c r="AX23" s="107">
        <f t="shared" si="56"/>
        <v>1</v>
      </c>
      <c r="AY23" s="107">
        <f t="shared" si="56"/>
        <v>1</v>
      </c>
      <c r="AZ23" s="24"/>
      <c r="BA23" s="16"/>
      <c r="BB23" s="16"/>
      <c r="BC23" s="16"/>
      <c r="BD23" s="16"/>
      <c r="BE23" s="16"/>
      <c r="BF23" s="16"/>
      <c r="BG23" s="16"/>
      <c r="BH23" s="16"/>
      <c r="BI23" s="16"/>
      <c r="BJ23" s="16"/>
      <c r="BK23" s="16"/>
      <c r="BL23" s="16"/>
      <c r="BM23" s="16"/>
      <c r="BN23" s="16"/>
    </row>
    <row r="24" spans="1:75">
      <c r="B24" s="13"/>
      <c r="C24" s="4"/>
      <c r="D24" s="8"/>
      <c r="E24" s="8"/>
      <c r="F24" s="8"/>
      <c r="G24" s="8"/>
      <c r="H24" s="8"/>
      <c r="I24" s="8"/>
      <c r="J24" s="8"/>
      <c r="K24" s="8"/>
      <c r="L24" s="8"/>
      <c r="M24" s="8"/>
      <c r="N24" s="8"/>
      <c r="O24" s="8"/>
      <c r="P24" s="8"/>
      <c r="Q24" s="8"/>
      <c r="R24" s="8"/>
      <c r="S24" s="8"/>
      <c r="T24" s="8"/>
      <c r="U24" s="8"/>
      <c r="V24" s="8"/>
      <c r="W24" s="8"/>
      <c r="X24" s="8"/>
      <c r="Y24" s="8"/>
      <c r="Z24" s="8"/>
      <c r="AA24" s="8"/>
      <c r="AB24" s="378">
        <v>0.86</v>
      </c>
      <c r="AC24" s="107">
        <f>+AB24+0.0025</f>
        <v>0.86249999999999993</v>
      </c>
      <c r="AD24" s="107">
        <f t="shared" ref="AD24:AE24" si="57">+AC24+0.0025</f>
        <v>0.86499999999999988</v>
      </c>
      <c r="AE24" s="107">
        <f t="shared" si="57"/>
        <v>0.86749999999999983</v>
      </c>
      <c r="AF24" s="317">
        <v>1</v>
      </c>
      <c r="AG24" s="317">
        <v>1</v>
      </c>
      <c r="AH24" s="317">
        <v>1</v>
      </c>
      <c r="AI24" s="317">
        <v>1</v>
      </c>
      <c r="AJ24" s="317">
        <v>1</v>
      </c>
      <c r="AK24" s="317">
        <v>1</v>
      </c>
      <c r="AL24" s="317">
        <v>1</v>
      </c>
      <c r="AM24" s="317">
        <v>1</v>
      </c>
      <c r="AN24" s="317">
        <v>1</v>
      </c>
      <c r="AO24" s="317">
        <v>1</v>
      </c>
      <c r="AP24" s="317">
        <v>1</v>
      </c>
      <c r="AQ24" s="317">
        <v>1</v>
      </c>
      <c r="AR24" s="317">
        <v>1</v>
      </c>
      <c r="AS24" s="317">
        <v>1</v>
      </c>
      <c r="AT24" s="317">
        <v>1</v>
      </c>
      <c r="AU24" s="317">
        <v>1</v>
      </c>
      <c r="AV24" s="317">
        <v>1</v>
      </c>
      <c r="AW24" s="317">
        <v>1</v>
      </c>
      <c r="AX24" s="317">
        <v>1</v>
      </c>
      <c r="AY24" s="317">
        <v>1</v>
      </c>
      <c r="AZ24" s="24"/>
      <c r="BA24" s="16"/>
      <c r="BB24" s="16"/>
      <c r="BC24" s="16"/>
      <c r="BD24" s="16"/>
      <c r="BE24" s="16"/>
      <c r="BF24" s="16"/>
      <c r="BG24" s="16"/>
      <c r="BH24" s="16"/>
      <c r="BI24" s="16"/>
      <c r="BJ24" s="16"/>
      <c r="BK24" s="16"/>
      <c r="BL24" s="16"/>
      <c r="BM24" s="16"/>
      <c r="BN24" s="16"/>
    </row>
    <row r="25" spans="1:75">
      <c r="B25" s="13"/>
      <c r="C25" s="4"/>
      <c r="D25" s="8"/>
      <c r="E25" s="8"/>
      <c r="F25" s="8"/>
      <c r="G25" s="8"/>
      <c r="H25" s="8"/>
      <c r="I25" s="8"/>
      <c r="J25" s="8"/>
      <c r="K25" s="8"/>
      <c r="L25" s="8"/>
      <c r="M25" s="8"/>
      <c r="N25" s="8"/>
      <c r="O25" s="8"/>
      <c r="P25" s="8"/>
      <c r="Q25" s="8"/>
      <c r="R25" s="8"/>
      <c r="S25" s="8"/>
      <c r="T25" s="8"/>
      <c r="U25" s="8"/>
      <c r="V25" s="8"/>
      <c r="W25" s="8"/>
      <c r="X25" s="8"/>
      <c r="Y25" s="8"/>
      <c r="Z25" s="8"/>
      <c r="AA25" s="8"/>
      <c r="AB25" s="107">
        <f t="shared" ref="AB25:AM25" si="58">+AB24</f>
        <v>0.86</v>
      </c>
      <c r="AC25" s="107">
        <f t="shared" si="58"/>
        <v>0.86249999999999993</v>
      </c>
      <c r="AD25" s="107">
        <f t="shared" si="58"/>
        <v>0.86499999999999988</v>
      </c>
      <c r="AE25" s="107">
        <f t="shared" si="58"/>
        <v>0.86749999999999983</v>
      </c>
      <c r="AF25" s="107">
        <f t="shared" si="58"/>
        <v>1</v>
      </c>
      <c r="AG25" s="107">
        <f t="shared" si="58"/>
        <v>1</v>
      </c>
      <c r="AH25" s="107">
        <f t="shared" si="58"/>
        <v>1</v>
      </c>
      <c r="AI25" s="107">
        <f t="shared" si="58"/>
        <v>1</v>
      </c>
      <c r="AJ25" s="107">
        <f t="shared" si="58"/>
        <v>1</v>
      </c>
      <c r="AK25" s="107">
        <f t="shared" si="58"/>
        <v>1</v>
      </c>
      <c r="AL25" s="107">
        <f t="shared" si="58"/>
        <v>1</v>
      </c>
      <c r="AM25" s="107">
        <f t="shared" si="58"/>
        <v>1</v>
      </c>
      <c r="AN25" s="107">
        <f t="shared" ref="AN25:AY25" si="59">+AN24</f>
        <v>1</v>
      </c>
      <c r="AO25" s="107">
        <f t="shared" si="59"/>
        <v>1</v>
      </c>
      <c r="AP25" s="107">
        <f t="shared" si="59"/>
        <v>1</v>
      </c>
      <c r="AQ25" s="107">
        <f t="shared" si="59"/>
        <v>1</v>
      </c>
      <c r="AR25" s="107">
        <f t="shared" si="59"/>
        <v>1</v>
      </c>
      <c r="AS25" s="107">
        <f t="shared" si="59"/>
        <v>1</v>
      </c>
      <c r="AT25" s="107">
        <f t="shared" si="59"/>
        <v>1</v>
      </c>
      <c r="AU25" s="107">
        <f t="shared" si="59"/>
        <v>1</v>
      </c>
      <c r="AV25" s="107">
        <f t="shared" si="59"/>
        <v>1</v>
      </c>
      <c r="AW25" s="107">
        <f t="shared" si="59"/>
        <v>1</v>
      </c>
      <c r="AX25" s="107">
        <f t="shared" si="59"/>
        <v>1</v>
      </c>
      <c r="AY25" s="107">
        <f t="shared" si="59"/>
        <v>1</v>
      </c>
      <c r="AZ25" s="24"/>
      <c r="BA25" s="16"/>
      <c r="BB25" s="16"/>
      <c r="BC25" s="16"/>
      <c r="BD25" s="16"/>
      <c r="BE25" s="16"/>
      <c r="BF25" s="16"/>
      <c r="BG25" s="16"/>
      <c r="BH25" s="16"/>
      <c r="BI25" s="16"/>
      <c r="BJ25" s="16"/>
      <c r="BK25" s="16"/>
      <c r="BL25" s="16"/>
      <c r="BM25" s="16"/>
      <c r="BN25" s="16"/>
    </row>
    <row r="26" spans="1:75">
      <c r="B26" s="13" t="s">
        <v>162</v>
      </c>
      <c r="C26" s="4"/>
      <c r="D26" s="8">
        <f t="shared" ref="D26:J26" si="60">+D16/SUM(D14,D16)</f>
        <v>0.10628589166537328</v>
      </c>
      <c r="E26" s="8">
        <f t="shared" si="60"/>
        <v>0.10118769014743739</v>
      </c>
      <c r="F26" s="8">
        <f t="shared" si="60"/>
        <v>0.11340358334071254</v>
      </c>
      <c r="G26" s="8">
        <f t="shared" si="60"/>
        <v>0.10784229636618352</v>
      </c>
      <c r="H26" s="8">
        <f t="shared" si="60"/>
        <v>0.10839751028589516</v>
      </c>
      <c r="I26" s="8">
        <f t="shared" si="60"/>
        <v>0.1105911833895878</v>
      </c>
      <c r="J26" s="8">
        <f t="shared" si="60"/>
        <v>0.10462513098980661</v>
      </c>
      <c r="K26" s="8">
        <f t="shared" ref="K26:P26" si="61">+K16/SUM(K14,K16)</f>
        <v>0.10731317741015402</v>
      </c>
      <c r="L26" s="8">
        <f t="shared" si="61"/>
        <v>9.4420888194599414E-2</v>
      </c>
      <c r="M26" s="8">
        <f t="shared" si="61"/>
        <v>0.10588886995057098</v>
      </c>
      <c r="N26" s="8">
        <f t="shared" si="61"/>
        <v>0.10341290195304795</v>
      </c>
      <c r="O26" s="8">
        <f t="shared" si="61"/>
        <v>0.10830027692537984</v>
      </c>
      <c r="P26" s="8">
        <f t="shared" si="61"/>
        <v>0.10511899579161224</v>
      </c>
      <c r="Q26" s="8">
        <f t="shared" ref="Q26:V26" si="62">+Q16/SUM(Q14,Q16)</f>
        <v>0.13606343005644483</v>
      </c>
      <c r="R26" s="8">
        <f t="shared" si="62"/>
        <v>0.22840242507716713</v>
      </c>
      <c r="S26" s="8">
        <f t="shared" si="62"/>
        <v>0.22658384512995355</v>
      </c>
      <c r="T26" s="8">
        <f t="shared" si="62"/>
        <v>0.21634064776215126</v>
      </c>
      <c r="U26" s="8">
        <f t="shared" si="62"/>
        <v>0.19185882618255623</v>
      </c>
      <c r="V26" s="8">
        <f t="shared" si="62"/>
        <v>0.17419140356897736</v>
      </c>
      <c r="W26" s="8">
        <f>+W16/SUM(W14,W16)</f>
        <v>0.17206882753101241</v>
      </c>
      <c r="X26" s="8">
        <f>+X16/SUM(X14,X16)</f>
        <v>0.17656793155846046</v>
      </c>
      <c r="Y26" s="8">
        <f>+Y16/SUM(Y14,Y16)</f>
        <v>0.17261825517926452</v>
      </c>
      <c r="Z26" s="8">
        <f>+Z16/SUM(Z14,Z16)</f>
        <v>0.15897310273871931</v>
      </c>
      <c r="AA26" s="8">
        <f>+AA16/SUM(AA14,AA16)</f>
        <v>0.14617200163034721</v>
      </c>
      <c r="AB26" s="25">
        <f t="shared" ref="AB26:AM26" ca="1" si="63">1-AB22</f>
        <v>0.14000000000000001</v>
      </c>
      <c r="AC26" s="25">
        <f t="shared" ca="1" si="63"/>
        <v>0.13750000000000007</v>
      </c>
      <c r="AD26" s="25">
        <f t="shared" ca="1" si="63"/>
        <v>0.13500000000000012</v>
      </c>
      <c r="AE26" s="25">
        <f t="shared" ca="1" si="63"/>
        <v>0.13250000000000017</v>
      </c>
      <c r="AF26" s="25">
        <f t="shared" ca="1" si="63"/>
        <v>0</v>
      </c>
      <c r="AG26" s="25">
        <f t="shared" ca="1" si="63"/>
        <v>0</v>
      </c>
      <c r="AH26" s="25">
        <f t="shared" ca="1" si="63"/>
        <v>0</v>
      </c>
      <c r="AI26" s="25">
        <f t="shared" ca="1" si="63"/>
        <v>0</v>
      </c>
      <c r="AJ26" s="25">
        <f t="shared" ca="1" si="63"/>
        <v>0</v>
      </c>
      <c r="AK26" s="25">
        <f t="shared" ca="1" si="63"/>
        <v>0</v>
      </c>
      <c r="AL26" s="25">
        <f t="shared" ca="1" si="63"/>
        <v>0</v>
      </c>
      <c r="AM26" s="25">
        <f t="shared" ca="1" si="63"/>
        <v>0</v>
      </c>
      <c r="AN26" s="25">
        <f t="shared" ref="AN26:AY26" ca="1" si="64">1-AN22</f>
        <v>0</v>
      </c>
      <c r="AO26" s="25">
        <f t="shared" ca="1" si="64"/>
        <v>0</v>
      </c>
      <c r="AP26" s="25">
        <f t="shared" ca="1" si="64"/>
        <v>0</v>
      </c>
      <c r="AQ26" s="25">
        <f t="shared" ca="1" si="64"/>
        <v>0</v>
      </c>
      <c r="AR26" s="25">
        <f t="shared" ca="1" si="64"/>
        <v>0</v>
      </c>
      <c r="AS26" s="25">
        <f t="shared" ca="1" si="64"/>
        <v>0</v>
      </c>
      <c r="AT26" s="25">
        <f t="shared" ca="1" si="64"/>
        <v>0</v>
      </c>
      <c r="AU26" s="25">
        <f t="shared" ca="1" si="64"/>
        <v>0</v>
      </c>
      <c r="AV26" s="25">
        <f t="shared" ca="1" si="64"/>
        <v>0</v>
      </c>
      <c r="AW26" s="25">
        <f t="shared" ca="1" si="64"/>
        <v>0</v>
      </c>
      <c r="AX26" s="25">
        <f t="shared" ca="1" si="64"/>
        <v>0</v>
      </c>
      <c r="AY26" s="25">
        <f t="shared" ca="1" si="64"/>
        <v>0</v>
      </c>
      <c r="AZ26" s="24"/>
      <c r="BA26" s="16"/>
      <c r="BB26" s="16"/>
      <c r="BC26" s="16"/>
      <c r="BD26" s="16"/>
      <c r="BE26" s="16"/>
      <c r="BF26" s="16"/>
      <c r="BG26" s="16"/>
      <c r="BH26" s="16"/>
      <c r="BI26" s="16"/>
      <c r="BJ26" s="16"/>
      <c r="BK26" s="16"/>
      <c r="BL26" s="16"/>
      <c r="BM26" s="16"/>
      <c r="BN26" s="16"/>
    </row>
    <row r="27" spans="1:75" s="22" customFormat="1">
      <c r="B27" s="74" t="s">
        <v>172</v>
      </c>
      <c r="C27" s="24"/>
      <c r="D27" s="10">
        <f t="shared" ref="D27:J27" si="65">+D21/3</f>
        <v>10.738333333333332</v>
      </c>
      <c r="E27" s="10">
        <f t="shared" si="65"/>
        <v>11.394666666666668</v>
      </c>
      <c r="F27" s="10">
        <f t="shared" si="65"/>
        <v>11.292999999999999</v>
      </c>
      <c r="G27" s="10">
        <f t="shared" si="65"/>
        <v>11.658999999999999</v>
      </c>
      <c r="H27" s="10">
        <f t="shared" si="65"/>
        <v>12.638666666666666</v>
      </c>
      <c r="I27" s="10">
        <f t="shared" si="65"/>
        <v>13.036000000000001</v>
      </c>
      <c r="J27" s="10">
        <f t="shared" si="65"/>
        <v>13.996</v>
      </c>
      <c r="K27" s="10">
        <f>+K21/3</f>
        <v>14.608333333333334</v>
      </c>
      <c r="L27" s="10">
        <f>+L21/3</f>
        <v>14.936666666666667</v>
      </c>
      <c r="M27" s="10">
        <f>+M21/3</f>
        <v>15.645333333333333</v>
      </c>
      <c r="N27" s="10">
        <f>+N21/3</f>
        <v>16.896666666666665</v>
      </c>
      <c r="O27" s="10">
        <f>+O21/3</f>
        <v>17.814666666666668</v>
      </c>
      <c r="P27" s="10">
        <f t="shared" ref="P27:U27" si="66">+P21/3</f>
        <v>18.376000000000001</v>
      </c>
      <c r="Q27" s="10">
        <f t="shared" si="66"/>
        <v>20.137666666666664</v>
      </c>
      <c r="R27" s="10">
        <f t="shared" si="66"/>
        <v>27.105666666666668</v>
      </c>
      <c r="S27" s="10">
        <f t="shared" si="66"/>
        <v>28.548666666666662</v>
      </c>
      <c r="T27" s="10">
        <f t="shared" si="66"/>
        <v>29.105333333333334</v>
      </c>
      <c r="U27" s="10">
        <f t="shared" si="66"/>
        <v>29.561666666666667</v>
      </c>
      <c r="V27" s="10">
        <f t="shared" ref="V27:AA27" si="67">+V21/3</f>
        <v>31.082666666666665</v>
      </c>
      <c r="W27" s="10">
        <f t="shared" si="67"/>
        <v>31.654</v>
      </c>
      <c r="X27" s="10">
        <f t="shared" si="67"/>
        <v>32.027333333333338</v>
      </c>
      <c r="Y27" s="10">
        <f t="shared" si="67"/>
        <v>32.549666666666667</v>
      </c>
      <c r="Z27" s="10">
        <f t="shared" si="67"/>
        <v>34.018333333333338</v>
      </c>
      <c r="AA27" s="10">
        <f t="shared" si="67"/>
        <v>35.166333333333334</v>
      </c>
      <c r="AB27" s="10">
        <f t="shared" ref="AB27:AM27" ca="1" si="68">+AB21/3</f>
        <v>35.287033760918753</v>
      </c>
      <c r="AC27" s="10">
        <f t="shared" ca="1" si="68"/>
        <v>35.724842647983351</v>
      </c>
      <c r="AD27" s="10">
        <f t="shared" ca="1" si="68"/>
        <v>36.095389968903639</v>
      </c>
      <c r="AE27" s="10">
        <f t="shared" ca="1" si="68"/>
        <v>36.438671832091678</v>
      </c>
      <c r="AF27" s="10">
        <f t="shared" ca="1" si="68"/>
        <v>32.351261926927705</v>
      </c>
      <c r="AG27" s="10">
        <f t="shared" ca="1" si="68"/>
        <v>33.153418817014767</v>
      </c>
      <c r="AH27" s="10">
        <f t="shared" ca="1" si="68"/>
        <v>33.916581752164575</v>
      </c>
      <c r="AI27" s="10">
        <f t="shared" ca="1" si="68"/>
        <v>34.675167395050565</v>
      </c>
      <c r="AJ27" s="10">
        <f t="shared" ca="1" si="68"/>
        <v>35.442661432918776</v>
      </c>
      <c r="AK27" s="10">
        <f t="shared" ca="1" si="68"/>
        <v>36.224152778264347</v>
      </c>
      <c r="AL27" s="10">
        <f t="shared" ca="1" si="68"/>
        <v>37.021884304525706</v>
      </c>
      <c r="AM27" s="10">
        <f t="shared" ca="1" si="68"/>
        <v>37.836454085161115</v>
      </c>
      <c r="AN27" s="10">
        <f t="shared" ref="AN27:AY27" ca="1" si="69">+AN21/3</f>
        <v>38.667785629399255</v>
      </c>
      <c r="AO27" s="10">
        <f t="shared" ca="1" si="69"/>
        <v>39.515508041575266</v>
      </c>
      <c r="AP27" s="10">
        <f t="shared" ca="1" si="69"/>
        <v>40.37968154524399</v>
      </c>
      <c r="AQ27" s="10">
        <f t="shared" ca="1" si="69"/>
        <v>41.260001452789815</v>
      </c>
      <c r="AR27" s="10">
        <f t="shared" ca="1" si="69"/>
        <v>42.155998403870299</v>
      </c>
      <c r="AS27" s="10">
        <f t="shared" ca="1" si="69"/>
        <v>43.06711182215102</v>
      </c>
      <c r="AT27" s="10">
        <f t="shared" ca="1" si="69"/>
        <v>43.993341857164275</v>
      </c>
      <c r="AU27" s="10">
        <f t="shared" ca="1" si="69"/>
        <v>44.934332995194694</v>
      </c>
      <c r="AV27" s="10">
        <f t="shared" ca="1" si="69"/>
        <v>45.889568541681975</v>
      </c>
      <c r="AW27" s="10">
        <f t="shared" ca="1" si="69"/>
        <v>46.858441731209204</v>
      </c>
      <c r="AX27" s="10">
        <f t="shared" ca="1" si="69"/>
        <v>47.840958988725269</v>
      </c>
      <c r="AY27" s="10">
        <f t="shared" ca="1" si="69"/>
        <v>48.836745003276583</v>
      </c>
      <c r="AZ27" s="24"/>
      <c r="BA27" s="25"/>
      <c r="BB27" s="25"/>
      <c r="BC27" s="25"/>
      <c r="BD27" s="4">
        <f t="shared" ref="BD27:BK27" si="70">+BD21/12</f>
        <v>13.569749999999999</v>
      </c>
      <c r="BE27" s="4">
        <f t="shared" si="70"/>
        <v>16.323333333333334</v>
      </c>
      <c r="BF27" s="4">
        <f t="shared" si="70"/>
        <v>23.542000000000002</v>
      </c>
      <c r="BG27" s="4">
        <f t="shared" si="70"/>
        <v>30.350916666666667</v>
      </c>
      <c r="BH27" s="4">
        <f t="shared" si="70"/>
        <v>33.440416666666664</v>
      </c>
      <c r="BI27" s="4">
        <f t="shared" ca="1" si="70"/>
        <v>35.886484552474357</v>
      </c>
      <c r="BJ27" s="4">
        <f t="shared" ca="1" si="70"/>
        <v>33.524107472789403</v>
      </c>
      <c r="BK27" s="4">
        <f t="shared" ca="1" si="70"/>
        <v>36.631288150217479</v>
      </c>
      <c r="BL27" s="4">
        <f t="shared" ref="BL27:BN27" ca="1" si="71">+BL21/12</f>
        <v>39.955744167252078</v>
      </c>
      <c r="BM27" s="4">
        <f t="shared" ca="1" si="71"/>
        <v>43.537696269595074</v>
      </c>
      <c r="BN27" s="4">
        <f t="shared" ca="1" si="71"/>
        <v>47.356428566223258</v>
      </c>
      <c r="BQ27" s="230"/>
      <c r="BR27"/>
      <c r="BS27"/>
      <c r="BT27"/>
      <c r="BU27"/>
      <c r="BV27"/>
      <c r="BW27"/>
    </row>
    <row r="28" spans="1:75" s="22" customFormat="1">
      <c r="B28" s="14" t="s">
        <v>104</v>
      </c>
      <c r="C28" s="24"/>
      <c r="D28" s="10"/>
      <c r="E28" s="10"/>
      <c r="F28" s="10"/>
      <c r="G28" s="10"/>
      <c r="H28" s="25"/>
      <c r="I28" s="10"/>
      <c r="J28" s="10"/>
      <c r="K28" s="10"/>
      <c r="L28" s="10"/>
      <c r="M28" s="10"/>
      <c r="N28" s="10"/>
      <c r="O28" s="10"/>
      <c r="P28" s="10"/>
      <c r="Q28" s="10"/>
      <c r="R28" s="10"/>
      <c r="S28" s="10"/>
      <c r="T28" s="10"/>
      <c r="U28" s="10"/>
      <c r="V28" s="10"/>
      <c r="W28" s="10"/>
      <c r="X28" s="10"/>
      <c r="Y28" s="10"/>
      <c r="Z28" s="10"/>
      <c r="AA28" s="10"/>
      <c r="AB28" s="8">
        <f t="shared" ref="AB28:AM28" ca="1" si="72">+AB27/AA27-1</f>
        <v>3.4322721803643486E-3</v>
      </c>
      <c r="AC28" s="8">
        <f t="shared" ca="1" si="72"/>
        <v>1.2407075358923603E-2</v>
      </c>
      <c r="AD28" s="8">
        <f t="shared" ca="1" si="72"/>
        <v>1.0372259006750539E-2</v>
      </c>
      <c r="AE28" s="8">
        <f t="shared" ca="1" si="72"/>
        <v>9.5104073812135592E-3</v>
      </c>
      <c r="AF28" s="8">
        <f t="shared" ca="1" si="72"/>
        <v>-0.11217230759668295</v>
      </c>
      <c r="AG28" s="8">
        <f t="shared" ca="1" si="72"/>
        <v>2.4795227212431659E-2</v>
      </c>
      <c r="AH28" s="8">
        <f t="shared" ca="1" si="72"/>
        <v>2.3019132336304926E-2</v>
      </c>
      <c r="AI28" s="8">
        <f t="shared" ca="1" si="72"/>
        <v>2.2366217457558957E-2</v>
      </c>
      <c r="AJ28" s="8">
        <f t="shared" ca="1" si="72"/>
        <v>2.2133823584014278E-2</v>
      </c>
      <c r="AK28" s="8">
        <f t="shared" ca="1" si="72"/>
        <v>2.2049454351070086E-2</v>
      </c>
      <c r="AL28" s="8">
        <f t="shared" ca="1" si="72"/>
        <v>2.2022089271333423E-2</v>
      </c>
      <c r="AM28" s="8">
        <f t="shared" ca="1" si="72"/>
        <v>2.2002385776345612E-2</v>
      </c>
      <c r="AN28" s="8">
        <f t="shared" ref="AN28" ca="1" si="73">+AN27/AM27-1</f>
        <v>2.1971708616431274E-2</v>
      </c>
      <c r="AO28" s="8">
        <f t="shared" ref="AO28" ca="1" si="74">+AO27/AN27-1</f>
        <v>2.1923221057982722E-2</v>
      </c>
      <c r="AP28" s="8">
        <f t="shared" ref="AP28" ca="1" si="75">+AP27/AO27-1</f>
        <v>2.1869224172937463E-2</v>
      </c>
      <c r="AQ28" s="8">
        <f t="shared" ref="AQ28" ca="1" si="76">+AQ27/AP27-1</f>
        <v>2.1801061173785108E-2</v>
      </c>
      <c r="AR28" s="8">
        <f t="shared" ref="AR28" ca="1" si="77">+AR27/AQ27-1</f>
        <v>2.1715872989139129E-2</v>
      </c>
      <c r="AS28" s="8">
        <f t="shared" ref="AS28" ca="1" si="78">+AS27/AR27-1</f>
        <v>2.1612900957816539E-2</v>
      </c>
      <c r="AT28" s="8">
        <f t="shared" ref="AT28" ca="1" si="79">+AT27/AS27-1</f>
        <v>2.1506667055784856E-2</v>
      </c>
      <c r="AU28" s="8">
        <f t="shared" ref="AU28" ca="1" si="80">+AU27/AT27-1</f>
        <v>2.1389398902351919E-2</v>
      </c>
      <c r="AV28" s="8">
        <f t="shared" ref="AV28" ca="1" si="81">+AV27/AU27-1</f>
        <v>2.1258478379760026E-2</v>
      </c>
      <c r="AW28" s="8">
        <f t="shared" ref="AW28" ca="1" si="82">+AW27/AV27-1</f>
        <v>2.1113146632598889E-2</v>
      </c>
      <c r="AX28" s="8">
        <f t="shared" ref="AX28" ca="1" si="83">+AX27/AW27-1</f>
        <v>2.0967774881461176E-2</v>
      </c>
      <c r="AY28" s="8">
        <f t="shared" ref="AY28" ca="1" si="84">+AY27/AX27-1</f>
        <v>2.0814507810890559E-2</v>
      </c>
      <c r="AZ28" s="24"/>
      <c r="BA28" s="25"/>
      <c r="BB28" s="25"/>
      <c r="BC28" s="25"/>
      <c r="BD28" s="8"/>
      <c r="BE28" s="8">
        <f t="shared" ref="BE28:BK28" si="85">+BE27/BD27-1</f>
        <v>0.2029207121231662</v>
      </c>
      <c r="BF28" s="8">
        <f t="shared" si="85"/>
        <v>0.44222993669593635</v>
      </c>
      <c r="BG28" s="8">
        <f t="shared" si="85"/>
        <v>0.28922422337382825</v>
      </c>
      <c r="BH28" s="8">
        <f t="shared" si="85"/>
        <v>0.1017926421771993</v>
      </c>
      <c r="BI28" s="8">
        <f t="shared" ca="1" si="85"/>
        <v>7.314705167073865E-2</v>
      </c>
      <c r="BJ28" s="8">
        <f t="shared" ca="1" si="85"/>
        <v>-6.5829158502015206E-2</v>
      </c>
      <c r="BK28" s="8">
        <f t="shared" ca="1" si="85"/>
        <v>9.2684963498285144E-2</v>
      </c>
      <c r="BL28" s="8">
        <f t="shared" ref="BL28" ca="1" si="86">+BL27/BK27-1</f>
        <v>9.0754548499678123E-2</v>
      </c>
      <c r="BM28" s="8">
        <f t="shared" ref="BM28" ca="1" si="87">+BM27/BL27-1</f>
        <v>8.9647988718447591E-2</v>
      </c>
      <c r="BN28" s="8">
        <f t="shared" ref="BN28" ca="1" si="88">+BN27/BM27-1</f>
        <v>8.7710940720927111E-2</v>
      </c>
      <c r="BQ28" s="230"/>
      <c r="BR28"/>
      <c r="BS28"/>
      <c r="BT28"/>
      <c r="BU28"/>
      <c r="BV28"/>
      <c r="BW28"/>
    </row>
    <row r="29" spans="1:75" s="22" customFormat="1">
      <c r="B29" s="73"/>
      <c r="C29" s="24"/>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4"/>
      <c r="BA29" s="25"/>
      <c r="BB29" s="25"/>
      <c r="BC29" s="25"/>
      <c r="BD29" s="25"/>
      <c r="BE29" s="25"/>
      <c r="BF29" s="25"/>
      <c r="BG29" s="25"/>
      <c r="BH29" s="25"/>
      <c r="BI29" s="25"/>
      <c r="BJ29" s="25"/>
      <c r="BK29" s="25"/>
      <c r="BL29" s="25"/>
      <c r="BM29" s="25"/>
      <c r="BN29" s="25"/>
      <c r="BQ29" s="230"/>
      <c r="BR29"/>
      <c r="BS29"/>
      <c r="BT29"/>
      <c r="BU29"/>
      <c r="BV29"/>
      <c r="BW29"/>
    </row>
    <row r="30" spans="1:75">
      <c r="B30" t="s">
        <v>107</v>
      </c>
      <c r="C30" s="4"/>
      <c r="D30" s="4"/>
      <c r="E30" s="4"/>
      <c r="F30" s="4"/>
      <c r="G30" s="4"/>
      <c r="H30" s="4"/>
      <c r="I30" s="4"/>
      <c r="J30" s="4"/>
      <c r="K30" s="4"/>
      <c r="L30" s="4"/>
      <c r="M30" s="4"/>
      <c r="N30" s="4"/>
      <c r="O30" s="4"/>
      <c r="P30" s="4">
        <f t="shared" ref="P30:AA30" si="89">+O21</f>
        <v>53.444000000000003</v>
      </c>
      <c r="Q30" s="4">
        <f t="shared" si="89"/>
        <v>55.128</v>
      </c>
      <c r="R30" s="4">
        <f t="shared" si="89"/>
        <v>60.412999999999997</v>
      </c>
      <c r="S30" s="4">
        <f t="shared" si="89"/>
        <v>81.317000000000007</v>
      </c>
      <c r="T30" s="4">
        <f t="shared" si="89"/>
        <v>85.645999999999987</v>
      </c>
      <c r="U30" s="4">
        <f t="shared" si="89"/>
        <v>87.316000000000003</v>
      </c>
      <c r="V30" s="4">
        <f t="shared" si="89"/>
        <v>88.685000000000002</v>
      </c>
      <c r="W30" s="4">
        <f t="shared" si="89"/>
        <v>93.24799999999999</v>
      </c>
      <c r="X30" s="4">
        <f t="shared" si="89"/>
        <v>94.962000000000003</v>
      </c>
      <c r="Y30" s="4">
        <f t="shared" si="89"/>
        <v>96.082000000000008</v>
      </c>
      <c r="Z30" s="4">
        <f t="shared" si="89"/>
        <v>97.649000000000001</v>
      </c>
      <c r="AA30" s="4">
        <f t="shared" si="89"/>
        <v>102.05500000000001</v>
      </c>
      <c r="AB30" s="4">
        <f t="shared" ref="AB30:AM30" si="90">+AA21</f>
        <v>105.499</v>
      </c>
      <c r="AC30" s="4">
        <f t="shared" ca="1" si="90"/>
        <v>105.86110128275625</v>
      </c>
      <c r="AD30" s="4">
        <f t="shared" ca="1" si="90"/>
        <v>107.17452794395005</v>
      </c>
      <c r="AE30" s="4">
        <f t="shared" ca="1" si="90"/>
        <v>108.28616990671091</v>
      </c>
      <c r="AF30" s="292">
        <f ca="1">+AE14</f>
        <v>94.831643443018564</v>
      </c>
      <c r="AG30" s="4">
        <f t="shared" ca="1" si="90"/>
        <v>97.053785780783116</v>
      </c>
      <c r="AH30" s="4">
        <f t="shared" ca="1" si="90"/>
        <v>99.460256451044302</v>
      </c>
      <c r="AI30" s="4">
        <f t="shared" ca="1" si="90"/>
        <v>101.74974525649372</v>
      </c>
      <c r="AJ30" s="4">
        <f t="shared" ca="1" si="90"/>
        <v>104.02550218515169</v>
      </c>
      <c r="AK30" s="4">
        <f t="shared" ca="1" si="90"/>
        <v>106.32798429875633</v>
      </c>
      <c r="AL30" s="4">
        <f t="shared" ca="1" si="90"/>
        <v>108.67245833479303</v>
      </c>
      <c r="AM30" s="4">
        <f t="shared" ca="1" si="90"/>
        <v>111.06565291357711</v>
      </c>
      <c r="AN30" s="4">
        <f t="shared" ref="AN30" ca="1" si="91">+AM21</f>
        <v>113.50936225548334</v>
      </c>
      <c r="AO30" s="4">
        <f t="shared" ref="AO30" ca="1" si="92">+AN21</f>
        <v>116.00335688819777</v>
      </c>
      <c r="AP30" s="4">
        <f t="shared" ref="AP30" ca="1" si="93">+AO21</f>
        <v>118.54652412472581</v>
      </c>
      <c r="AQ30" s="4">
        <f t="shared" ref="AQ30" ca="1" si="94">+AP21</f>
        <v>121.13904463573198</v>
      </c>
      <c r="AR30" s="4">
        <f t="shared" ref="AR30" ca="1" si="95">+AQ21</f>
        <v>123.78000435836944</v>
      </c>
      <c r="AS30" s="4">
        <f t="shared" ref="AS30" ca="1" si="96">+AR21</f>
        <v>126.4679952116109</v>
      </c>
      <c r="AT30" s="4">
        <f t="shared" ref="AT30" ca="1" si="97">+AS21</f>
        <v>129.20133546645306</v>
      </c>
      <c r="AU30" s="4">
        <f t="shared" ref="AU30" ca="1" si="98">+AT21</f>
        <v>131.98002557149283</v>
      </c>
      <c r="AV30" s="4">
        <f t="shared" ref="AV30" ca="1" si="99">+AU21</f>
        <v>134.80299898558408</v>
      </c>
      <c r="AW30" s="4">
        <f t="shared" ref="AW30" ca="1" si="100">+AV21</f>
        <v>137.66870562504593</v>
      </c>
      <c r="AX30" s="4">
        <f t="shared" ref="AX30" ca="1" si="101">+AW21</f>
        <v>140.57532519362761</v>
      </c>
      <c r="AY30" s="4">
        <f t="shared" ref="AY30" ca="1" si="102">+AX21</f>
        <v>143.5228769661758</v>
      </c>
      <c r="AZ30" s="24"/>
      <c r="BA30" s="4"/>
      <c r="BB30" s="4"/>
      <c r="BC30" s="4"/>
      <c r="BD30" s="4"/>
      <c r="BE30" s="4"/>
      <c r="BF30" s="4"/>
      <c r="BG30" s="4"/>
      <c r="BH30" s="4"/>
      <c r="BI30" s="4"/>
      <c r="BJ30" s="4"/>
      <c r="BK30" s="4"/>
      <c r="BL30" s="4"/>
      <c r="BM30" s="4"/>
      <c r="BN30" s="4"/>
    </row>
    <row r="31" spans="1:75">
      <c r="B31" t="s">
        <v>105</v>
      </c>
      <c r="C31" s="4"/>
      <c r="D31" s="4"/>
      <c r="E31" s="4"/>
      <c r="F31" s="4"/>
      <c r="G31" s="4"/>
      <c r="H31" s="4"/>
      <c r="I31" s="4"/>
      <c r="J31" s="4"/>
      <c r="K31" s="4"/>
      <c r="L31" s="4"/>
      <c r="M31" s="4"/>
      <c r="N31" s="4"/>
      <c r="O31" s="4"/>
      <c r="P31" s="4">
        <f t="shared" ref="P31:AM31" si="103">-O21*(P35)</f>
        <v>-0.21377600000000002</v>
      </c>
      <c r="Q31" s="4">
        <f t="shared" si="103"/>
        <v>-0.22051200000000001</v>
      </c>
      <c r="R31" s="4">
        <f t="shared" si="103"/>
        <v>-0.48330400000000001</v>
      </c>
      <c r="S31" s="4">
        <f t="shared" si="103"/>
        <v>-1.7889740000000001</v>
      </c>
      <c r="T31" s="4">
        <f t="shared" si="103"/>
        <v>-1.9698579999999997</v>
      </c>
      <c r="U31" s="4">
        <f t="shared" si="103"/>
        <v>-1.135108</v>
      </c>
      <c r="V31" s="4">
        <f t="shared" si="103"/>
        <v>-0.97553499999999993</v>
      </c>
      <c r="W31" s="4">
        <f t="shared" si="103"/>
        <v>-0.65273599999999998</v>
      </c>
      <c r="X31" s="4">
        <f t="shared" si="103"/>
        <v>-3.1337460000000004</v>
      </c>
      <c r="Y31" s="4">
        <f t="shared" si="103"/>
        <v>-0.96082000000000012</v>
      </c>
      <c r="Z31" s="4">
        <f t="shared" si="103"/>
        <v>-1.2694369999999999</v>
      </c>
      <c r="AA31" s="4">
        <f t="shared" si="103"/>
        <v>-2.8575400000000002</v>
      </c>
      <c r="AB31" s="4">
        <f t="shared" ca="1" si="103"/>
        <v>-3.5869659999999999</v>
      </c>
      <c r="AC31" s="4">
        <f t="shared" ca="1" si="103"/>
        <v>-2.2230831269378815</v>
      </c>
      <c r="AD31" s="4">
        <f t="shared" ca="1" si="103"/>
        <v>-2.2506650868229512</v>
      </c>
      <c r="AE31" s="4">
        <f t="shared" ca="1" si="103"/>
        <v>-2.2740095680409294</v>
      </c>
      <c r="AF31" s="4">
        <f t="shared" ca="1" si="103"/>
        <v>-1.7490562479404006</v>
      </c>
      <c r="AG31" s="4">
        <f t="shared" ca="1" si="103"/>
        <v>-1.213172322259789</v>
      </c>
      <c r="AH31" s="4">
        <f t="shared" ca="1" si="103"/>
        <v>-1.2432532056380539</v>
      </c>
      <c r="AI31" s="4">
        <f t="shared" ca="1" si="103"/>
        <v>-1.2718718157061717</v>
      </c>
      <c r="AJ31" s="4">
        <f t="shared" ca="1" si="103"/>
        <v>-1.3003187773143963</v>
      </c>
      <c r="AK31" s="4">
        <f t="shared" ca="1" si="103"/>
        <v>-1.3290998037344544</v>
      </c>
      <c r="AL31" s="4">
        <f t="shared" ca="1" si="103"/>
        <v>-1.358405729184913</v>
      </c>
      <c r="AM31" s="4">
        <f t="shared" ca="1" si="103"/>
        <v>-1.3883206614197139</v>
      </c>
      <c r="AN31" s="4">
        <f t="shared" ref="AN31" ca="1" si="104">-AM21*(AN35)</f>
        <v>-1.4188670281935418</v>
      </c>
      <c r="AO31" s="4">
        <f t="shared" ref="AO31" ca="1" si="105">-AN21*(AO35)</f>
        <v>-1.4500419611024722</v>
      </c>
      <c r="AP31" s="4">
        <f t="shared" ref="AP31" ca="1" si="106">-AO21*(AP35)</f>
        <v>-1.4818315515590728</v>
      </c>
      <c r="AQ31" s="4">
        <f t="shared" ref="AQ31" ca="1" si="107">-AP21*(AQ35)</f>
        <v>-1.5142380579466499</v>
      </c>
      <c r="AR31" s="4">
        <f t="shared" ref="AR31" ca="1" si="108">-AQ21*(AR35)</f>
        <v>-1.5472500544796182</v>
      </c>
      <c r="AS31" s="4">
        <f t="shared" ref="AS31" ca="1" si="109">-AR21*(AS35)</f>
        <v>-1.5808499401451364</v>
      </c>
      <c r="AT31" s="4">
        <f t="shared" ref="AT31" ca="1" si="110">-AS21*(AT35)</f>
        <v>-1.6150166933306633</v>
      </c>
      <c r="AU31" s="4">
        <f t="shared" ref="AU31" ca="1" si="111">-AT21*(AU35)</f>
        <v>-1.6497503196436605</v>
      </c>
      <c r="AV31" s="4">
        <f t="shared" ref="AV31" ca="1" si="112">-AU21*(AV35)</f>
        <v>-1.6850374873198011</v>
      </c>
      <c r="AW31" s="4">
        <f t="shared" ref="AW31" ca="1" si="113">-AV21*(AW35)</f>
        <v>-1.7208588203130741</v>
      </c>
      <c r="AX31" s="4">
        <f t="shared" ref="AX31" ca="1" si="114">-AW21*(AX35)</f>
        <v>-1.7571915649203451</v>
      </c>
      <c r="AY31" s="4">
        <f t="shared" ref="AY31" ca="1" si="115">-AX21*(AY35)</f>
        <v>-1.7940359620771975</v>
      </c>
      <c r="AZ31" s="24"/>
      <c r="BA31" s="4"/>
      <c r="BB31" s="4"/>
      <c r="BC31" s="4"/>
      <c r="BD31" s="4"/>
      <c r="BE31" s="4"/>
      <c r="BF31" s="4"/>
      <c r="BG31" s="4"/>
      <c r="BH31" s="4"/>
      <c r="BI31" s="4"/>
      <c r="BJ31" s="4"/>
      <c r="BK31" s="4"/>
      <c r="BL31" s="4"/>
      <c r="BM31" s="4"/>
      <c r="BN31" s="4"/>
    </row>
    <row r="32" spans="1:75">
      <c r="A32" s="58"/>
      <c r="B32" t="s">
        <v>180</v>
      </c>
      <c r="C32" s="4"/>
      <c r="D32" s="4"/>
      <c r="E32" s="4"/>
      <c r="F32" s="4"/>
      <c r="G32" s="4"/>
      <c r="H32" s="4"/>
      <c r="I32" s="4"/>
      <c r="J32" s="4"/>
      <c r="K32" s="4"/>
      <c r="L32" s="4"/>
      <c r="M32" s="4"/>
      <c r="N32" s="4"/>
      <c r="O32" s="4"/>
      <c r="P32" s="4">
        <f t="shared" ref="P32:U32" si="116">+P21-P30-P31</f>
        <v>1.8977759999999975</v>
      </c>
      <c r="Q32" s="4">
        <f t="shared" si="116"/>
        <v>5.5055119999999969</v>
      </c>
      <c r="R32" s="4">
        <f t="shared" si="116"/>
        <v>21.387304000000011</v>
      </c>
      <c r="S32" s="4">
        <f t="shared" si="116"/>
        <v>6.1179739999999789</v>
      </c>
      <c r="T32" s="4">
        <f t="shared" si="116"/>
        <v>3.6398580000000154</v>
      </c>
      <c r="U32" s="4">
        <f t="shared" si="116"/>
        <v>2.5041079999999996</v>
      </c>
      <c r="V32" s="4">
        <f t="shared" ref="V32:AA32" si="117">+V21-V30-V31</f>
        <v>5.538534999999988</v>
      </c>
      <c r="W32" s="4">
        <f t="shared" si="117"/>
        <v>2.3667360000000128</v>
      </c>
      <c r="X32" s="4">
        <f t="shared" si="117"/>
        <v>4.2537460000000049</v>
      </c>
      <c r="Y32" s="4">
        <f t="shared" si="117"/>
        <v>2.5278199999999931</v>
      </c>
      <c r="Z32" s="4">
        <f t="shared" si="117"/>
        <v>5.6754370000000058</v>
      </c>
      <c r="AA32" s="4">
        <f t="shared" si="117"/>
        <v>6.3015399999999886</v>
      </c>
      <c r="AB32" s="4">
        <f t="shared" ref="AB32:AM32" ca="1" si="118">AB41+AB56</f>
        <v>3.9490672827562654</v>
      </c>
      <c r="AC32" s="4">
        <f t="shared" ca="1" si="118"/>
        <v>3.5365097881316765</v>
      </c>
      <c r="AD32" s="4">
        <f t="shared" ca="1" si="118"/>
        <v>3.3623070495838103</v>
      </c>
      <c r="AE32" s="4">
        <f t="shared" ca="1" si="118"/>
        <v>3.3038551576050432</v>
      </c>
      <c r="AF32" s="4">
        <f t="shared" ca="1" si="118"/>
        <v>3.9711985857049541</v>
      </c>
      <c r="AG32" s="4">
        <f t="shared" ca="1" si="118"/>
        <v>3.6196429925209856</v>
      </c>
      <c r="AH32" s="4">
        <f t="shared" ca="1" si="118"/>
        <v>3.5327420110874765</v>
      </c>
      <c r="AI32" s="4">
        <f t="shared" ca="1" si="118"/>
        <v>3.5476287443641494</v>
      </c>
      <c r="AJ32" s="4">
        <f t="shared" ca="1" si="118"/>
        <v>3.602800890919037</v>
      </c>
      <c r="AK32" s="4">
        <f t="shared" ca="1" si="118"/>
        <v>3.673573839771151</v>
      </c>
      <c r="AL32" s="4">
        <f t="shared" ca="1" si="118"/>
        <v>3.7516003079689875</v>
      </c>
      <c r="AM32" s="4">
        <f t="shared" ca="1" si="118"/>
        <v>3.8320300033259387</v>
      </c>
      <c r="AN32" s="4">
        <f t="shared" ref="AN32:AY32" ca="1" si="119">AN41+AN56</f>
        <v>3.9128616609079772</v>
      </c>
      <c r="AO32" s="4">
        <f t="shared" ca="1" si="119"/>
        <v>3.9932091976305109</v>
      </c>
      <c r="AP32" s="4">
        <f t="shared" ca="1" si="119"/>
        <v>4.074352062565243</v>
      </c>
      <c r="AQ32" s="4">
        <f t="shared" ca="1" si="119"/>
        <v>4.1551977805841185</v>
      </c>
      <c r="AR32" s="4">
        <f t="shared" ca="1" si="119"/>
        <v>4.2352409077210744</v>
      </c>
      <c r="AS32" s="4">
        <f t="shared" ca="1" si="119"/>
        <v>4.3141901949873063</v>
      </c>
      <c r="AT32" s="4">
        <f t="shared" ca="1" si="119"/>
        <v>4.3937067983704416</v>
      </c>
      <c r="AU32" s="4">
        <f t="shared" ca="1" si="119"/>
        <v>4.4727237337349086</v>
      </c>
      <c r="AV32" s="4">
        <f t="shared" ca="1" si="119"/>
        <v>4.5507441267816464</v>
      </c>
      <c r="AW32" s="4">
        <f t="shared" ca="1" si="119"/>
        <v>4.6274783888947528</v>
      </c>
      <c r="AX32" s="4">
        <f t="shared" ca="1" si="119"/>
        <v>4.7047433374685381</v>
      </c>
      <c r="AY32" s="4">
        <f t="shared" ca="1" si="119"/>
        <v>4.7813940057311664</v>
      </c>
      <c r="AZ32" s="24"/>
      <c r="BA32" s="4"/>
      <c r="BB32" s="4"/>
      <c r="BC32" s="4"/>
      <c r="BD32" s="4"/>
      <c r="BE32" s="4"/>
      <c r="BF32" s="4"/>
      <c r="BG32" s="4"/>
      <c r="BH32" s="4"/>
      <c r="BI32" s="4"/>
      <c r="BJ32" s="4"/>
      <c r="BK32" s="4"/>
      <c r="BL32" s="4"/>
      <c r="BM32" s="4"/>
      <c r="BN32" s="4"/>
    </row>
    <row r="33" spans="1:75">
      <c r="A33" s="58"/>
      <c r="B33" s="58" t="s">
        <v>422</v>
      </c>
      <c r="C33" s="4"/>
      <c r="D33" s="24"/>
      <c r="E33" s="24"/>
      <c r="F33" s="24"/>
      <c r="G33" s="2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24"/>
      <c r="BA33" s="4"/>
      <c r="BB33" s="4"/>
      <c r="BC33" s="4"/>
      <c r="BD33" s="4"/>
      <c r="BE33" s="4"/>
      <c r="BF33" s="4"/>
      <c r="BG33" s="4"/>
      <c r="BH33" s="4"/>
      <c r="BI33" s="4"/>
      <c r="BJ33" s="4"/>
      <c r="BK33" s="4"/>
      <c r="BL33" s="4"/>
      <c r="BM33" s="4"/>
      <c r="BN33" s="4"/>
    </row>
    <row r="34" spans="1:75">
      <c r="C34" s="4"/>
      <c r="D34" s="24"/>
      <c r="E34" s="24"/>
      <c r="F34" s="24"/>
      <c r="G34" s="2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24"/>
      <c r="BA34" s="4"/>
      <c r="BB34" s="4"/>
      <c r="BC34" s="4"/>
      <c r="BD34" s="4"/>
      <c r="BE34" s="4"/>
      <c r="BF34" s="4"/>
      <c r="BG34" s="4"/>
      <c r="BH34" s="4"/>
      <c r="BI34" s="4"/>
      <c r="BJ34" s="4"/>
      <c r="BK34" s="4"/>
      <c r="BL34" s="4"/>
      <c r="BM34" s="4"/>
      <c r="BN34" s="4"/>
    </row>
    <row r="35" spans="1:75" s="8" customFormat="1">
      <c r="A35"/>
      <c r="B35" t="s">
        <v>108</v>
      </c>
      <c r="D35" s="26"/>
      <c r="E35" s="26"/>
      <c r="F35" s="26"/>
      <c r="G35" s="26"/>
      <c r="H35" s="15">
        <v>7.0000000000000001E-3</v>
      </c>
      <c r="I35" s="15">
        <v>8.0000000000000002E-3</v>
      </c>
      <c r="J35" s="15">
        <v>1.2999999999999999E-2</v>
      </c>
      <c r="K35" s="15">
        <v>2.3E-2</v>
      </c>
      <c r="L35" s="15">
        <v>1.4E-2</v>
      </c>
      <c r="M35" s="15">
        <v>1.9E-2</v>
      </c>
      <c r="N35" s="15">
        <v>1.0999999999999999E-2</v>
      </c>
      <c r="O35" s="15">
        <v>1.0999999999999999E-2</v>
      </c>
      <c r="P35" s="15">
        <v>4.0000000000000001E-3</v>
      </c>
      <c r="Q35" s="15">
        <v>4.0000000000000001E-3</v>
      </c>
      <c r="R35" s="15">
        <v>8.0000000000000002E-3</v>
      </c>
      <c r="S35" s="15">
        <v>2.1999999999999999E-2</v>
      </c>
      <c r="T35" s="15">
        <v>2.3E-2</v>
      </c>
      <c r="U35" s="15">
        <v>1.2999999999999999E-2</v>
      </c>
      <c r="V35" s="15">
        <v>1.0999999999999999E-2</v>
      </c>
      <c r="W35" s="15">
        <v>7.0000000000000001E-3</v>
      </c>
      <c r="X35" s="15">
        <v>3.3000000000000002E-2</v>
      </c>
      <c r="Y35" s="15">
        <v>0.01</v>
      </c>
      <c r="Z35" s="15">
        <v>1.2999999999999999E-2</v>
      </c>
      <c r="AA35" s="15">
        <v>2.8000000000000001E-2</v>
      </c>
      <c r="AB35" s="16">
        <f t="shared" ref="AB35:AY35" ca="1" si="120">+OFFSET(AB35,$C$5,0)</f>
        <v>3.4000000000000002E-2</v>
      </c>
      <c r="AC35" s="16">
        <f t="shared" ca="1" si="120"/>
        <v>2.1000000000000001E-2</v>
      </c>
      <c r="AD35" s="16">
        <f t="shared" ca="1" si="120"/>
        <v>2.1000000000000001E-2</v>
      </c>
      <c r="AE35" s="16">
        <f t="shared" ca="1" si="120"/>
        <v>2.1000000000000001E-2</v>
      </c>
      <c r="AF35" s="16">
        <f t="shared" ca="1" si="120"/>
        <v>1.6E-2</v>
      </c>
      <c r="AG35" s="16">
        <f t="shared" ca="1" si="120"/>
        <v>1.2500000000000001E-2</v>
      </c>
      <c r="AH35" s="16">
        <f t="shared" ca="1" si="120"/>
        <v>1.2500000000000001E-2</v>
      </c>
      <c r="AI35" s="16">
        <f t="shared" ca="1" si="120"/>
        <v>1.2500000000000001E-2</v>
      </c>
      <c r="AJ35" s="16">
        <f t="shared" ca="1" si="120"/>
        <v>1.2500000000000001E-2</v>
      </c>
      <c r="AK35" s="16">
        <f t="shared" ca="1" si="120"/>
        <v>1.2500000000000001E-2</v>
      </c>
      <c r="AL35" s="16">
        <f t="shared" ca="1" si="120"/>
        <v>1.2500000000000001E-2</v>
      </c>
      <c r="AM35" s="16">
        <f t="shared" ca="1" si="120"/>
        <v>1.2500000000000001E-2</v>
      </c>
      <c r="AN35" s="16">
        <f t="shared" ca="1" si="120"/>
        <v>1.2500000000000001E-2</v>
      </c>
      <c r="AO35" s="16">
        <f t="shared" ca="1" si="120"/>
        <v>1.2500000000000001E-2</v>
      </c>
      <c r="AP35" s="16">
        <f t="shared" ca="1" si="120"/>
        <v>1.2500000000000001E-2</v>
      </c>
      <c r="AQ35" s="16">
        <f t="shared" ca="1" si="120"/>
        <v>1.2500000000000001E-2</v>
      </c>
      <c r="AR35" s="16">
        <f t="shared" ca="1" si="120"/>
        <v>1.2500000000000001E-2</v>
      </c>
      <c r="AS35" s="16">
        <f t="shared" ca="1" si="120"/>
        <v>1.2500000000000001E-2</v>
      </c>
      <c r="AT35" s="16">
        <f t="shared" ca="1" si="120"/>
        <v>1.2500000000000001E-2</v>
      </c>
      <c r="AU35" s="16">
        <f t="shared" ca="1" si="120"/>
        <v>1.2500000000000001E-2</v>
      </c>
      <c r="AV35" s="16">
        <f t="shared" ca="1" si="120"/>
        <v>1.2500000000000001E-2</v>
      </c>
      <c r="AW35" s="16">
        <f t="shared" ca="1" si="120"/>
        <v>1.2500000000000001E-2</v>
      </c>
      <c r="AX35" s="16">
        <f t="shared" ca="1" si="120"/>
        <v>1.2500000000000001E-2</v>
      </c>
      <c r="AY35" s="16">
        <f t="shared" ca="1" si="120"/>
        <v>1.2500000000000001E-2</v>
      </c>
      <c r="AZ35" s="25"/>
      <c r="BA35" s="16"/>
      <c r="BB35" s="16"/>
      <c r="BC35" s="16"/>
      <c r="BD35" s="16"/>
      <c r="BE35" s="16"/>
      <c r="BF35" s="16"/>
      <c r="BG35" s="16"/>
      <c r="BH35" s="16"/>
      <c r="BI35" s="16"/>
      <c r="BJ35" s="16"/>
      <c r="BK35" s="16"/>
      <c r="BL35" s="16"/>
      <c r="BM35" s="16"/>
      <c r="BN35" s="16"/>
      <c r="BO35" s="25"/>
      <c r="BQ35" s="231"/>
      <c r="BR35"/>
      <c r="BS35"/>
      <c r="BT35"/>
      <c r="BU35"/>
      <c r="BV35"/>
      <c r="BW35"/>
    </row>
    <row r="36" spans="1:75" s="25" customFormat="1">
      <c r="A36" s="22"/>
      <c r="B36" s="22"/>
      <c r="D36" s="26"/>
      <c r="E36" s="26"/>
      <c r="F36" s="26"/>
      <c r="G36" s="26"/>
      <c r="H36" s="26"/>
      <c r="I36" s="26"/>
      <c r="J36" s="26"/>
      <c r="K36" s="26"/>
      <c r="L36" s="26"/>
      <c r="M36" s="26"/>
      <c r="N36" s="26"/>
      <c r="O36" s="26"/>
      <c r="P36" s="26"/>
      <c r="Q36" s="26"/>
      <c r="R36" s="26"/>
      <c r="S36" s="26"/>
      <c r="T36" s="26"/>
      <c r="U36" s="26"/>
      <c r="V36" s="26"/>
      <c r="W36" s="26"/>
      <c r="X36" s="26"/>
      <c r="Y36" s="26"/>
      <c r="Z36" s="26"/>
      <c r="AA36" s="26"/>
      <c r="AB36" s="107">
        <f t="shared" ref="AB36:AY36" si="121">+AB37-0.00075</f>
        <v>3.3250000000000002E-2</v>
      </c>
      <c r="AC36" s="107">
        <f t="shared" si="121"/>
        <v>2.0250000000000001E-2</v>
      </c>
      <c r="AD36" s="107">
        <f t="shared" si="121"/>
        <v>2.0250000000000001E-2</v>
      </c>
      <c r="AE36" s="107">
        <f t="shared" si="121"/>
        <v>2.0250000000000001E-2</v>
      </c>
      <c r="AF36" s="107">
        <f t="shared" si="121"/>
        <v>1.525E-2</v>
      </c>
      <c r="AG36" s="107">
        <f t="shared" si="121"/>
        <v>1.175E-2</v>
      </c>
      <c r="AH36" s="107">
        <f t="shared" si="121"/>
        <v>1.175E-2</v>
      </c>
      <c r="AI36" s="107">
        <f t="shared" si="121"/>
        <v>1.175E-2</v>
      </c>
      <c r="AJ36" s="107">
        <f t="shared" si="121"/>
        <v>1.175E-2</v>
      </c>
      <c r="AK36" s="107">
        <f t="shared" si="121"/>
        <v>1.175E-2</v>
      </c>
      <c r="AL36" s="107">
        <f t="shared" si="121"/>
        <v>1.175E-2</v>
      </c>
      <c r="AM36" s="107">
        <f t="shared" si="121"/>
        <v>1.175E-2</v>
      </c>
      <c r="AN36" s="107">
        <f t="shared" si="121"/>
        <v>1.175E-2</v>
      </c>
      <c r="AO36" s="107">
        <f t="shared" si="121"/>
        <v>1.175E-2</v>
      </c>
      <c r="AP36" s="107">
        <f t="shared" si="121"/>
        <v>1.175E-2</v>
      </c>
      <c r="AQ36" s="107">
        <f t="shared" si="121"/>
        <v>1.175E-2</v>
      </c>
      <c r="AR36" s="107">
        <f t="shared" si="121"/>
        <v>1.175E-2</v>
      </c>
      <c r="AS36" s="107">
        <f t="shared" si="121"/>
        <v>1.175E-2</v>
      </c>
      <c r="AT36" s="107">
        <f t="shared" si="121"/>
        <v>1.175E-2</v>
      </c>
      <c r="AU36" s="107">
        <f t="shared" si="121"/>
        <v>1.175E-2</v>
      </c>
      <c r="AV36" s="107">
        <f t="shared" si="121"/>
        <v>1.175E-2</v>
      </c>
      <c r="AW36" s="107">
        <f t="shared" si="121"/>
        <v>1.175E-2</v>
      </c>
      <c r="AX36" s="107">
        <f t="shared" si="121"/>
        <v>1.175E-2</v>
      </c>
      <c r="AY36" s="107">
        <f t="shared" si="121"/>
        <v>1.175E-2</v>
      </c>
      <c r="BQ36" s="231"/>
      <c r="BR36"/>
      <c r="BS36"/>
      <c r="BT36"/>
      <c r="BU36"/>
      <c r="BV36"/>
      <c r="BW36"/>
    </row>
    <row r="37" spans="1:75" s="25" customFormat="1">
      <c r="A37" s="22"/>
      <c r="B37" s="22"/>
      <c r="D37" s="26"/>
      <c r="E37" s="26"/>
      <c r="F37" s="26"/>
      <c r="G37" s="26"/>
      <c r="H37" s="26"/>
      <c r="I37" s="26"/>
      <c r="J37" s="26"/>
      <c r="K37" s="26"/>
      <c r="L37" s="26"/>
      <c r="M37" s="26"/>
      <c r="N37" s="26"/>
      <c r="O37" s="26"/>
      <c r="P37" s="26"/>
      <c r="Q37" s="26"/>
      <c r="R37" s="26"/>
      <c r="S37" s="26"/>
      <c r="T37" s="26"/>
      <c r="U37" s="26"/>
      <c r="V37" s="26"/>
      <c r="W37" s="26"/>
      <c r="X37" s="26"/>
      <c r="Y37" s="26"/>
      <c r="Z37" s="26"/>
      <c r="AA37" s="26"/>
      <c r="AB37" s="317">
        <v>3.4000000000000002E-2</v>
      </c>
      <c r="AC37" s="317">
        <v>2.1000000000000001E-2</v>
      </c>
      <c r="AD37" s="107">
        <f t="shared" ref="AD37:AM37" si="122">+AC37</f>
        <v>2.1000000000000001E-2</v>
      </c>
      <c r="AE37" s="107">
        <f t="shared" si="122"/>
        <v>2.1000000000000001E-2</v>
      </c>
      <c r="AF37" s="317">
        <v>1.6E-2</v>
      </c>
      <c r="AG37" s="317">
        <v>1.2500000000000001E-2</v>
      </c>
      <c r="AH37" s="107">
        <f t="shared" si="122"/>
        <v>1.2500000000000001E-2</v>
      </c>
      <c r="AI37" s="107">
        <f t="shared" si="122"/>
        <v>1.2500000000000001E-2</v>
      </c>
      <c r="AJ37" s="107">
        <f t="shared" si="122"/>
        <v>1.2500000000000001E-2</v>
      </c>
      <c r="AK37" s="107">
        <f t="shared" si="122"/>
        <v>1.2500000000000001E-2</v>
      </c>
      <c r="AL37" s="107">
        <f t="shared" si="122"/>
        <v>1.2500000000000001E-2</v>
      </c>
      <c r="AM37" s="107">
        <f t="shared" si="122"/>
        <v>1.2500000000000001E-2</v>
      </c>
      <c r="AN37" s="107">
        <f t="shared" ref="AN37" si="123">+AM37</f>
        <v>1.2500000000000001E-2</v>
      </c>
      <c r="AO37" s="107">
        <f t="shared" ref="AO37" si="124">+AN37</f>
        <v>1.2500000000000001E-2</v>
      </c>
      <c r="AP37" s="107">
        <f t="shared" ref="AP37" si="125">+AO37</f>
        <v>1.2500000000000001E-2</v>
      </c>
      <c r="AQ37" s="107">
        <f t="shared" ref="AQ37" si="126">+AP37</f>
        <v>1.2500000000000001E-2</v>
      </c>
      <c r="AR37" s="107">
        <f t="shared" ref="AR37" si="127">+AQ37</f>
        <v>1.2500000000000001E-2</v>
      </c>
      <c r="AS37" s="107">
        <f t="shared" ref="AS37" si="128">+AR37</f>
        <v>1.2500000000000001E-2</v>
      </c>
      <c r="AT37" s="107">
        <f t="shared" ref="AT37" si="129">+AS37</f>
        <v>1.2500000000000001E-2</v>
      </c>
      <c r="AU37" s="107">
        <f t="shared" ref="AU37" si="130">+AT37</f>
        <v>1.2500000000000001E-2</v>
      </c>
      <c r="AV37" s="107">
        <f t="shared" ref="AV37" si="131">+AU37</f>
        <v>1.2500000000000001E-2</v>
      </c>
      <c r="AW37" s="107">
        <f t="shared" ref="AW37" si="132">+AV37</f>
        <v>1.2500000000000001E-2</v>
      </c>
      <c r="AX37" s="107">
        <f t="shared" ref="AX37" si="133">+AW37</f>
        <v>1.2500000000000001E-2</v>
      </c>
      <c r="AY37" s="107">
        <f t="shared" ref="AY37" si="134">+AX37</f>
        <v>1.2500000000000001E-2</v>
      </c>
      <c r="BQ37" s="231"/>
      <c r="BR37"/>
      <c r="BS37"/>
      <c r="BT37"/>
      <c r="BU37"/>
      <c r="BV37"/>
      <c r="BW37"/>
    </row>
    <row r="38" spans="1:75" s="25" customFormat="1">
      <c r="A38" s="22"/>
      <c r="B38" s="22"/>
      <c r="D38" s="26"/>
      <c r="E38" s="26"/>
      <c r="F38" s="26"/>
      <c r="G38" s="26"/>
      <c r="H38" s="26"/>
      <c r="I38" s="26"/>
      <c r="J38" s="26"/>
      <c r="K38" s="26"/>
      <c r="L38" s="26"/>
      <c r="M38" s="26"/>
      <c r="N38" s="26"/>
      <c r="O38" s="26"/>
      <c r="P38" s="26"/>
      <c r="Q38" s="26"/>
      <c r="R38" s="26"/>
      <c r="S38" s="26"/>
      <c r="T38" s="26"/>
      <c r="U38" s="26"/>
      <c r="V38" s="26"/>
      <c r="W38" s="26"/>
      <c r="X38" s="26"/>
      <c r="Y38" s="26"/>
      <c r="Z38" s="26"/>
      <c r="AA38" s="26"/>
      <c r="AB38" s="107">
        <f t="shared" ref="AB38:AM38" si="135">+AB37+0.005</f>
        <v>3.9E-2</v>
      </c>
      <c r="AC38" s="107">
        <f t="shared" si="135"/>
        <v>2.6000000000000002E-2</v>
      </c>
      <c r="AD38" s="107">
        <f t="shared" si="135"/>
        <v>2.6000000000000002E-2</v>
      </c>
      <c r="AE38" s="107">
        <f t="shared" si="135"/>
        <v>2.6000000000000002E-2</v>
      </c>
      <c r="AF38" s="107">
        <f t="shared" si="135"/>
        <v>2.1000000000000001E-2</v>
      </c>
      <c r="AG38" s="107">
        <f t="shared" si="135"/>
        <v>1.7500000000000002E-2</v>
      </c>
      <c r="AH38" s="107">
        <f t="shared" si="135"/>
        <v>1.7500000000000002E-2</v>
      </c>
      <c r="AI38" s="107">
        <f t="shared" si="135"/>
        <v>1.7500000000000002E-2</v>
      </c>
      <c r="AJ38" s="107">
        <f t="shared" si="135"/>
        <v>1.7500000000000002E-2</v>
      </c>
      <c r="AK38" s="107">
        <f t="shared" si="135"/>
        <v>1.7500000000000002E-2</v>
      </c>
      <c r="AL38" s="107">
        <f t="shared" si="135"/>
        <v>1.7500000000000002E-2</v>
      </c>
      <c r="AM38" s="107">
        <f t="shared" si="135"/>
        <v>1.7500000000000002E-2</v>
      </c>
      <c r="AN38" s="107">
        <f t="shared" ref="AN38:AY38" si="136">+AN37+0.005</f>
        <v>1.7500000000000002E-2</v>
      </c>
      <c r="AO38" s="107">
        <f t="shared" si="136"/>
        <v>1.7500000000000002E-2</v>
      </c>
      <c r="AP38" s="107">
        <f t="shared" si="136"/>
        <v>1.7500000000000002E-2</v>
      </c>
      <c r="AQ38" s="107">
        <f t="shared" si="136"/>
        <v>1.7500000000000002E-2</v>
      </c>
      <c r="AR38" s="107">
        <f t="shared" si="136"/>
        <v>1.7500000000000002E-2</v>
      </c>
      <c r="AS38" s="107">
        <f t="shared" si="136"/>
        <v>1.7500000000000002E-2</v>
      </c>
      <c r="AT38" s="107">
        <f t="shared" si="136"/>
        <v>1.7500000000000002E-2</v>
      </c>
      <c r="AU38" s="107">
        <f t="shared" si="136"/>
        <v>1.7500000000000002E-2</v>
      </c>
      <c r="AV38" s="107">
        <f t="shared" si="136"/>
        <v>1.7500000000000002E-2</v>
      </c>
      <c r="AW38" s="107">
        <f t="shared" si="136"/>
        <v>1.7500000000000002E-2</v>
      </c>
      <c r="AX38" s="107">
        <f t="shared" si="136"/>
        <v>1.7500000000000002E-2</v>
      </c>
      <c r="AY38" s="107">
        <f t="shared" si="136"/>
        <v>1.7500000000000002E-2</v>
      </c>
      <c r="BQ38" s="231"/>
      <c r="BR38"/>
      <c r="BS38"/>
      <c r="BT38"/>
      <c r="BU38"/>
      <c r="BV38"/>
      <c r="BW38"/>
    </row>
    <row r="39" spans="1:75">
      <c r="B39" t="s">
        <v>106</v>
      </c>
      <c r="C39" s="4"/>
      <c r="D39" s="8"/>
      <c r="E39" s="8"/>
      <c r="F39" s="8"/>
      <c r="G39" s="8"/>
      <c r="H39" s="8">
        <f>+(H35+1)^4-1</f>
        <v>2.8295374400999496E-2</v>
      </c>
      <c r="I39" s="8">
        <f>+(I35+1)^4-1</f>
        <v>3.2386052096000206E-2</v>
      </c>
      <c r="J39" s="8">
        <f>+(J35+1)^4-1</f>
        <v>5.302281656099983E-2</v>
      </c>
      <c r="K39" s="8">
        <f t="shared" ref="K39:P39" si="137">+(K35+1)^4-1</f>
        <v>9.5222947840999606E-2</v>
      </c>
      <c r="L39" s="8">
        <f t="shared" si="137"/>
        <v>5.718701441600027E-2</v>
      </c>
      <c r="M39" s="8">
        <f t="shared" si="137"/>
        <v>7.819356632099983E-2</v>
      </c>
      <c r="N39" s="8">
        <f t="shared" si="137"/>
        <v>4.4731338640999763E-2</v>
      </c>
      <c r="O39" s="8">
        <f t="shared" si="137"/>
        <v>4.4731338640999763E-2</v>
      </c>
      <c r="P39" s="8">
        <f t="shared" si="137"/>
        <v>1.6096256256000085E-2</v>
      </c>
      <c r="Q39" s="8">
        <f t="shared" ref="Q39:V39" si="138">+(Q35+1)^4-1</f>
        <v>1.6096256256000085E-2</v>
      </c>
      <c r="R39" s="8">
        <f t="shared" si="138"/>
        <v>3.2386052096000206E-2</v>
      </c>
      <c r="S39" s="8">
        <f t="shared" si="138"/>
        <v>9.0946826256000035E-2</v>
      </c>
      <c r="T39" s="8">
        <f t="shared" si="138"/>
        <v>9.5222947840999606E-2</v>
      </c>
      <c r="U39" s="8">
        <f t="shared" si="138"/>
        <v>5.302281656099983E-2</v>
      </c>
      <c r="V39" s="8">
        <f t="shared" si="138"/>
        <v>4.4731338640999763E-2</v>
      </c>
      <c r="W39" s="8">
        <f>+(W35+1)^4-1</f>
        <v>2.8295374400999496E-2</v>
      </c>
      <c r="X39" s="8">
        <f>+(X35+1)^4-1</f>
        <v>0.1386789339209995</v>
      </c>
      <c r="Y39" s="8">
        <f>+(Y35+1)^4-1</f>
        <v>4.0604010000000024E-2</v>
      </c>
      <c r="Z39" s="8">
        <f>+(Z35+1)^4-1</f>
        <v>5.302281656099983E-2</v>
      </c>
      <c r="AA39" s="8">
        <f>+(AA35+1)^4-1</f>
        <v>0.11679242265599998</v>
      </c>
      <c r="AB39" s="8">
        <f t="shared" ref="AB39:AM39" ca="1" si="139">+(AB35+1)^4-1</f>
        <v>0.14309455233599988</v>
      </c>
      <c r="AC39" s="8">
        <f t="shared" ca="1" si="139"/>
        <v>8.6683238480999458E-2</v>
      </c>
      <c r="AD39" s="8">
        <f t="shared" ca="1" si="139"/>
        <v>8.6683238480999458E-2</v>
      </c>
      <c r="AE39" s="8">
        <f t="shared" ca="1" si="139"/>
        <v>8.6683238480999458E-2</v>
      </c>
      <c r="AF39" s="8">
        <f t="shared" ca="1" si="139"/>
        <v>6.5552449536000035E-2</v>
      </c>
      <c r="AG39" s="8">
        <f t="shared" ca="1" si="139"/>
        <v>5.0945336914062445E-2</v>
      </c>
      <c r="AH39" s="8">
        <f t="shared" ca="1" si="139"/>
        <v>5.0945336914062445E-2</v>
      </c>
      <c r="AI39" s="8">
        <f t="shared" ca="1" si="139"/>
        <v>5.0945336914062445E-2</v>
      </c>
      <c r="AJ39" s="8">
        <f t="shared" ca="1" si="139"/>
        <v>5.0945336914062445E-2</v>
      </c>
      <c r="AK39" s="8">
        <f t="shared" ca="1" si="139"/>
        <v>5.0945336914062445E-2</v>
      </c>
      <c r="AL39" s="8">
        <f t="shared" ca="1" si="139"/>
        <v>5.0945336914062445E-2</v>
      </c>
      <c r="AM39" s="8">
        <f t="shared" ca="1" si="139"/>
        <v>5.0945336914062445E-2</v>
      </c>
      <c r="AN39" s="8">
        <f t="shared" ref="AN39:AY39" ca="1" si="140">+(AN35+1)^4-1</f>
        <v>5.0945336914062445E-2</v>
      </c>
      <c r="AO39" s="8">
        <f t="shared" ca="1" si="140"/>
        <v>5.0945336914062445E-2</v>
      </c>
      <c r="AP39" s="8">
        <f t="shared" ca="1" si="140"/>
        <v>5.0945336914062445E-2</v>
      </c>
      <c r="AQ39" s="8">
        <f t="shared" ca="1" si="140"/>
        <v>5.0945336914062445E-2</v>
      </c>
      <c r="AR39" s="8">
        <f t="shared" ca="1" si="140"/>
        <v>5.0945336914062445E-2</v>
      </c>
      <c r="AS39" s="8">
        <f t="shared" ca="1" si="140"/>
        <v>5.0945336914062445E-2</v>
      </c>
      <c r="AT39" s="8">
        <f t="shared" ca="1" si="140"/>
        <v>5.0945336914062445E-2</v>
      </c>
      <c r="AU39" s="8">
        <f t="shared" ca="1" si="140"/>
        <v>5.0945336914062445E-2</v>
      </c>
      <c r="AV39" s="8">
        <f t="shared" ca="1" si="140"/>
        <v>5.0945336914062445E-2</v>
      </c>
      <c r="AW39" s="8">
        <f t="shared" ca="1" si="140"/>
        <v>5.0945336914062445E-2</v>
      </c>
      <c r="AX39" s="8">
        <f t="shared" ca="1" si="140"/>
        <v>5.0945336914062445E-2</v>
      </c>
      <c r="AY39" s="8">
        <f t="shared" ca="1" si="140"/>
        <v>5.0945336914062445E-2</v>
      </c>
      <c r="AZ39" s="25"/>
      <c r="BA39" s="8"/>
      <c r="BB39" s="8"/>
      <c r="BC39" s="8"/>
      <c r="BD39" s="8">
        <f>+AVERAGE(H39:K39)</f>
        <v>5.2231797724749784E-2</v>
      </c>
      <c r="BE39" s="8">
        <f>+AVERAGE(L39:O39)</f>
        <v>5.6210814504749906E-2</v>
      </c>
      <c r="BF39" s="8">
        <f>+AVERAGE(P39:S39)</f>
        <v>3.8881347716000103E-2</v>
      </c>
      <c r="BG39" s="8">
        <f>+AVERAGE(T39:W39)</f>
        <v>5.5318119360999674E-2</v>
      </c>
      <c r="BH39" s="8">
        <f>+AVERAGE(X39:AA39)</f>
        <v>8.7274545784499835E-2</v>
      </c>
      <c r="BI39" s="8">
        <f ca="1">+AVERAGE(AB39:AE39)</f>
        <v>0.10078606694474956</v>
      </c>
      <c r="BJ39" s="8">
        <f ca="1">+AVERAGE(AF39:AI39)</f>
        <v>5.4597115069546842E-2</v>
      </c>
      <c r="BK39" s="8">
        <f ca="1">+AVERAGE(AJ39:AM39)</f>
        <v>5.0945336914062445E-2</v>
      </c>
      <c r="BL39" s="8">
        <f ca="1">+AVERAGE(AN39:AQ39)</f>
        <v>5.0945336914062445E-2</v>
      </c>
      <c r="BM39" s="8">
        <f ca="1">+AVERAGE(AR39:AU39)</f>
        <v>5.0945336914062445E-2</v>
      </c>
      <c r="BN39" s="8">
        <f ca="1">+AVERAGE(AV39:AY39)</f>
        <v>5.0945336914062445E-2</v>
      </c>
    </row>
    <row r="40" spans="1:7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24"/>
      <c r="BA40" s="4"/>
      <c r="BB40" s="4"/>
      <c r="BC40" s="4"/>
      <c r="BD40" s="4"/>
      <c r="BE40" s="4"/>
      <c r="BF40" s="4"/>
      <c r="BG40" s="4"/>
      <c r="BH40" s="4"/>
      <c r="BI40" s="4"/>
      <c r="BJ40" s="4"/>
      <c r="BK40" s="4"/>
      <c r="BL40" s="4"/>
      <c r="BM40" s="4"/>
      <c r="BN40" s="4"/>
    </row>
    <row r="41" spans="1:75">
      <c r="B41" s="58" t="s">
        <v>457</v>
      </c>
      <c r="C41" s="4"/>
      <c r="D41" s="4"/>
      <c r="E41" s="4"/>
      <c r="F41" s="4"/>
      <c r="G41" s="4"/>
      <c r="H41" s="4"/>
      <c r="I41" s="4"/>
      <c r="J41" s="4"/>
      <c r="K41" s="4"/>
      <c r="L41" s="4"/>
      <c r="M41" s="4"/>
      <c r="N41" s="4"/>
      <c r="O41" s="4">
        <f t="shared" ref="O41:X41" si="141">+(O42-O42*(1-O44))/4</f>
        <v>5.0499562499999984E-2</v>
      </c>
      <c r="P41" s="4">
        <f t="shared" si="141"/>
        <v>1.6281554999999948E-2</v>
      </c>
      <c r="Q41" s="4">
        <f t="shared" si="141"/>
        <v>9.5526659250000145E-2</v>
      </c>
      <c r="R41" s="4">
        <f t="shared" si="141"/>
        <v>2.0604262500000026E-2</v>
      </c>
      <c r="S41" s="4">
        <f t="shared" si="141"/>
        <v>5.3642865500000081E-2</v>
      </c>
      <c r="T41" s="4">
        <f t="shared" si="141"/>
        <v>-0.14681571324999965</v>
      </c>
      <c r="U41" s="4">
        <f t="shared" si="141"/>
        <v>3.5917074999999965E-2</v>
      </c>
      <c r="V41" s="4">
        <f t="shared" si="141"/>
        <v>2.1362544000000039E-2</v>
      </c>
      <c r="W41" s="4">
        <f t="shared" si="141"/>
        <v>0.17530572300000014</v>
      </c>
      <c r="X41" s="4">
        <f t="shared" si="141"/>
        <v>5.0713253500000111E-2</v>
      </c>
      <c r="Y41" s="4">
        <f>+(Y42-Y42*(1-Y44))/4</f>
        <v>4.7079157499999802E-2</v>
      </c>
      <c r="Z41" s="4">
        <f>+(Z42-Z42*(1-Z44))/4</f>
        <v>5.9809443749999858E-2</v>
      </c>
      <c r="AA41" s="4">
        <f>+(AA42-AA42*(1-AA44))/4</f>
        <v>4.5967427999999977E-2</v>
      </c>
      <c r="AB41" s="4">
        <f t="shared" ref="AB41:AM41" ca="1" si="142">+(AB42-AB42*(1-AB44))/4</f>
        <v>5.0065282756265539E-2</v>
      </c>
      <c r="AC41" s="4">
        <f t="shared" ca="1" si="142"/>
        <v>4.8777085423343358E-2</v>
      </c>
      <c r="AD41" s="4">
        <f t="shared" ca="1" si="142"/>
        <v>4.9444361467143594E-2</v>
      </c>
      <c r="AE41" s="4">
        <f t="shared" ca="1" si="142"/>
        <v>5.0185542722485099E-2</v>
      </c>
      <c r="AF41" s="4">
        <f t="shared" ca="1" si="142"/>
        <v>7.1260579801526447E-2</v>
      </c>
      <c r="AG41" s="4">
        <f t="shared" ca="1" si="142"/>
        <v>6.3238147261374777E-2</v>
      </c>
      <c r="AH41" s="4">
        <f t="shared" ca="1" si="142"/>
        <v>6.5087457539747984E-2</v>
      </c>
      <c r="AI41" s="4">
        <f t="shared" ca="1" si="142"/>
        <v>6.6871403312265265E-2</v>
      </c>
      <c r="AJ41" s="4">
        <f t="shared" ca="1" si="142"/>
        <v>6.828840184631213E-2</v>
      </c>
      <c r="AK41" s="4">
        <f t="shared" ca="1" si="142"/>
        <v>6.9162070692270206E-2</v>
      </c>
      <c r="AL41" s="4">
        <f t="shared" ca="1" si="142"/>
        <v>7.0975472039381593E-2</v>
      </c>
      <c r="AM41" s="4">
        <f t="shared" ca="1" si="142"/>
        <v>7.2836596489780803E-2</v>
      </c>
      <c r="AN41" s="4">
        <f t="shared" ref="AN41:AY41" ca="1" si="143">+(AN42-AN42*(1-AN44))/4</f>
        <v>7.4352710025567426E-2</v>
      </c>
      <c r="AO41" s="4">
        <f t="shared" ca="1" si="143"/>
        <v>7.530541843688443E-2</v>
      </c>
      <c r="AP41" s="4">
        <f t="shared" ca="1" si="143"/>
        <v>7.7264570609786531E-2</v>
      </c>
      <c r="AQ41" s="4">
        <f t="shared" ca="1" si="143"/>
        <v>7.9276215649469073E-2</v>
      </c>
      <c r="AR41" s="4">
        <f t="shared" ca="1" si="143"/>
        <v>8.0911718985364978E-2</v>
      </c>
      <c r="AS41" s="4">
        <f t="shared" ca="1" si="143"/>
        <v>8.1930988724923992E-2</v>
      </c>
      <c r="AT41" s="4">
        <f t="shared" ca="1" si="143"/>
        <v>8.4035111623176562E-2</v>
      </c>
      <c r="AU41" s="4">
        <f t="shared" ca="1" si="143"/>
        <v>8.6191581864881961E-2</v>
      </c>
      <c r="AV41" s="4">
        <f t="shared" ca="1" si="143"/>
        <v>8.793486643549997E-2</v>
      </c>
      <c r="AW41" s="4">
        <f t="shared" ca="1" si="143"/>
        <v>8.9004515184471167E-2</v>
      </c>
      <c r="AX41" s="4">
        <f t="shared" ca="1" si="143"/>
        <v>9.1244664916282581E-2</v>
      </c>
      <c r="AY41" s="4">
        <f t="shared" ca="1" si="143"/>
        <v>9.3536014657720656E-2</v>
      </c>
      <c r="AZ41" s="24"/>
      <c r="BA41" s="4"/>
      <c r="BB41" s="4"/>
      <c r="BC41" s="4"/>
      <c r="BD41" s="4"/>
      <c r="BE41" s="4"/>
      <c r="BF41" s="4"/>
      <c r="BG41" s="4"/>
      <c r="BH41" s="4"/>
      <c r="BI41" s="4"/>
      <c r="BJ41" s="4"/>
      <c r="BK41" s="4"/>
      <c r="BL41" s="4"/>
      <c r="BM41" s="4"/>
      <c r="BN41" s="4"/>
    </row>
    <row r="42" spans="1:75">
      <c r="B42" s="309" t="s">
        <v>456</v>
      </c>
      <c r="C42" s="4"/>
      <c r="D42" s="7"/>
      <c r="E42" s="7"/>
      <c r="F42" s="7"/>
      <c r="G42" s="7"/>
      <c r="H42" s="7"/>
      <c r="I42" s="7"/>
      <c r="J42" s="7"/>
      <c r="K42" s="7"/>
      <c r="L42" s="7"/>
      <c r="M42" s="7"/>
      <c r="N42" s="7"/>
      <c r="O42" s="7">
        <v>5.9411250000000004</v>
      </c>
      <c r="P42" s="7">
        <v>5.4271849999999997</v>
      </c>
      <c r="Q42" s="7">
        <v>7.4922870000000001</v>
      </c>
      <c r="R42" s="7">
        <v>9.1574500000000008</v>
      </c>
      <c r="S42" s="7">
        <v>9.3291939999999993</v>
      </c>
      <c r="T42" s="7">
        <v>15.871969</v>
      </c>
      <c r="U42" s="28">
        <v>7.1834150000000001</v>
      </c>
      <c r="V42" s="28">
        <v>10.681272</v>
      </c>
      <c r="W42" s="28">
        <v>14.919636000000001</v>
      </c>
      <c r="X42" s="28">
        <v>7.8020389999999997</v>
      </c>
      <c r="Y42" s="28">
        <v>18.831662999999999</v>
      </c>
      <c r="Z42" s="28">
        <v>11.392275</v>
      </c>
      <c r="AA42" s="28">
        <v>15.322476</v>
      </c>
      <c r="AB42" s="10">
        <f t="shared" ref="AB42:AM42" ca="1" si="144">+AB43*AA18*(1+AB44)*4</f>
        <v>16.020890482005086</v>
      </c>
      <c r="AC42" s="10">
        <f t="shared" ca="1" si="144"/>
        <v>15.608667335469862</v>
      </c>
      <c r="AD42" s="10">
        <f t="shared" ca="1" si="144"/>
        <v>15.822195669485955</v>
      </c>
      <c r="AE42" s="10">
        <f t="shared" ca="1" si="144"/>
        <v>16.059373671195235</v>
      </c>
      <c r="AF42" s="10">
        <f t="shared" ca="1" si="144"/>
        <v>16.28813252606319</v>
      </c>
      <c r="AG42" s="10">
        <f t="shared" ca="1" si="144"/>
        <v>14.45443365974287</v>
      </c>
      <c r="AH42" s="10">
        <f t="shared" ca="1" si="144"/>
        <v>14.877133151942479</v>
      </c>
      <c r="AI42" s="10">
        <f t="shared" ca="1" si="144"/>
        <v>15.284892185660638</v>
      </c>
      <c r="AJ42" s="10">
        <f t="shared" ca="1" si="144"/>
        <v>15.60877756487141</v>
      </c>
      <c r="AK42" s="10">
        <f t="shared" ca="1" si="144"/>
        <v>15.808473301090395</v>
      </c>
      <c r="AL42" s="10">
        <f t="shared" ca="1" si="144"/>
        <v>16.222965037572934</v>
      </c>
      <c r="AM42" s="10">
        <f t="shared" ca="1" si="144"/>
        <v>16.64836491194994</v>
      </c>
      <c r="AN42" s="10">
        <f t="shared" ref="AN42" ca="1" si="145">+AN43*AM18*(1+AN44)*4</f>
        <v>16.994905148701196</v>
      </c>
      <c r="AO42" s="10">
        <f t="shared" ref="AO42" ca="1" si="146">+AO43*AN18*(1+AO44)*4</f>
        <v>17.212667071287836</v>
      </c>
      <c r="AP42" s="10">
        <f t="shared" ref="AP42" ca="1" si="147">+AP43*AO18*(1+AP44)*4</f>
        <v>17.660473282236882</v>
      </c>
      <c r="AQ42" s="10">
        <f t="shared" ref="AQ42" ca="1" si="148">+AQ43*AP18*(1+AQ44)*4</f>
        <v>18.120277862735897</v>
      </c>
      <c r="AR42" s="10">
        <f t="shared" ref="AR42" ca="1" si="149">+AR43*AQ18*(1+AR44)*4</f>
        <v>18.494107196654902</v>
      </c>
      <c r="AS42" s="10">
        <f t="shared" ref="AS42" ca="1" si="150">+AS43*AR18*(1+AS44)*4</f>
        <v>18.727083137125447</v>
      </c>
      <c r="AT42" s="10">
        <f t="shared" ref="AT42" ca="1" si="151">+AT43*AS18*(1+AT44)*4</f>
        <v>19.208025513869028</v>
      </c>
      <c r="AU42" s="10">
        <f t="shared" ref="AU42" ca="1" si="152">+AU43*AT18*(1+AU44)*4</f>
        <v>19.700932997687396</v>
      </c>
      <c r="AV42" s="10">
        <f t="shared" ref="AV42" ca="1" si="153">+AV43*AU18*(1+AV44)*4</f>
        <v>20.099398042400097</v>
      </c>
      <c r="AW42" s="10">
        <f t="shared" ref="AW42" ca="1" si="154">+AW43*AV18*(1+AW44)*4</f>
        <v>20.343889185022018</v>
      </c>
      <c r="AX42" s="10">
        <f t="shared" ref="AX42" ca="1" si="155">+AX43*AW18*(1+AX44)*4</f>
        <v>20.855923409436109</v>
      </c>
      <c r="AY42" s="10">
        <f t="shared" ref="AY42" ca="1" si="156">+AY43*AX18*(1+AY44)*4</f>
        <v>21.379660493193398</v>
      </c>
      <c r="AZ42" s="24"/>
      <c r="BA42" s="4"/>
      <c r="BB42" s="4"/>
      <c r="BC42" s="4"/>
      <c r="BD42" s="4"/>
      <c r="BE42" s="4"/>
      <c r="BF42" s="4"/>
      <c r="BG42" s="4"/>
      <c r="BH42" s="4"/>
      <c r="BI42" s="4"/>
      <c r="BJ42" s="4"/>
      <c r="BK42" s="4"/>
      <c r="BL42" s="4"/>
      <c r="BM42" s="4"/>
      <c r="BN42" s="4"/>
    </row>
    <row r="43" spans="1:75">
      <c r="B43" s="309" t="s">
        <v>455</v>
      </c>
      <c r="C43" s="4"/>
      <c r="D43" s="7"/>
      <c r="E43" s="7"/>
      <c r="F43" s="7"/>
      <c r="G43" s="7"/>
      <c r="H43" s="7"/>
      <c r="I43" s="7"/>
      <c r="J43" s="7"/>
      <c r="K43" s="7"/>
      <c r="L43" s="7"/>
      <c r="M43" s="7"/>
      <c r="N43" s="7"/>
      <c r="O43" s="8">
        <f t="shared" ref="O43:W43" si="157">+(O42*(1-O44))/(N18*4)</f>
        <v>2.476109565104841E-2</v>
      </c>
      <c r="P43" s="8">
        <f t="shared" si="157"/>
        <v>2.2505829038161278E-2</v>
      </c>
      <c r="Q43" s="8">
        <f t="shared" si="157"/>
        <v>2.8956848316391358E-2</v>
      </c>
      <c r="R43" s="8">
        <f t="shared" si="157"/>
        <v>3.3306784466432753E-2</v>
      </c>
      <c r="S43" s="8">
        <f t="shared" si="157"/>
        <v>2.5634555456181794E-2</v>
      </c>
      <c r="T43" s="8">
        <f t="shared" si="157"/>
        <v>4.4393224331103667E-2</v>
      </c>
      <c r="U43" s="8">
        <f t="shared" si="157"/>
        <v>1.8571001551156509E-2</v>
      </c>
      <c r="V43" s="8">
        <f t="shared" si="157"/>
        <v>2.6841989887219184E-2</v>
      </c>
      <c r="W43" s="8">
        <f t="shared" si="157"/>
        <v>3.4355610853911957E-2</v>
      </c>
      <c r="X43" s="8">
        <f>+(X42*(1-X44))/(W18*4)</f>
        <v>1.8017284186716991E-2</v>
      </c>
      <c r="Y43" s="8">
        <f>+(Y42*(1-Y44))/(X18*4)</f>
        <v>4.398509486712468E-2</v>
      </c>
      <c r="Z43" s="8">
        <f>+(Z42*(1-Z44))/(Y18*4)</f>
        <v>2.5848808787128714E-2</v>
      </c>
      <c r="AA43" s="8">
        <f>+(AA42*(1-AA44))/(Z18*4)</f>
        <v>3.3266690446262979E-2</v>
      </c>
      <c r="AB43" s="338">
        <f t="shared" ref="AB43:AM43" si="158">+AA43</f>
        <v>3.3266690446262979E-2</v>
      </c>
      <c r="AC43" s="338">
        <f t="shared" si="158"/>
        <v>3.3266690446262979E-2</v>
      </c>
      <c r="AD43" s="338">
        <f t="shared" si="158"/>
        <v>3.3266690446262979E-2</v>
      </c>
      <c r="AE43" s="338">
        <f t="shared" si="158"/>
        <v>3.3266690446262979E-2</v>
      </c>
      <c r="AF43" s="338">
        <f t="shared" si="158"/>
        <v>3.3266690446262979E-2</v>
      </c>
      <c r="AG43" s="338">
        <f t="shared" si="158"/>
        <v>3.3266690446262979E-2</v>
      </c>
      <c r="AH43" s="338">
        <f t="shared" si="158"/>
        <v>3.3266690446262979E-2</v>
      </c>
      <c r="AI43" s="338">
        <f t="shared" si="158"/>
        <v>3.3266690446262979E-2</v>
      </c>
      <c r="AJ43" s="338">
        <f t="shared" si="158"/>
        <v>3.3266690446262979E-2</v>
      </c>
      <c r="AK43" s="338">
        <f t="shared" si="158"/>
        <v>3.3266690446262979E-2</v>
      </c>
      <c r="AL43" s="338">
        <f t="shared" si="158"/>
        <v>3.3266690446262979E-2</v>
      </c>
      <c r="AM43" s="338">
        <f t="shared" si="158"/>
        <v>3.3266690446262979E-2</v>
      </c>
      <c r="AN43" s="338">
        <f t="shared" ref="AN43" si="159">+AM43</f>
        <v>3.3266690446262979E-2</v>
      </c>
      <c r="AO43" s="338">
        <f t="shared" ref="AO43" si="160">+AN43</f>
        <v>3.3266690446262979E-2</v>
      </c>
      <c r="AP43" s="338">
        <f t="shared" ref="AP43" si="161">+AO43</f>
        <v>3.3266690446262979E-2</v>
      </c>
      <c r="AQ43" s="338">
        <f t="shared" ref="AQ43" si="162">+AP43</f>
        <v>3.3266690446262979E-2</v>
      </c>
      <c r="AR43" s="338">
        <f t="shared" ref="AR43" si="163">+AQ43</f>
        <v>3.3266690446262979E-2</v>
      </c>
      <c r="AS43" s="338">
        <f t="shared" ref="AS43" si="164">+AR43</f>
        <v>3.3266690446262979E-2</v>
      </c>
      <c r="AT43" s="338">
        <f t="shared" ref="AT43" si="165">+AS43</f>
        <v>3.3266690446262979E-2</v>
      </c>
      <c r="AU43" s="338">
        <f t="shared" ref="AU43" si="166">+AT43</f>
        <v>3.3266690446262979E-2</v>
      </c>
      <c r="AV43" s="338">
        <f t="shared" ref="AV43" si="167">+AU43</f>
        <v>3.3266690446262979E-2</v>
      </c>
      <c r="AW43" s="338">
        <f t="shared" ref="AW43" si="168">+AV43</f>
        <v>3.3266690446262979E-2</v>
      </c>
      <c r="AX43" s="338">
        <f t="shared" ref="AX43" si="169">+AW43</f>
        <v>3.3266690446262979E-2</v>
      </c>
      <c r="AY43" s="338">
        <f t="shared" ref="AY43" si="170">+AX43</f>
        <v>3.3266690446262979E-2</v>
      </c>
      <c r="AZ43" s="24"/>
      <c r="BA43" s="4"/>
      <c r="BB43" s="4"/>
      <c r="BC43" s="4"/>
      <c r="BD43" s="4"/>
      <c r="BE43" s="4"/>
      <c r="BF43" s="4"/>
      <c r="BG43" s="4"/>
      <c r="BH43" s="4"/>
      <c r="BI43" s="4"/>
      <c r="BJ43" s="4"/>
      <c r="BK43" s="4"/>
      <c r="BL43" s="4"/>
      <c r="BM43" s="4"/>
      <c r="BN43" s="4"/>
    </row>
    <row r="44" spans="1:75">
      <c r="B44" s="309" t="s">
        <v>454</v>
      </c>
      <c r="C44" s="4"/>
      <c r="D44" s="7"/>
      <c r="E44" s="7"/>
      <c r="F44" s="7"/>
      <c r="G44" s="7"/>
      <c r="H44" s="7"/>
      <c r="I44" s="7"/>
      <c r="J44" s="7"/>
      <c r="K44" s="7"/>
      <c r="L44" s="7"/>
      <c r="M44" s="7"/>
      <c r="N44" s="7"/>
      <c r="O44" s="335">
        <v>3.4000000000000002E-2</v>
      </c>
      <c r="P44" s="335">
        <v>1.2E-2</v>
      </c>
      <c r="Q44" s="335">
        <v>5.0999999999999997E-2</v>
      </c>
      <c r="R44" s="335">
        <v>8.9999999999999993E-3</v>
      </c>
      <c r="S44" s="335">
        <v>2.3E-2</v>
      </c>
      <c r="T44" s="335">
        <v>-3.6999999999999998E-2</v>
      </c>
      <c r="U44" s="335">
        <v>0.02</v>
      </c>
      <c r="V44" s="335">
        <v>8.0000000000000002E-3</v>
      </c>
      <c r="W44" s="335">
        <v>4.7E-2</v>
      </c>
      <c r="X44" s="335">
        <v>2.5999999999999999E-2</v>
      </c>
      <c r="Y44" s="335">
        <v>0.01</v>
      </c>
      <c r="Z44" s="335">
        <v>2.1000000000000001E-2</v>
      </c>
      <c r="AA44" s="335">
        <v>1.2E-2</v>
      </c>
      <c r="AB44" s="337">
        <f t="shared" ref="AB44:AY44" ca="1" si="171">+OFFSET(AB44,$C$5,0)</f>
        <v>1.2500000000000001E-2</v>
      </c>
      <c r="AC44" s="337">
        <f t="shared" ca="1" si="171"/>
        <v>1.2500000000000001E-2</v>
      </c>
      <c r="AD44" s="337">
        <f t="shared" ca="1" si="171"/>
        <v>1.2500000000000001E-2</v>
      </c>
      <c r="AE44" s="337">
        <f t="shared" ca="1" si="171"/>
        <v>1.2500000000000001E-2</v>
      </c>
      <c r="AF44" s="337">
        <f t="shared" ca="1" si="171"/>
        <v>1.7500000000000002E-2</v>
      </c>
      <c r="AG44" s="337">
        <f t="shared" ca="1" si="171"/>
        <v>1.7500000000000002E-2</v>
      </c>
      <c r="AH44" s="337">
        <f t="shared" ca="1" si="171"/>
        <v>1.7500000000000002E-2</v>
      </c>
      <c r="AI44" s="337">
        <f t="shared" ca="1" si="171"/>
        <v>1.7500000000000002E-2</v>
      </c>
      <c r="AJ44" s="337">
        <f t="shared" ca="1" si="171"/>
        <v>1.7500000000000002E-2</v>
      </c>
      <c r="AK44" s="337">
        <f t="shared" ca="1" si="171"/>
        <v>1.7500000000000002E-2</v>
      </c>
      <c r="AL44" s="337">
        <f t="shared" ca="1" si="171"/>
        <v>1.7500000000000002E-2</v>
      </c>
      <c r="AM44" s="337">
        <f t="shared" ca="1" si="171"/>
        <v>1.7500000000000002E-2</v>
      </c>
      <c r="AN44" s="337">
        <f t="shared" ca="1" si="171"/>
        <v>1.7500000000000002E-2</v>
      </c>
      <c r="AO44" s="337">
        <f t="shared" ca="1" si="171"/>
        <v>1.7500000000000002E-2</v>
      </c>
      <c r="AP44" s="337">
        <f t="shared" ca="1" si="171"/>
        <v>1.7500000000000002E-2</v>
      </c>
      <c r="AQ44" s="337">
        <f t="shared" ca="1" si="171"/>
        <v>1.7500000000000002E-2</v>
      </c>
      <c r="AR44" s="337">
        <f t="shared" ca="1" si="171"/>
        <v>1.7500000000000002E-2</v>
      </c>
      <c r="AS44" s="337">
        <f t="shared" ca="1" si="171"/>
        <v>1.7500000000000002E-2</v>
      </c>
      <c r="AT44" s="337">
        <f t="shared" ca="1" si="171"/>
        <v>1.7500000000000002E-2</v>
      </c>
      <c r="AU44" s="337">
        <f t="shared" ca="1" si="171"/>
        <v>1.7500000000000002E-2</v>
      </c>
      <c r="AV44" s="337">
        <f t="shared" ca="1" si="171"/>
        <v>1.7500000000000002E-2</v>
      </c>
      <c r="AW44" s="337">
        <f t="shared" ca="1" si="171"/>
        <v>1.7500000000000002E-2</v>
      </c>
      <c r="AX44" s="337">
        <f t="shared" ca="1" si="171"/>
        <v>1.7500000000000002E-2</v>
      </c>
      <c r="AY44" s="337">
        <f t="shared" ca="1" si="171"/>
        <v>1.7500000000000002E-2</v>
      </c>
      <c r="AZ44" s="24"/>
      <c r="BA44" s="4"/>
      <c r="BB44" s="4"/>
      <c r="BC44" s="4"/>
      <c r="BD44" s="4"/>
      <c r="BE44" s="4"/>
      <c r="BF44" s="4"/>
      <c r="BG44" s="4"/>
      <c r="BH44" s="4"/>
      <c r="BI44" s="4"/>
      <c r="BJ44" s="4"/>
      <c r="BK44" s="4"/>
      <c r="BL44" s="4"/>
      <c r="BM44" s="4"/>
      <c r="BN44" s="4"/>
    </row>
    <row r="45" spans="1:75">
      <c r="C45" s="4"/>
      <c r="D45" s="7"/>
      <c r="E45" s="7"/>
      <c r="F45" s="7"/>
      <c r="G45" s="7"/>
      <c r="H45" s="7"/>
      <c r="I45" s="7"/>
      <c r="J45" s="7"/>
      <c r="K45" s="7"/>
      <c r="L45" s="7"/>
      <c r="M45" s="7"/>
      <c r="N45" s="7"/>
      <c r="O45" s="7"/>
      <c r="P45" s="7"/>
      <c r="Q45" s="7"/>
      <c r="R45" s="7"/>
      <c r="S45" s="7"/>
      <c r="T45" s="7"/>
      <c r="U45" s="7"/>
      <c r="V45" s="7"/>
      <c r="W45" s="7"/>
      <c r="X45" s="7"/>
      <c r="Y45" s="7"/>
      <c r="Z45" s="7"/>
      <c r="AA45" s="7"/>
      <c r="AB45" s="336">
        <f t="shared" ref="AB45:AY45" si="172">+AB46+0.005</f>
        <v>1.7500000000000002E-2</v>
      </c>
      <c r="AC45" s="336">
        <f t="shared" si="172"/>
        <v>1.7500000000000002E-2</v>
      </c>
      <c r="AD45" s="336">
        <f t="shared" si="172"/>
        <v>1.7500000000000002E-2</v>
      </c>
      <c r="AE45" s="336">
        <f t="shared" si="172"/>
        <v>1.7500000000000002E-2</v>
      </c>
      <c r="AF45" s="336">
        <f t="shared" si="172"/>
        <v>2.2500000000000003E-2</v>
      </c>
      <c r="AG45" s="336">
        <f t="shared" si="172"/>
        <v>2.2500000000000003E-2</v>
      </c>
      <c r="AH45" s="336">
        <f t="shared" si="172"/>
        <v>2.2500000000000003E-2</v>
      </c>
      <c r="AI45" s="336">
        <f t="shared" si="172"/>
        <v>2.2500000000000003E-2</v>
      </c>
      <c r="AJ45" s="336">
        <f t="shared" si="172"/>
        <v>2.2500000000000003E-2</v>
      </c>
      <c r="AK45" s="336">
        <f t="shared" si="172"/>
        <v>2.2500000000000003E-2</v>
      </c>
      <c r="AL45" s="336">
        <f t="shared" si="172"/>
        <v>2.2500000000000003E-2</v>
      </c>
      <c r="AM45" s="336">
        <f t="shared" si="172"/>
        <v>2.2500000000000003E-2</v>
      </c>
      <c r="AN45" s="336">
        <f t="shared" si="172"/>
        <v>2.2500000000000003E-2</v>
      </c>
      <c r="AO45" s="336">
        <f t="shared" si="172"/>
        <v>2.2500000000000003E-2</v>
      </c>
      <c r="AP45" s="336">
        <f t="shared" si="172"/>
        <v>2.2500000000000003E-2</v>
      </c>
      <c r="AQ45" s="336">
        <f t="shared" si="172"/>
        <v>2.2500000000000003E-2</v>
      </c>
      <c r="AR45" s="336">
        <f t="shared" si="172"/>
        <v>2.2500000000000003E-2</v>
      </c>
      <c r="AS45" s="336">
        <f t="shared" si="172"/>
        <v>2.2500000000000003E-2</v>
      </c>
      <c r="AT45" s="336">
        <f t="shared" si="172"/>
        <v>2.2500000000000003E-2</v>
      </c>
      <c r="AU45" s="336">
        <f t="shared" si="172"/>
        <v>2.2500000000000003E-2</v>
      </c>
      <c r="AV45" s="336">
        <f t="shared" si="172"/>
        <v>2.2500000000000003E-2</v>
      </c>
      <c r="AW45" s="336">
        <f t="shared" si="172"/>
        <v>2.2500000000000003E-2</v>
      </c>
      <c r="AX45" s="336">
        <f t="shared" si="172"/>
        <v>2.2500000000000003E-2</v>
      </c>
      <c r="AY45" s="336">
        <f t="shared" si="172"/>
        <v>2.2500000000000003E-2</v>
      </c>
      <c r="AZ45" s="24"/>
      <c r="BA45" s="4"/>
      <c r="BB45" s="4"/>
      <c r="BC45" s="4"/>
      <c r="BD45" s="4"/>
      <c r="BE45" s="4"/>
      <c r="BF45" s="4"/>
      <c r="BG45" s="4"/>
      <c r="BH45" s="4"/>
      <c r="BI45" s="4"/>
      <c r="BJ45" s="4"/>
      <c r="BK45" s="4"/>
      <c r="BL45" s="4"/>
      <c r="BM45" s="4"/>
      <c r="BN45" s="4"/>
    </row>
    <row r="46" spans="1:75">
      <c r="C46" s="4"/>
      <c r="D46" s="7"/>
      <c r="E46" s="7"/>
      <c r="F46" s="7"/>
      <c r="G46" s="7"/>
      <c r="H46" s="7"/>
      <c r="I46" s="7"/>
      <c r="J46" s="7"/>
      <c r="K46" s="7"/>
      <c r="L46" s="7"/>
      <c r="M46" s="7"/>
      <c r="N46" s="7"/>
      <c r="O46" s="7"/>
      <c r="P46" s="7"/>
      <c r="Q46" s="7"/>
      <c r="R46" s="7"/>
      <c r="S46" s="7"/>
      <c r="T46" s="7"/>
      <c r="U46" s="7"/>
      <c r="V46" s="7"/>
      <c r="W46" s="7"/>
      <c r="X46" s="7"/>
      <c r="Y46" s="7"/>
      <c r="Z46" s="7"/>
      <c r="AA46" s="7"/>
      <c r="AB46" s="353">
        <v>1.2500000000000001E-2</v>
      </c>
      <c r="AC46" s="353">
        <v>1.2500000000000001E-2</v>
      </c>
      <c r="AD46" s="353">
        <v>1.2500000000000001E-2</v>
      </c>
      <c r="AE46" s="353">
        <v>1.2500000000000001E-2</v>
      </c>
      <c r="AF46" s="353">
        <v>1.7500000000000002E-2</v>
      </c>
      <c r="AG46" s="353">
        <v>1.7500000000000002E-2</v>
      </c>
      <c r="AH46" s="353">
        <v>1.7500000000000002E-2</v>
      </c>
      <c r="AI46" s="353">
        <v>1.7500000000000002E-2</v>
      </c>
      <c r="AJ46" s="353">
        <v>1.7500000000000002E-2</v>
      </c>
      <c r="AK46" s="353">
        <v>1.7500000000000002E-2</v>
      </c>
      <c r="AL46" s="353">
        <v>1.7500000000000002E-2</v>
      </c>
      <c r="AM46" s="353">
        <v>1.7500000000000002E-2</v>
      </c>
      <c r="AN46" s="353">
        <v>1.7500000000000002E-2</v>
      </c>
      <c r="AO46" s="353">
        <v>1.7500000000000002E-2</v>
      </c>
      <c r="AP46" s="353">
        <v>1.7500000000000002E-2</v>
      </c>
      <c r="AQ46" s="353">
        <v>1.7500000000000002E-2</v>
      </c>
      <c r="AR46" s="353">
        <v>1.7500000000000002E-2</v>
      </c>
      <c r="AS46" s="353">
        <v>1.7500000000000002E-2</v>
      </c>
      <c r="AT46" s="353">
        <v>1.7500000000000002E-2</v>
      </c>
      <c r="AU46" s="353">
        <v>1.7500000000000002E-2</v>
      </c>
      <c r="AV46" s="353">
        <v>1.7500000000000002E-2</v>
      </c>
      <c r="AW46" s="353">
        <v>1.7500000000000002E-2</v>
      </c>
      <c r="AX46" s="353">
        <v>1.7500000000000002E-2</v>
      </c>
      <c r="AY46" s="353">
        <v>1.7500000000000002E-2</v>
      </c>
      <c r="AZ46" s="24"/>
      <c r="BA46" s="4"/>
      <c r="BB46" s="4"/>
      <c r="BC46" s="4"/>
      <c r="BD46" s="4"/>
      <c r="BE46" s="4"/>
      <c r="BF46" s="4"/>
      <c r="BG46" s="4"/>
      <c r="BH46" s="4"/>
      <c r="BI46" s="4"/>
      <c r="BJ46" s="4"/>
      <c r="BK46" s="4"/>
      <c r="BL46" s="4"/>
      <c r="BM46" s="4"/>
      <c r="BN46" s="4"/>
    </row>
    <row r="47" spans="1:75">
      <c r="C47" s="4"/>
      <c r="D47" s="7"/>
      <c r="E47" s="7"/>
      <c r="F47" s="7"/>
      <c r="G47" s="7"/>
      <c r="H47" s="7"/>
      <c r="I47" s="7"/>
      <c r="J47" s="7"/>
      <c r="K47" s="7"/>
      <c r="L47" s="7"/>
      <c r="M47" s="7"/>
      <c r="N47" s="7"/>
      <c r="O47" s="7"/>
      <c r="P47" s="7"/>
      <c r="Q47" s="7"/>
      <c r="R47" s="7"/>
      <c r="S47" s="7"/>
      <c r="T47" s="7"/>
      <c r="U47" s="7"/>
      <c r="V47" s="7"/>
      <c r="W47" s="7"/>
      <c r="X47" s="7"/>
      <c r="Y47" s="7"/>
      <c r="Z47" s="7"/>
      <c r="AA47" s="7"/>
      <c r="AB47" s="336">
        <f t="shared" ref="AB47:AM47" si="173">+AB46-0.01</f>
        <v>2.5000000000000005E-3</v>
      </c>
      <c r="AC47" s="336">
        <f t="shared" si="173"/>
        <v>2.5000000000000005E-3</v>
      </c>
      <c r="AD47" s="336">
        <f t="shared" si="173"/>
        <v>2.5000000000000005E-3</v>
      </c>
      <c r="AE47" s="336">
        <f t="shared" si="173"/>
        <v>2.5000000000000005E-3</v>
      </c>
      <c r="AF47" s="336">
        <f t="shared" si="173"/>
        <v>7.5000000000000015E-3</v>
      </c>
      <c r="AG47" s="336">
        <f t="shared" si="173"/>
        <v>7.5000000000000015E-3</v>
      </c>
      <c r="AH47" s="336">
        <f t="shared" si="173"/>
        <v>7.5000000000000015E-3</v>
      </c>
      <c r="AI47" s="336">
        <f t="shared" si="173"/>
        <v>7.5000000000000015E-3</v>
      </c>
      <c r="AJ47" s="336">
        <f t="shared" si="173"/>
        <v>7.5000000000000015E-3</v>
      </c>
      <c r="AK47" s="336">
        <f t="shared" si="173"/>
        <v>7.5000000000000015E-3</v>
      </c>
      <c r="AL47" s="336">
        <f t="shared" si="173"/>
        <v>7.5000000000000015E-3</v>
      </c>
      <c r="AM47" s="336">
        <f t="shared" si="173"/>
        <v>7.5000000000000015E-3</v>
      </c>
      <c r="AN47" s="336">
        <f t="shared" ref="AN47:AY47" si="174">+AN46-0.01</f>
        <v>7.5000000000000015E-3</v>
      </c>
      <c r="AO47" s="336">
        <f t="shared" si="174"/>
        <v>7.5000000000000015E-3</v>
      </c>
      <c r="AP47" s="336">
        <f t="shared" si="174"/>
        <v>7.5000000000000015E-3</v>
      </c>
      <c r="AQ47" s="336">
        <f t="shared" si="174"/>
        <v>7.5000000000000015E-3</v>
      </c>
      <c r="AR47" s="336">
        <f t="shared" si="174"/>
        <v>7.5000000000000015E-3</v>
      </c>
      <c r="AS47" s="336">
        <f t="shared" si="174"/>
        <v>7.5000000000000015E-3</v>
      </c>
      <c r="AT47" s="336">
        <f t="shared" si="174"/>
        <v>7.5000000000000015E-3</v>
      </c>
      <c r="AU47" s="336">
        <f t="shared" si="174"/>
        <v>7.5000000000000015E-3</v>
      </c>
      <c r="AV47" s="336">
        <f t="shared" si="174"/>
        <v>7.5000000000000015E-3</v>
      </c>
      <c r="AW47" s="336">
        <f t="shared" si="174"/>
        <v>7.5000000000000015E-3</v>
      </c>
      <c r="AX47" s="336">
        <f t="shared" si="174"/>
        <v>7.5000000000000015E-3</v>
      </c>
      <c r="AY47" s="336">
        <f t="shared" si="174"/>
        <v>7.5000000000000015E-3</v>
      </c>
      <c r="AZ47" s="24"/>
      <c r="BA47" s="4"/>
      <c r="BB47" s="4"/>
      <c r="BC47" s="4"/>
      <c r="BD47" s="4"/>
      <c r="BE47" s="4"/>
      <c r="BF47" s="4"/>
      <c r="BG47" s="4"/>
      <c r="BH47" s="4"/>
      <c r="BI47" s="4"/>
      <c r="BJ47" s="4"/>
      <c r="BK47" s="4"/>
      <c r="BL47" s="4"/>
      <c r="BM47" s="4"/>
      <c r="BN47" s="4"/>
    </row>
    <row r="48" spans="1:75" s="22" customFormat="1">
      <c r="B48" s="314" t="s">
        <v>448</v>
      </c>
      <c r="C48" s="24"/>
      <c r="D48" s="28"/>
      <c r="E48" s="28"/>
      <c r="F48" s="28"/>
      <c r="G48" s="28"/>
      <c r="H48" s="28"/>
      <c r="I48" s="28"/>
      <c r="J48" s="39">
        <f t="shared" ref="J48:O48" si="175">+I62</f>
        <v>27.599999999999998</v>
      </c>
      <c r="K48" s="39">
        <f t="shared" si="175"/>
        <v>23.5</v>
      </c>
      <c r="L48" s="39">
        <f t="shared" si="175"/>
        <v>28.2</v>
      </c>
      <c r="M48" s="39">
        <f t="shared" si="175"/>
        <v>29.9</v>
      </c>
      <c r="N48" s="39">
        <f t="shared" si="175"/>
        <v>41</v>
      </c>
      <c r="O48" s="39">
        <f t="shared" si="175"/>
        <v>62.6</v>
      </c>
      <c r="P48" s="39">
        <f>+O62</f>
        <v>57.8</v>
      </c>
      <c r="Q48" s="39">
        <f>+P62</f>
        <v>64.3</v>
      </c>
      <c r="R48" s="39">
        <f t="shared" ref="R48:AA48" si="176">+Q62</f>
        <v>68.7</v>
      </c>
      <c r="S48" s="39">
        <f t="shared" si="176"/>
        <v>61.3</v>
      </c>
      <c r="T48" s="39">
        <f t="shared" si="176"/>
        <v>47.7</v>
      </c>
      <c r="U48" s="39">
        <f t="shared" si="176"/>
        <v>51.6</v>
      </c>
      <c r="V48" s="39">
        <f t="shared" si="176"/>
        <v>49.1</v>
      </c>
      <c r="W48" s="39">
        <f t="shared" si="176"/>
        <v>50.8</v>
      </c>
      <c r="X48" s="39">
        <f t="shared" si="176"/>
        <v>43.1</v>
      </c>
      <c r="Y48" s="39">
        <f t="shared" si="176"/>
        <v>41.9</v>
      </c>
      <c r="Z48" s="39">
        <f t="shared" si="176"/>
        <v>39.671928000000001</v>
      </c>
      <c r="AA48" s="39">
        <f t="shared" si="176"/>
        <v>56.555231999999997</v>
      </c>
      <c r="AB48" s="39">
        <f t="shared" ref="AB48:AM48" si="177">+AA62</f>
        <v>46.788024</v>
      </c>
      <c r="AC48" s="39">
        <f t="shared" ca="1" si="177"/>
        <v>41.852792432499996</v>
      </c>
      <c r="AD48" s="39">
        <f t="shared" ca="1" si="177"/>
        <v>39.754352257400001</v>
      </c>
      <c r="AE48" s="39">
        <f t="shared" ca="1" si="177"/>
        <v>39.044035378590699</v>
      </c>
      <c r="AF48" s="39">
        <f t="shared" ca="1" si="177"/>
        <v>38.99938005903428</v>
      </c>
      <c r="AG48" s="39">
        <f t="shared" ca="1" si="177"/>
        <v>35.564048452596111</v>
      </c>
      <c r="AH48" s="39">
        <f t="shared" ca="1" si="177"/>
        <v>34.676545535477288</v>
      </c>
      <c r="AI48" s="39">
        <f t="shared" ca="1" si="177"/>
        <v>34.807573410518842</v>
      </c>
      <c r="AJ48" s="39">
        <f t="shared" ca="1" si="177"/>
        <v>35.345124890727249</v>
      </c>
      <c r="AK48" s="39">
        <f t="shared" ca="1" si="177"/>
        <v>36.044117690788809</v>
      </c>
      <c r="AL48" s="39">
        <f t="shared" ca="1" si="177"/>
        <v>36.806248359296056</v>
      </c>
      <c r="AM48" s="39">
        <f t="shared" ca="1" si="177"/>
        <v>37.591934068361581</v>
      </c>
      <c r="AN48" s="39">
        <f t="shared" ref="AN48" ca="1" si="178">+AM62</f>
        <v>38.385089508824095</v>
      </c>
      <c r="AO48" s="39">
        <f t="shared" ref="AO48" ca="1" si="179">+AN62</f>
        <v>39.179037791936267</v>
      </c>
      <c r="AP48" s="39">
        <f t="shared" ref="AP48" ca="1" si="180">+AO62</f>
        <v>39.970874919554561</v>
      </c>
      <c r="AQ48" s="39">
        <f t="shared" ref="AQ48" ca="1" si="181">+AP62</f>
        <v>40.759215649346494</v>
      </c>
      <c r="AR48" s="39">
        <f t="shared" ref="AR48" ca="1" si="182">+AQ62</f>
        <v>41.543291887357093</v>
      </c>
      <c r="AS48" s="39">
        <f t="shared" ref="AS48" ca="1" si="183">+AR62</f>
        <v>42.322592062623826</v>
      </c>
      <c r="AT48" s="39">
        <f t="shared" ref="AT48" ca="1" si="184">+AS62</f>
        <v>43.096716867472651</v>
      </c>
      <c r="AU48" s="39">
        <f t="shared" ref="AU48" ca="1" si="185">+AT62</f>
        <v>43.86532151870027</v>
      </c>
      <c r="AV48" s="39">
        <f t="shared" ref="AV48" ca="1" si="186">+AU62</f>
        <v>44.628092603461468</v>
      </c>
      <c r="AW48" s="39">
        <f t="shared" ref="AW48" ca="1" si="187">+AV62</f>
        <v>45.384738737102822</v>
      </c>
      <c r="AX48" s="39">
        <f t="shared" ref="AX48" ca="1" si="188">+AW62</f>
        <v>46.134986725522559</v>
      </c>
      <c r="AY48" s="39">
        <f t="shared" ref="AY48" ca="1" si="189">+AX62</f>
        <v>46.878579910734459</v>
      </c>
      <c r="AZ48" s="24"/>
      <c r="BA48" s="24"/>
      <c r="BB48" s="24"/>
      <c r="BC48" s="24"/>
      <c r="BD48" s="24"/>
      <c r="BE48" s="24"/>
      <c r="BF48" s="24"/>
      <c r="BG48" s="24"/>
      <c r="BH48" s="24"/>
      <c r="BI48" s="24"/>
      <c r="BJ48" s="24"/>
      <c r="BK48" s="24"/>
      <c r="BL48" s="24"/>
      <c r="BM48" s="24"/>
      <c r="BN48" s="24"/>
      <c r="BQ48" s="230"/>
      <c r="BR48"/>
      <c r="BS48"/>
      <c r="BT48"/>
      <c r="BU48"/>
      <c r="BV48"/>
      <c r="BW48"/>
    </row>
    <row r="49" spans="1:75" s="22" customFormat="1">
      <c r="B49" s="314" t="s">
        <v>447</v>
      </c>
      <c r="C49" s="24"/>
      <c r="D49" s="28"/>
      <c r="E49" s="28"/>
      <c r="F49" s="28"/>
      <c r="G49" s="28"/>
      <c r="H49" s="28"/>
      <c r="I49" s="28"/>
      <c r="J49" s="28"/>
      <c r="K49" s="28"/>
      <c r="L49" s="28">
        <v>13.492158999999999</v>
      </c>
      <c r="M49" s="28">
        <v>21.688735999999999</v>
      </c>
      <c r="N49" s="28">
        <v>32.417738</v>
      </c>
      <c r="O49" s="28">
        <v>10.717456</v>
      </c>
      <c r="P49" s="28">
        <v>27.778290999999999</v>
      </c>
      <c r="Q49" s="28">
        <v>16.734570999999999</v>
      </c>
      <c r="R49" s="28">
        <v>12.669407</v>
      </c>
      <c r="S49" s="28">
        <v>17.471080000000001</v>
      </c>
      <c r="T49" s="28">
        <v>20.503532</v>
      </c>
      <c r="U49" s="28">
        <v>25.787118</v>
      </c>
      <c r="V49" s="28">
        <v>28.977588000000001</v>
      </c>
      <c r="W49" s="28">
        <v>22.705378</v>
      </c>
      <c r="X49" s="28">
        <v>14.962595</v>
      </c>
      <c r="Y49" s="28">
        <v>21.177858000000001</v>
      </c>
      <c r="Z49" s="28">
        <v>38.596383000000003</v>
      </c>
      <c r="AA49" s="28">
        <v>18.052596999999999</v>
      </c>
      <c r="AB49" s="24">
        <f t="shared" ref="AB49:AM49" ca="1" si="190">+AA49*(1+AB50)</f>
        <v>18.458780432499999</v>
      </c>
      <c r="AC49" s="24">
        <f t="shared" ca="1" si="190"/>
        <v>18.827956041149999</v>
      </c>
      <c r="AD49" s="24">
        <f t="shared" ca="1" si="190"/>
        <v>19.166859249890699</v>
      </c>
      <c r="AE49" s="24">
        <f t="shared" ca="1" si="190"/>
        <v>19.477362369738927</v>
      </c>
      <c r="AF49" s="24">
        <f t="shared" ca="1" si="190"/>
        <v>19.964296428982397</v>
      </c>
      <c r="AG49" s="24">
        <f t="shared" ca="1" si="190"/>
        <v>20.450926154438843</v>
      </c>
      <c r="AH49" s="24">
        <f t="shared" ca="1" si="190"/>
        <v>20.936955196327929</v>
      </c>
      <c r="AI49" s="24">
        <f t="shared" ca="1" si="190"/>
        <v>21.422095526519715</v>
      </c>
      <c r="AJ49" s="24">
        <f t="shared" ca="1" si="190"/>
        <v>21.90606773449791</v>
      </c>
      <c r="AK49" s="24">
        <f t="shared" ca="1" si="190"/>
        <v>22.388601282980531</v>
      </c>
      <c r="AL49" s="24">
        <f t="shared" ca="1" si="190"/>
        <v>22.869434724643156</v>
      </c>
      <c r="AM49" s="24">
        <f t="shared" ca="1" si="190"/>
        <v>23.348315881479468</v>
      </c>
      <c r="AN49" s="24">
        <f t="shared" ref="AN49" ca="1" si="191">+AM49*(1+AN50)</f>
        <v>23.82500198840663</v>
      </c>
      <c r="AO49" s="24">
        <f t="shared" ref="AO49" ca="1" si="192">+AN49*(1+AO50)</f>
        <v>24.299259802780057</v>
      </c>
      <c r="AP49" s="24">
        <f t="shared" ref="AP49" ca="1" si="193">+AO49*(1+AP50)</f>
        <v>24.770865681524665</v>
      </c>
      <c r="AQ49" s="24">
        <f t="shared" ref="AQ49" ca="1" si="194">+AP49*(1+AQ50)</f>
        <v>25.239605627618495</v>
      </c>
      <c r="AR49" s="24">
        <f t="shared" ref="AR49" ca="1" si="195">+AQ49*(1+AR50)</f>
        <v>25.705275307680985</v>
      </c>
      <c r="AS49" s="24">
        <f t="shared" ref="AS49" ca="1" si="196">+AR49*(1+AS50)</f>
        <v>26.167680042423111</v>
      </c>
      <c r="AT49" s="24">
        <f t="shared" ref="AT49" ca="1" si="197">+AS49*(1+AT50)</f>
        <v>26.626634771711206</v>
      </c>
      <c r="AU49" s="24">
        <f t="shared" ref="AU49" ca="1" si="198">+AT49*(1+AU50)</f>
        <v>27.081963995981358</v>
      </c>
      <c r="AV49" s="24">
        <f t="shared" ref="AV49" ca="1" si="199">+AU49*(1+AV50)</f>
        <v>27.533501695718233</v>
      </c>
      <c r="AW49" s="24">
        <f t="shared" ref="AW49" ca="1" si="200">+AV49*(1+AW50)</f>
        <v>27.981091230681425</v>
      </c>
      <c r="AX49" s="24">
        <f t="shared" ref="AX49" ca="1" si="201">+AW49*(1+AX50)</f>
        <v>28.424585220525433</v>
      </c>
      <c r="AY49" s="24">
        <f t="shared" ref="AY49" ca="1" si="202">+AX49*(1+AY50)</f>
        <v>28.863845408416424</v>
      </c>
      <c r="AZ49" s="24"/>
      <c r="BA49" s="24"/>
      <c r="BB49" s="24"/>
      <c r="BC49" s="24"/>
      <c r="BD49" s="24"/>
      <c r="BE49" s="24"/>
      <c r="BF49" s="24"/>
      <c r="BG49" s="24"/>
      <c r="BH49" s="24"/>
      <c r="BI49" s="24"/>
      <c r="BJ49" s="24"/>
      <c r="BK49" s="24"/>
      <c r="BL49" s="24"/>
      <c r="BM49" s="24"/>
      <c r="BN49" s="24"/>
      <c r="BQ49" s="230"/>
      <c r="BR49"/>
      <c r="BS49"/>
      <c r="BT49"/>
      <c r="BU49"/>
      <c r="BV49"/>
      <c r="BW49"/>
    </row>
    <row r="50" spans="1:75" s="22" customFormat="1">
      <c r="B50" s="314"/>
      <c r="C50" s="24"/>
      <c r="D50" s="28"/>
      <c r="E50" s="28"/>
      <c r="F50" s="28"/>
      <c r="G50" s="28"/>
      <c r="H50" s="28"/>
      <c r="I50" s="28"/>
      <c r="J50" s="28"/>
      <c r="K50" s="28"/>
      <c r="L50" s="28"/>
      <c r="M50" s="339">
        <f>+M49/L49-1</f>
        <v>0.60750670074374313</v>
      </c>
      <c r="N50" s="339">
        <f t="shared" ref="N50:AA50" si="203">+N49/M49-1</f>
        <v>0.49468083340587499</v>
      </c>
      <c r="O50" s="339">
        <f t="shared" si="203"/>
        <v>-0.66939531684783193</v>
      </c>
      <c r="P50" s="339">
        <f t="shared" si="203"/>
        <v>1.5918735752215825</v>
      </c>
      <c r="Q50" s="339">
        <f t="shared" si="203"/>
        <v>-0.39756657455996847</v>
      </c>
      <c r="R50" s="339">
        <f t="shared" si="203"/>
        <v>-0.24292012027078558</v>
      </c>
      <c r="S50" s="339">
        <f t="shared" si="203"/>
        <v>0.37899745426127684</v>
      </c>
      <c r="T50" s="339">
        <f t="shared" si="203"/>
        <v>0.17356980793402577</v>
      </c>
      <c r="U50" s="339">
        <f t="shared" si="203"/>
        <v>0.25769150407841934</v>
      </c>
      <c r="V50" s="339">
        <f t="shared" si="203"/>
        <v>0.12372340328996834</v>
      </c>
      <c r="W50" s="339">
        <f t="shared" si="203"/>
        <v>-0.21645038227474289</v>
      </c>
      <c r="X50" s="339">
        <f t="shared" si="203"/>
        <v>-0.34101097105716538</v>
      </c>
      <c r="Y50" s="339">
        <f t="shared" si="203"/>
        <v>0.41538670264081867</v>
      </c>
      <c r="Z50" s="339">
        <f t="shared" si="203"/>
        <v>0.82248757168926168</v>
      </c>
      <c r="AA50" s="339">
        <f t="shared" si="203"/>
        <v>-0.53227231163085942</v>
      </c>
      <c r="AB50" s="339">
        <f t="shared" ref="AB50:AY50" ca="1" si="204">+OFFSET(AB50,$C$5,0)</f>
        <v>2.2499999999999999E-2</v>
      </c>
      <c r="AC50" s="339">
        <f t="shared" ca="1" si="204"/>
        <v>0.02</v>
      </c>
      <c r="AD50" s="339">
        <f t="shared" ca="1" si="204"/>
        <v>1.8000000000000002E-2</v>
      </c>
      <c r="AE50" s="339">
        <f t="shared" ca="1" si="204"/>
        <v>1.6200000000000003E-2</v>
      </c>
      <c r="AF50" s="339">
        <f t="shared" ca="1" si="204"/>
        <v>2.5000000000000001E-2</v>
      </c>
      <c r="AG50" s="339">
        <f t="shared" ca="1" si="204"/>
        <v>2.4375000000000001E-2</v>
      </c>
      <c r="AH50" s="339">
        <f t="shared" ca="1" si="204"/>
        <v>2.3765624999999999E-2</v>
      </c>
      <c r="AI50" s="339">
        <f t="shared" ca="1" si="204"/>
        <v>2.3171484374999999E-2</v>
      </c>
      <c r="AJ50" s="339">
        <f t="shared" ca="1" si="204"/>
        <v>2.2592197265624999E-2</v>
      </c>
      <c r="AK50" s="339">
        <f t="shared" ca="1" si="204"/>
        <v>2.2027392333984375E-2</v>
      </c>
      <c r="AL50" s="339">
        <f t="shared" ca="1" si="204"/>
        <v>2.1476707525634766E-2</v>
      </c>
      <c r="AM50" s="339">
        <f t="shared" ca="1" si="204"/>
        <v>2.0939789837493897E-2</v>
      </c>
      <c r="AN50" s="339">
        <f t="shared" ca="1" si="204"/>
        <v>2.0416295091556548E-2</v>
      </c>
      <c r="AO50" s="339">
        <f t="shared" ca="1" si="204"/>
        <v>1.9905887714267635E-2</v>
      </c>
      <c r="AP50" s="339">
        <f t="shared" ca="1" si="204"/>
        <v>1.9408240521410942E-2</v>
      </c>
      <c r="AQ50" s="339">
        <f t="shared" ca="1" si="204"/>
        <v>1.892303450837567E-2</v>
      </c>
      <c r="AR50" s="339">
        <f t="shared" ca="1" si="204"/>
        <v>1.8449958645666276E-2</v>
      </c>
      <c r="AS50" s="339">
        <f t="shared" ca="1" si="204"/>
        <v>1.7988709679524619E-2</v>
      </c>
      <c r="AT50" s="339">
        <f t="shared" ca="1" si="204"/>
        <v>1.7538991937536504E-2</v>
      </c>
      <c r="AU50" s="339">
        <f t="shared" ca="1" si="204"/>
        <v>1.710051713909809E-2</v>
      </c>
      <c r="AV50" s="339">
        <f t="shared" ca="1" si="204"/>
        <v>1.6673004210620637E-2</v>
      </c>
      <c r="AW50" s="339">
        <f t="shared" ca="1" si="204"/>
        <v>1.625617910535512E-2</v>
      </c>
      <c r="AX50" s="339">
        <f t="shared" ca="1" si="204"/>
        <v>1.584977462772124E-2</v>
      </c>
      <c r="AY50" s="339">
        <f t="shared" ca="1" si="204"/>
        <v>1.5453530262028208E-2</v>
      </c>
      <c r="AZ50" s="24"/>
      <c r="BA50" s="24"/>
      <c r="BB50" s="24"/>
      <c r="BC50" s="24"/>
      <c r="BD50" s="24"/>
      <c r="BE50" s="24"/>
      <c r="BF50" s="24"/>
      <c r="BG50" s="24"/>
      <c r="BH50" s="24"/>
      <c r="BI50" s="24"/>
      <c r="BJ50" s="24"/>
      <c r="BK50" s="24"/>
      <c r="BL50" s="24"/>
      <c r="BM50" s="24"/>
      <c r="BN50" s="24"/>
      <c r="BQ50" s="230"/>
      <c r="BR50"/>
      <c r="BS50"/>
      <c r="BT50"/>
      <c r="BU50"/>
      <c r="BV50"/>
      <c r="BW50"/>
    </row>
    <row r="51" spans="1:75" s="22" customFormat="1">
      <c r="B51" s="314"/>
      <c r="C51" s="24"/>
      <c r="D51" s="28"/>
      <c r="E51" s="28"/>
      <c r="F51" s="28"/>
      <c r="G51" s="28"/>
      <c r="H51" s="28"/>
      <c r="I51" s="28"/>
      <c r="J51" s="28"/>
      <c r="K51" s="28"/>
      <c r="L51" s="28"/>
      <c r="M51" s="28"/>
      <c r="N51" s="28"/>
      <c r="O51" s="28"/>
      <c r="P51" s="28"/>
      <c r="Q51" s="28"/>
      <c r="R51" s="28"/>
      <c r="S51" s="28"/>
      <c r="T51" s="28"/>
      <c r="U51" s="28"/>
      <c r="V51" s="28"/>
      <c r="W51" s="28"/>
      <c r="X51" s="28"/>
      <c r="Y51" s="28"/>
      <c r="Z51" s="28"/>
      <c r="AA51" s="28"/>
      <c r="AB51" s="333">
        <f t="shared" ref="AB51:AY51" si="205">+AB52+0.025</f>
        <v>4.7500000000000001E-2</v>
      </c>
      <c r="AC51" s="333">
        <f t="shared" si="205"/>
        <v>4.4999999999999998E-2</v>
      </c>
      <c r="AD51" s="333">
        <f t="shared" si="205"/>
        <v>4.3000000000000003E-2</v>
      </c>
      <c r="AE51" s="333">
        <f t="shared" si="205"/>
        <v>4.1200000000000001E-2</v>
      </c>
      <c r="AF51" s="333">
        <f t="shared" si="205"/>
        <v>0.05</v>
      </c>
      <c r="AG51" s="333">
        <f t="shared" si="205"/>
        <v>4.9375000000000002E-2</v>
      </c>
      <c r="AH51" s="333">
        <f t="shared" si="205"/>
        <v>4.8765625E-2</v>
      </c>
      <c r="AI51" s="333">
        <f t="shared" si="205"/>
        <v>4.8171484375000004E-2</v>
      </c>
      <c r="AJ51" s="333">
        <f t="shared" si="205"/>
        <v>4.7592197265624997E-2</v>
      </c>
      <c r="AK51" s="333">
        <f t="shared" si="205"/>
        <v>4.7027392333984376E-2</v>
      </c>
      <c r="AL51" s="333">
        <f t="shared" si="205"/>
        <v>4.6476707525634764E-2</v>
      </c>
      <c r="AM51" s="333">
        <f t="shared" si="205"/>
        <v>4.5939789837493902E-2</v>
      </c>
      <c r="AN51" s="333">
        <f t="shared" si="205"/>
        <v>4.5416295091556549E-2</v>
      </c>
      <c r="AO51" s="333">
        <f t="shared" si="205"/>
        <v>4.4905887714267637E-2</v>
      </c>
      <c r="AP51" s="333">
        <f t="shared" si="205"/>
        <v>4.4408240521410944E-2</v>
      </c>
      <c r="AQ51" s="333">
        <f t="shared" si="205"/>
        <v>4.3923034508375675E-2</v>
      </c>
      <c r="AR51" s="333">
        <f t="shared" si="205"/>
        <v>4.3449958645666281E-2</v>
      </c>
      <c r="AS51" s="333">
        <f t="shared" si="205"/>
        <v>4.2988709679524617E-2</v>
      </c>
      <c r="AT51" s="333">
        <f t="shared" si="205"/>
        <v>4.2538991937536505E-2</v>
      </c>
      <c r="AU51" s="333">
        <f t="shared" si="205"/>
        <v>4.2100517139098091E-2</v>
      </c>
      <c r="AV51" s="333">
        <f t="shared" si="205"/>
        <v>4.1673004210620639E-2</v>
      </c>
      <c r="AW51" s="333">
        <f t="shared" si="205"/>
        <v>4.1256179105355117E-2</v>
      </c>
      <c r="AX51" s="333">
        <f t="shared" si="205"/>
        <v>4.0849774627721241E-2</v>
      </c>
      <c r="AY51" s="333">
        <f t="shared" si="205"/>
        <v>4.0453530262028206E-2</v>
      </c>
      <c r="AZ51" s="24"/>
      <c r="BA51" s="24"/>
      <c r="BB51" s="24"/>
      <c r="BC51" s="24"/>
      <c r="BD51" s="24"/>
      <c r="BE51" s="24"/>
      <c r="BF51" s="24"/>
      <c r="BG51" s="24"/>
      <c r="BH51" s="24"/>
      <c r="BI51" s="24"/>
      <c r="BJ51" s="24"/>
      <c r="BK51" s="24"/>
      <c r="BL51" s="24"/>
      <c r="BM51" s="24"/>
      <c r="BN51" s="24"/>
      <c r="BQ51" s="230"/>
      <c r="BR51"/>
      <c r="BS51"/>
      <c r="BT51"/>
      <c r="BU51"/>
      <c r="BV51"/>
      <c r="BW51"/>
    </row>
    <row r="52" spans="1:75" s="22" customFormat="1">
      <c r="B52" s="314"/>
      <c r="C52" s="24"/>
      <c r="D52" s="28"/>
      <c r="E52" s="28"/>
      <c r="F52" s="28"/>
      <c r="G52" s="28"/>
      <c r="H52" s="28"/>
      <c r="I52" s="28"/>
      <c r="J52" s="28"/>
      <c r="K52" s="28"/>
      <c r="L52" s="28"/>
      <c r="M52" s="28"/>
      <c r="N52" s="28"/>
      <c r="O52" s="28"/>
      <c r="P52" s="28"/>
      <c r="Q52" s="28"/>
      <c r="R52" s="28"/>
      <c r="S52" s="28"/>
      <c r="T52" s="28"/>
      <c r="U52" s="28"/>
      <c r="V52" s="28"/>
      <c r="W52" s="28"/>
      <c r="X52" s="28"/>
      <c r="Y52" s="28"/>
      <c r="Z52" s="28"/>
      <c r="AA52" s="28"/>
      <c r="AB52" s="334">
        <v>2.2499999999999999E-2</v>
      </c>
      <c r="AC52" s="334">
        <v>0.02</v>
      </c>
      <c r="AD52" s="334">
        <f>+AC52*0.9</f>
        <v>1.8000000000000002E-2</v>
      </c>
      <c r="AE52" s="334">
        <f t="shared" ref="AE52" si="206">+AD52*0.9</f>
        <v>1.6200000000000003E-2</v>
      </c>
      <c r="AF52" s="334">
        <v>2.5000000000000001E-2</v>
      </c>
      <c r="AG52" s="334">
        <f>+AF52*0.975</f>
        <v>2.4375000000000001E-2</v>
      </c>
      <c r="AH52" s="334">
        <f t="shared" ref="AH52:AY52" si="207">+AG52*0.975</f>
        <v>2.3765624999999999E-2</v>
      </c>
      <c r="AI52" s="334">
        <f t="shared" si="207"/>
        <v>2.3171484374999999E-2</v>
      </c>
      <c r="AJ52" s="334">
        <f t="shared" si="207"/>
        <v>2.2592197265624999E-2</v>
      </c>
      <c r="AK52" s="334">
        <f t="shared" si="207"/>
        <v>2.2027392333984375E-2</v>
      </c>
      <c r="AL52" s="334">
        <f t="shared" si="207"/>
        <v>2.1476707525634766E-2</v>
      </c>
      <c r="AM52" s="334">
        <f t="shared" si="207"/>
        <v>2.0939789837493897E-2</v>
      </c>
      <c r="AN52" s="334">
        <f t="shared" si="207"/>
        <v>2.0416295091556548E-2</v>
      </c>
      <c r="AO52" s="334">
        <f t="shared" si="207"/>
        <v>1.9905887714267635E-2</v>
      </c>
      <c r="AP52" s="334">
        <f t="shared" si="207"/>
        <v>1.9408240521410942E-2</v>
      </c>
      <c r="AQ52" s="334">
        <f t="shared" si="207"/>
        <v>1.892303450837567E-2</v>
      </c>
      <c r="AR52" s="334">
        <f t="shared" si="207"/>
        <v>1.8449958645666276E-2</v>
      </c>
      <c r="AS52" s="334">
        <f t="shared" si="207"/>
        <v>1.7988709679524619E-2</v>
      </c>
      <c r="AT52" s="334">
        <f t="shared" si="207"/>
        <v>1.7538991937536504E-2</v>
      </c>
      <c r="AU52" s="334">
        <f t="shared" si="207"/>
        <v>1.710051713909809E-2</v>
      </c>
      <c r="AV52" s="334">
        <f t="shared" si="207"/>
        <v>1.6673004210620637E-2</v>
      </c>
      <c r="AW52" s="334">
        <f t="shared" si="207"/>
        <v>1.625617910535512E-2</v>
      </c>
      <c r="AX52" s="334">
        <f t="shared" si="207"/>
        <v>1.584977462772124E-2</v>
      </c>
      <c r="AY52" s="334">
        <f t="shared" si="207"/>
        <v>1.5453530262028208E-2</v>
      </c>
      <c r="AZ52" s="24"/>
      <c r="BA52" s="24"/>
      <c r="BB52" s="24"/>
      <c r="BC52" s="24"/>
      <c r="BD52" s="24"/>
      <c r="BE52" s="24"/>
      <c r="BF52" s="24"/>
      <c r="BG52" s="24"/>
      <c r="BH52" s="24"/>
      <c r="BI52" s="24"/>
      <c r="BJ52" s="24"/>
      <c r="BK52" s="24"/>
      <c r="BL52" s="24"/>
      <c r="BM52" s="24"/>
      <c r="BN52" s="24"/>
      <c r="BQ52" s="230"/>
      <c r="BR52"/>
      <c r="BS52"/>
      <c r="BT52"/>
      <c r="BU52"/>
      <c r="BV52"/>
      <c r="BW52"/>
    </row>
    <row r="53" spans="1:75" s="22" customFormat="1">
      <c r="B53" s="314"/>
      <c r="C53" s="24"/>
      <c r="D53" s="28"/>
      <c r="E53" s="28"/>
      <c r="F53" s="28"/>
      <c r="G53" s="28"/>
      <c r="H53" s="28"/>
      <c r="I53" s="28"/>
      <c r="J53" s="28"/>
      <c r="K53" s="28"/>
      <c r="L53" s="28"/>
      <c r="M53" s="28"/>
      <c r="N53" s="28"/>
      <c r="O53" s="28"/>
      <c r="P53" s="28"/>
      <c r="Q53" s="28"/>
      <c r="R53" s="28"/>
      <c r="S53" s="28"/>
      <c r="T53" s="28"/>
      <c r="U53" s="28"/>
      <c r="V53" s="28"/>
      <c r="W53" s="28"/>
      <c r="X53" s="28"/>
      <c r="Y53" s="28"/>
      <c r="Z53" s="28"/>
      <c r="AA53" s="28"/>
      <c r="AB53" s="333">
        <f t="shared" ref="AB53:AM53" si="208">+AB52-0.03</f>
        <v>-7.4999999999999997E-3</v>
      </c>
      <c r="AC53" s="333">
        <f t="shared" si="208"/>
        <v>-9.9999999999999985E-3</v>
      </c>
      <c r="AD53" s="333">
        <f t="shared" si="208"/>
        <v>-1.1999999999999997E-2</v>
      </c>
      <c r="AE53" s="333">
        <f t="shared" si="208"/>
        <v>-1.3799999999999996E-2</v>
      </c>
      <c r="AF53" s="333">
        <f t="shared" si="208"/>
        <v>-4.9999999999999975E-3</v>
      </c>
      <c r="AG53" s="333">
        <f t="shared" si="208"/>
        <v>-5.6249999999999981E-3</v>
      </c>
      <c r="AH53" s="333">
        <f t="shared" si="208"/>
        <v>-6.2343750000000003E-3</v>
      </c>
      <c r="AI53" s="333">
        <f t="shared" si="208"/>
        <v>-6.828515625E-3</v>
      </c>
      <c r="AJ53" s="333">
        <f t="shared" si="208"/>
        <v>-7.4078027343749998E-3</v>
      </c>
      <c r="AK53" s="333">
        <f t="shared" si="208"/>
        <v>-7.9726076660156242E-3</v>
      </c>
      <c r="AL53" s="333">
        <f t="shared" si="208"/>
        <v>-8.5232924743652329E-3</v>
      </c>
      <c r="AM53" s="333">
        <f t="shared" si="208"/>
        <v>-9.0602101625061014E-3</v>
      </c>
      <c r="AN53" s="333">
        <f t="shared" ref="AN53:AY53" si="209">+AN52-0.03</f>
        <v>-9.5837049084434509E-3</v>
      </c>
      <c r="AO53" s="333">
        <f t="shared" si="209"/>
        <v>-1.0094112285732364E-2</v>
      </c>
      <c r="AP53" s="333">
        <f t="shared" si="209"/>
        <v>-1.0591759478589056E-2</v>
      </c>
      <c r="AQ53" s="333">
        <f t="shared" si="209"/>
        <v>-1.1076965491624329E-2</v>
      </c>
      <c r="AR53" s="333">
        <f t="shared" si="209"/>
        <v>-1.1550041354333723E-2</v>
      </c>
      <c r="AS53" s="333">
        <f t="shared" si="209"/>
        <v>-1.201129032047538E-2</v>
      </c>
      <c r="AT53" s="333">
        <f t="shared" si="209"/>
        <v>-1.2461008062463495E-2</v>
      </c>
      <c r="AU53" s="333">
        <f t="shared" si="209"/>
        <v>-1.2899482860901909E-2</v>
      </c>
      <c r="AV53" s="333">
        <f t="shared" si="209"/>
        <v>-1.3326995789379362E-2</v>
      </c>
      <c r="AW53" s="333">
        <f t="shared" si="209"/>
        <v>-1.3743820894644879E-2</v>
      </c>
      <c r="AX53" s="333">
        <f t="shared" si="209"/>
        <v>-1.4150225372278759E-2</v>
      </c>
      <c r="AY53" s="333">
        <f t="shared" si="209"/>
        <v>-1.4546469737971791E-2</v>
      </c>
      <c r="AZ53" s="24"/>
      <c r="BA53" s="24"/>
      <c r="BB53" s="24"/>
      <c r="BC53" s="24"/>
      <c r="BD53" s="24"/>
      <c r="BE53" s="24"/>
      <c r="BF53" s="24"/>
      <c r="BG53" s="24"/>
      <c r="BH53" s="24"/>
      <c r="BI53" s="24"/>
      <c r="BJ53" s="24"/>
      <c r="BK53" s="24"/>
      <c r="BL53" s="24"/>
      <c r="BM53" s="24"/>
      <c r="BN53" s="24"/>
      <c r="BQ53" s="230"/>
      <c r="BR53"/>
      <c r="BS53"/>
      <c r="BT53"/>
      <c r="BU53"/>
      <c r="BV53"/>
      <c r="BW53"/>
    </row>
    <row r="54" spans="1:75" s="22" customFormat="1">
      <c r="B54" s="340" t="s">
        <v>451</v>
      </c>
      <c r="C54" s="24"/>
      <c r="D54" s="28"/>
      <c r="E54" s="28"/>
      <c r="F54" s="28"/>
      <c r="G54" s="28"/>
      <c r="H54" s="28"/>
      <c r="I54" s="28"/>
      <c r="J54" s="28"/>
      <c r="K54" s="28"/>
      <c r="L54" s="28">
        <v>10.514659999999999</v>
      </c>
      <c r="M54" s="28">
        <v>17.717390999999999</v>
      </c>
      <c r="N54" s="28">
        <v>25.629407</v>
      </c>
      <c r="O54" s="28">
        <v>4.1167170000000004</v>
      </c>
      <c r="P54" s="28">
        <v>13.618399999999999</v>
      </c>
      <c r="Q54" s="28">
        <v>10.585921000000001</v>
      </c>
      <c r="R54" s="28">
        <v>5.5825110000000002</v>
      </c>
      <c r="S54" s="28">
        <v>9.8496939999999995</v>
      </c>
      <c r="T54" s="28">
        <v>8.5663029999999996</v>
      </c>
      <c r="U54" s="28">
        <v>13.310055</v>
      </c>
      <c r="V54" s="28">
        <v>14.502971000000001</v>
      </c>
      <c r="W54" s="28">
        <v>11.605699</v>
      </c>
      <c r="X54" s="28">
        <v>4.3336969999999999</v>
      </c>
      <c r="Y54" s="28">
        <v>13.314696</v>
      </c>
      <c r="Z54" s="28">
        <v>15.329138</v>
      </c>
      <c r="AA54" s="28">
        <v>8.7194649999999996</v>
      </c>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c r="BE54" s="24"/>
      <c r="BF54" s="24"/>
      <c r="BG54" s="24"/>
      <c r="BH54" s="24"/>
      <c r="BI54" s="24"/>
      <c r="BJ54" s="24"/>
      <c r="BK54" s="24"/>
      <c r="BL54" s="24"/>
      <c r="BM54" s="24"/>
      <c r="BN54" s="24"/>
      <c r="BQ54" s="230"/>
      <c r="BR54"/>
      <c r="BS54"/>
      <c r="BT54"/>
      <c r="BU54"/>
      <c r="BV54"/>
      <c r="BW54"/>
    </row>
    <row r="55" spans="1:75" s="22" customFormat="1">
      <c r="B55" s="314" t="s">
        <v>450</v>
      </c>
      <c r="C55" s="24"/>
      <c r="D55" s="28"/>
      <c r="E55" s="28"/>
      <c r="F55" s="28"/>
      <c r="G55" s="28"/>
      <c r="H55" s="28"/>
      <c r="I55" s="28"/>
      <c r="J55" s="28"/>
      <c r="K55" s="28"/>
      <c r="L55" s="28">
        <v>12.246796</v>
      </c>
      <c r="M55" s="28">
        <v>19.172567999999998</v>
      </c>
      <c r="N55" s="28">
        <v>18.739920000000001</v>
      </c>
      <c r="O55" s="28">
        <v>18.815804</v>
      </c>
      <c r="P55" s="28">
        <v>17.829577</v>
      </c>
      <c r="Q55" s="28">
        <v>26.884426999999999</v>
      </c>
      <c r="R55" s="28">
        <v>37.887304</v>
      </c>
      <c r="S55" s="28">
        <v>38.669556</v>
      </c>
      <c r="T55" s="28">
        <v>38.666890000000002</v>
      </c>
      <c r="U55" s="28">
        <v>27.449190999999999</v>
      </c>
      <c r="V55" s="28">
        <v>29.775672</v>
      </c>
      <c r="W55" s="28">
        <v>33.118296000000001</v>
      </c>
      <c r="X55" s="28">
        <v>24.743966</v>
      </c>
      <c r="Y55" s="28">
        <v>34.787703999999998</v>
      </c>
      <c r="Z55" s="28">
        <v>32.585051999999997</v>
      </c>
      <c r="AA55" s="28">
        <v>26.943657999999999</v>
      </c>
      <c r="AB55" s="24">
        <f t="shared" ref="AB55:AM55" ca="1" si="210">+AB48*AB57</f>
        <v>23.394012</v>
      </c>
      <c r="AC55" s="24">
        <f t="shared" ca="1" si="210"/>
        <v>20.926396216249998</v>
      </c>
      <c r="AD55" s="24">
        <f t="shared" ca="1" si="210"/>
        <v>19.8771761287</v>
      </c>
      <c r="AE55" s="24">
        <f t="shared" ca="1" si="210"/>
        <v>19.52201768929535</v>
      </c>
      <c r="AF55" s="24">
        <f t="shared" ca="1" si="210"/>
        <v>23.399628035420566</v>
      </c>
      <c r="AG55" s="24">
        <f t="shared" ca="1" si="210"/>
        <v>21.338429071557666</v>
      </c>
      <c r="AH55" s="24">
        <f t="shared" ca="1" si="210"/>
        <v>20.805927321286372</v>
      </c>
      <c r="AI55" s="24">
        <f t="shared" ca="1" si="210"/>
        <v>20.884544046311305</v>
      </c>
      <c r="AJ55" s="24">
        <f t="shared" ca="1" si="210"/>
        <v>21.207074934436349</v>
      </c>
      <c r="AK55" s="24">
        <f t="shared" ca="1" si="210"/>
        <v>21.626470614473284</v>
      </c>
      <c r="AL55" s="24">
        <f t="shared" ca="1" si="210"/>
        <v>22.083749015577634</v>
      </c>
      <c r="AM55" s="24">
        <f t="shared" ca="1" si="210"/>
        <v>22.555160441016948</v>
      </c>
      <c r="AN55" s="24">
        <f t="shared" ref="AN55:AY55" ca="1" si="211">+AN48*AN57</f>
        <v>23.031053705294458</v>
      </c>
      <c r="AO55" s="24">
        <f t="shared" ca="1" si="211"/>
        <v>23.507422675161759</v>
      </c>
      <c r="AP55" s="24">
        <f t="shared" ca="1" si="211"/>
        <v>23.982524951732735</v>
      </c>
      <c r="AQ55" s="24">
        <f t="shared" ca="1" si="211"/>
        <v>24.455529389607896</v>
      </c>
      <c r="AR55" s="24">
        <f t="shared" ca="1" si="211"/>
        <v>24.925975132414255</v>
      </c>
      <c r="AS55" s="24">
        <f t="shared" ca="1" si="211"/>
        <v>25.393555237574294</v>
      </c>
      <c r="AT55" s="24">
        <f t="shared" ca="1" si="211"/>
        <v>25.858030120483591</v>
      </c>
      <c r="AU55" s="24">
        <f t="shared" ca="1" si="211"/>
        <v>26.31919291122016</v>
      </c>
      <c r="AV55" s="24">
        <f t="shared" ca="1" si="211"/>
        <v>26.776855562076879</v>
      </c>
      <c r="AW55" s="24">
        <f t="shared" ca="1" si="211"/>
        <v>27.230843242261692</v>
      </c>
      <c r="AX55" s="24">
        <f t="shared" ca="1" si="211"/>
        <v>27.680992035313533</v>
      </c>
      <c r="AY55" s="24">
        <f t="shared" ca="1" si="211"/>
        <v>28.127147946440676</v>
      </c>
      <c r="AZ55" s="24"/>
      <c r="BA55" s="24"/>
      <c r="BB55" s="24"/>
      <c r="BC55" s="24"/>
      <c r="BD55" s="24"/>
      <c r="BE55" s="24"/>
      <c r="BF55" s="24"/>
      <c r="BG55" s="24"/>
      <c r="BH55" s="24"/>
      <c r="BI55" s="24"/>
      <c r="BJ55" s="24"/>
      <c r="BK55" s="24"/>
      <c r="BL55" s="24"/>
      <c r="BM55" s="24"/>
      <c r="BN55" s="24"/>
      <c r="BQ55" s="230"/>
      <c r="BR55"/>
      <c r="BS55"/>
      <c r="BT55"/>
      <c r="BU55"/>
      <c r="BV55"/>
      <c r="BW55"/>
    </row>
    <row r="56" spans="1:75" s="22" customFormat="1">
      <c r="B56" s="340" t="s">
        <v>446</v>
      </c>
      <c r="C56" s="24"/>
      <c r="D56" s="28"/>
      <c r="E56" s="28"/>
      <c r="F56" s="28"/>
      <c r="G56" s="28"/>
      <c r="H56" s="28"/>
      <c r="I56" s="28"/>
      <c r="J56" s="28"/>
      <c r="K56" s="28"/>
      <c r="L56" s="28"/>
      <c r="M56" s="28"/>
      <c r="N56" s="28"/>
      <c r="O56" s="28"/>
      <c r="P56" s="28"/>
      <c r="Q56" s="28"/>
      <c r="R56" s="28"/>
      <c r="S56" s="24">
        <f t="shared" ref="S56:AY56" si="212">+S55/12*2</f>
        <v>6.4449259999999997</v>
      </c>
      <c r="T56" s="24">
        <f t="shared" ref="T56:Y56" si="213">+T55/12*2</f>
        <v>6.4444816666666673</v>
      </c>
      <c r="U56" s="24">
        <f t="shared" si="213"/>
        <v>4.5748651666666662</v>
      </c>
      <c r="V56" s="24">
        <f t="shared" si="213"/>
        <v>4.962612</v>
      </c>
      <c r="W56" s="24">
        <f t="shared" si="213"/>
        <v>5.5197159999999998</v>
      </c>
      <c r="X56" s="24">
        <f t="shared" si="213"/>
        <v>4.1239943333333331</v>
      </c>
      <c r="Y56" s="24">
        <f t="shared" si="213"/>
        <v>5.797950666666666</v>
      </c>
      <c r="Z56" s="24">
        <f t="shared" ref="Z56:AA56" si="214">+Z55/12*2</f>
        <v>5.4308419999999993</v>
      </c>
      <c r="AA56" s="24">
        <f t="shared" si="214"/>
        <v>4.4906096666666668</v>
      </c>
      <c r="AB56" s="24">
        <f t="shared" ca="1" si="212"/>
        <v>3.8990019999999999</v>
      </c>
      <c r="AC56" s="24">
        <f t="shared" ca="1" si="212"/>
        <v>3.4877327027083331</v>
      </c>
      <c r="AD56" s="24">
        <f t="shared" ca="1" si="212"/>
        <v>3.3128626881166667</v>
      </c>
      <c r="AE56" s="24">
        <f t="shared" ca="1" si="212"/>
        <v>3.2536696148825581</v>
      </c>
      <c r="AF56" s="24">
        <f t="shared" ca="1" si="212"/>
        <v>3.8999380059034277</v>
      </c>
      <c r="AG56" s="24">
        <f t="shared" ca="1" si="212"/>
        <v>3.5564048452596109</v>
      </c>
      <c r="AH56" s="24">
        <f t="shared" ca="1" si="212"/>
        <v>3.4676545535477286</v>
      </c>
      <c r="AI56" s="24">
        <f t="shared" ca="1" si="212"/>
        <v>3.4807573410518842</v>
      </c>
      <c r="AJ56" s="24">
        <f t="shared" ca="1" si="212"/>
        <v>3.5345124890727249</v>
      </c>
      <c r="AK56" s="24">
        <f t="shared" ca="1" si="212"/>
        <v>3.6044117690788808</v>
      </c>
      <c r="AL56" s="24">
        <f t="shared" ca="1" si="212"/>
        <v>3.6806248359296059</v>
      </c>
      <c r="AM56" s="24">
        <f t="shared" ca="1" si="212"/>
        <v>3.7591934068361579</v>
      </c>
      <c r="AN56" s="24">
        <f t="shared" ca="1" si="212"/>
        <v>3.8385089508824097</v>
      </c>
      <c r="AO56" s="24">
        <f t="shared" ca="1" si="212"/>
        <v>3.9179037791936264</v>
      </c>
      <c r="AP56" s="24">
        <f t="shared" ca="1" si="212"/>
        <v>3.997087491955456</v>
      </c>
      <c r="AQ56" s="24">
        <f t="shared" ca="1" si="212"/>
        <v>4.0759215649346494</v>
      </c>
      <c r="AR56" s="24">
        <f t="shared" ca="1" si="212"/>
        <v>4.1543291887357094</v>
      </c>
      <c r="AS56" s="24">
        <f t="shared" ca="1" si="212"/>
        <v>4.2322592062623823</v>
      </c>
      <c r="AT56" s="24">
        <f t="shared" ca="1" si="212"/>
        <v>4.3096716867472651</v>
      </c>
      <c r="AU56" s="24">
        <f t="shared" ca="1" si="212"/>
        <v>4.3865321518700267</v>
      </c>
      <c r="AV56" s="24">
        <f t="shared" ca="1" si="212"/>
        <v>4.4628092603461464</v>
      </c>
      <c r="AW56" s="24">
        <f t="shared" ca="1" si="212"/>
        <v>4.5384738737102817</v>
      </c>
      <c r="AX56" s="24">
        <f t="shared" ca="1" si="212"/>
        <v>4.6134986725522555</v>
      </c>
      <c r="AY56" s="24">
        <f t="shared" ca="1" si="212"/>
        <v>4.6878579910734457</v>
      </c>
      <c r="AZ56" s="24"/>
      <c r="BA56" s="24"/>
      <c r="BB56" s="24"/>
      <c r="BC56" s="24"/>
      <c r="BD56" s="24"/>
      <c r="BE56" s="24"/>
      <c r="BF56" s="24"/>
      <c r="BG56" s="24"/>
      <c r="BH56" s="24"/>
      <c r="BI56" s="24"/>
      <c r="BJ56" s="24"/>
      <c r="BK56" s="24"/>
      <c r="BL56" s="24"/>
      <c r="BM56" s="24"/>
      <c r="BN56" s="24"/>
      <c r="BQ56" s="230"/>
      <c r="BR56"/>
      <c r="BS56"/>
      <c r="BT56"/>
      <c r="BU56"/>
      <c r="BV56"/>
      <c r="BW56"/>
    </row>
    <row r="57" spans="1:75" s="22" customFormat="1">
      <c r="B57" s="340" t="s">
        <v>453</v>
      </c>
      <c r="C57" s="24"/>
      <c r="D57" s="28"/>
      <c r="E57" s="28"/>
      <c r="F57" s="28"/>
      <c r="G57" s="28"/>
      <c r="H57" s="28"/>
      <c r="I57" s="28"/>
      <c r="J57" s="28"/>
      <c r="K57" s="28"/>
      <c r="L57" s="28"/>
      <c r="M57" s="28"/>
      <c r="N57" s="28"/>
      <c r="O57" s="222">
        <f t="shared" ref="O57:T57" si="215">+O55/O48</f>
        <v>0.30057194888178912</v>
      </c>
      <c r="P57" s="222">
        <f t="shared" si="215"/>
        <v>0.3084701903114187</v>
      </c>
      <c r="Q57" s="222">
        <f t="shared" si="215"/>
        <v>0.41810928460342145</v>
      </c>
      <c r="R57" s="222">
        <f t="shared" si="215"/>
        <v>0.55148914119359538</v>
      </c>
      <c r="S57" s="222">
        <f t="shared" si="215"/>
        <v>0.63082473083197388</v>
      </c>
      <c r="T57" s="222">
        <f t="shared" si="215"/>
        <v>0.81062662473794544</v>
      </c>
      <c r="U57" s="222">
        <f t="shared" ref="U57:Z57" si="216">+U55/U48</f>
        <v>0.53196106589147285</v>
      </c>
      <c r="V57" s="222">
        <f t="shared" si="216"/>
        <v>0.6064291649694501</v>
      </c>
      <c r="W57" s="222">
        <f t="shared" si="216"/>
        <v>0.65193496062992129</v>
      </c>
      <c r="X57" s="222">
        <f t="shared" si="216"/>
        <v>0.57410593967517398</v>
      </c>
      <c r="Y57" s="222">
        <f t="shared" si="216"/>
        <v>0.83025546539379469</v>
      </c>
      <c r="Z57" s="222">
        <f t="shared" si="216"/>
        <v>0.82136295468170839</v>
      </c>
      <c r="AA57" s="222">
        <f t="shared" ref="AA57" si="217">+AA55/AA48</f>
        <v>0.4764131813657842</v>
      </c>
      <c r="AB57" s="339">
        <f t="shared" ref="AB57:AY57" ca="1" si="218">+OFFSET(AB57,$C$5,0)</f>
        <v>0.5</v>
      </c>
      <c r="AC57" s="339">
        <f t="shared" ca="1" si="218"/>
        <v>0.5</v>
      </c>
      <c r="AD57" s="339">
        <f t="shared" ca="1" si="218"/>
        <v>0.5</v>
      </c>
      <c r="AE57" s="339">
        <f t="shared" ca="1" si="218"/>
        <v>0.5</v>
      </c>
      <c r="AF57" s="339">
        <f t="shared" ca="1" si="218"/>
        <v>0.6</v>
      </c>
      <c r="AG57" s="339">
        <f t="shared" ca="1" si="218"/>
        <v>0.6</v>
      </c>
      <c r="AH57" s="339">
        <f t="shared" ca="1" si="218"/>
        <v>0.6</v>
      </c>
      <c r="AI57" s="339">
        <f t="shared" ca="1" si="218"/>
        <v>0.6</v>
      </c>
      <c r="AJ57" s="339">
        <f t="shared" ca="1" si="218"/>
        <v>0.6</v>
      </c>
      <c r="AK57" s="339">
        <f t="shared" ca="1" si="218"/>
        <v>0.6</v>
      </c>
      <c r="AL57" s="339">
        <f t="shared" ca="1" si="218"/>
        <v>0.6</v>
      </c>
      <c r="AM57" s="339">
        <f t="shared" ca="1" si="218"/>
        <v>0.6</v>
      </c>
      <c r="AN57" s="339">
        <f t="shared" ca="1" si="218"/>
        <v>0.6</v>
      </c>
      <c r="AO57" s="339">
        <f t="shared" ca="1" si="218"/>
        <v>0.6</v>
      </c>
      <c r="AP57" s="339">
        <f t="shared" ca="1" si="218"/>
        <v>0.6</v>
      </c>
      <c r="AQ57" s="339">
        <f t="shared" ca="1" si="218"/>
        <v>0.6</v>
      </c>
      <c r="AR57" s="339">
        <f t="shared" ca="1" si="218"/>
        <v>0.6</v>
      </c>
      <c r="AS57" s="339">
        <f t="shared" ca="1" si="218"/>
        <v>0.6</v>
      </c>
      <c r="AT57" s="339">
        <f t="shared" ca="1" si="218"/>
        <v>0.6</v>
      </c>
      <c r="AU57" s="339">
        <f t="shared" ca="1" si="218"/>
        <v>0.6</v>
      </c>
      <c r="AV57" s="339">
        <f t="shared" ca="1" si="218"/>
        <v>0.6</v>
      </c>
      <c r="AW57" s="339">
        <f t="shared" ca="1" si="218"/>
        <v>0.6</v>
      </c>
      <c r="AX57" s="339">
        <f t="shared" ca="1" si="218"/>
        <v>0.6</v>
      </c>
      <c r="AY57" s="339">
        <f t="shared" ca="1" si="218"/>
        <v>0.6</v>
      </c>
      <c r="AZ57" s="24"/>
      <c r="BA57" s="24"/>
      <c r="BB57" s="24"/>
      <c r="BC57" s="24"/>
      <c r="BD57" s="24"/>
      <c r="BE57" s="24"/>
      <c r="BF57" s="24"/>
      <c r="BG57" s="24"/>
      <c r="BH57" s="24"/>
      <c r="BI57" s="24"/>
      <c r="BJ57" s="24"/>
      <c r="BK57" s="24"/>
      <c r="BL57" s="24"/>
      <c r="BM57" s="24"/>
      <c r="BN57" s="24"/>
      <c r="BQ57" s="230"/>
      <c r="BR57"/>
      <c r="BS57"/>
      <c r="BT57"/>
      <c r="BU57"/>
      <c r="BV57"/>
      <c r="BW57"/>
    </row>
    <row r="58" spans="1:75" s="22" customFormat="1">
      <c r="B58" s="314"/>
      <c r="C58" s="24"/>
      <c r="D58" s="28"/>
      <c r="E58" s="28"/>
      <c r="F58" s="28"/>
      <c r="G58" s="28"/>
      <c r="H58" s="28"/>
      <c r="I58" s="28"/>
      <c r="J58" s="28"/>
      <c r="K58" s="28"/>
      <c r="L58" s="28"/>
      <c r="M58" s="28"/>
      <c r="N58" s="28"/>
      <c r="O58" s="28"/>
      <c r="P58" s="28"/>
      <c r="Q58" s="28"/>
      <c r="R58" s="28"/>
      <c r="S58" s="28"/>
      <c r="T58" s="28"/>
      <c r="U58" s="28"/>
      <c r="V58" s="28"/>
      <c r="W58" s="28"/>
      <c r="X58" s="28"/>
      <c r="Y58" s="28"/>
      <c r="Z58" s="28"/>
      <c r="AA58" s="28"/>
      <c r="AB58" s="333">
        <f t="shared" ref="AB58:AY58" si="219">+AB59+0.05</f>
        <v>0.55000000000000004</v>
      </c>
      <c r="AC58" s="333">
        <f t="shared" si="219"/>
        <v>0.55000000000000004</v>
      </c>
      <c r="AD58" s="333">
        <f t="shared" si="219"/>
        <v>0.55000000000000004</v>
      </c>
      <c r="AE58" s="333">
        <f t="shared" si="219"/>
        <v>0.55000000000000004</v>
      </c>
      <c r="AF58" s="333">
        <f t="shared" si="219"/>
        <v>0.65</v>
      </c>
      <c r="AG58" s="333">
        <f t="shared" si="219"/>
        <v>0.65</v>
      </c>
      <c r="AH58" s="333">
        <f t="shared" si="219"/>
        <v>0.65</v>
      </c>
      <c r="AI58" s="333">
        <f t="shared" si="219"/>
        <v>0.65</v>
      </c>
      <c r="AJ58" s="333">
        <f t="shared" si="219"/>
        <v>0.65</v>
      </c>
      <c r="AK58" s="333">
        <f t="shared" si="219"/>
        <v>0.65</v>
      </c>
      <c r="AL58" s="333">
        <f t="shared" si="219"/>
        <v>0.65</v>
      </c>
      <c r="AM58" s="333">
        <f t="shared" si="219"/>
        <v>0.65</v>
      </c>
      <c r="AN58" s="333">
        <f t="shared" si="219"/>
        <v>0.65</v>
      </c>
      <c r="AO58" s="333">
        <f t="shared" si="219"/>
        <v>0.65</v>
      </c>
      <c r="AP58" s="333">
        <f t="shared" si="219"/>
        <v>0.65</v>
      </c>
      <c r="AQ58" s="333">
        <f t="shared" si="219"/>
        <v>0.65</v>
      </c>
      <c r="AR58" s="333">
        <f t="shared" si="219"/>
        <v>0.65</v>
      </c>
      <c r="AS58" s="333">
        <f t="shared" si="219"/>
        <v>0.65</v>
      </c>
      <c r="AT58" s="333">
        <f t="shared" si="219"/>
        <v>0.65</v>
      </c>
      <c r="AU58" s="333">
        <f t="shared" si="219"/>
        <v>0.65</v>
      </c>
      <c r="AV58" s="333">
        <f t="shared" si="219"/>
        <v>0.65</v>
      </c>
      <c r="AW58" s="333">
        <f t="shared" si="219"/>
        <v>0.65</v>
      </c>
      <c r="AX58" s="333">
        <f t="shared" si="219"/>
        <v>0.65</v>
      </c>
      <c r="AY58" s="333">
        <f t="shared" si="219"/>
        <v>0.65</v>
      </c>
      <c r="AZ58" s="24"/>
      <c r="BA58" s="24"/>
      <c r="BB58" s="24"/>
      <c r="BC58" s="24"/>
      <c r="BD58" s="24"/>
      <c r="BE58" s="24"/>
      <c r="BF58" s="24"/>
      <c r="BG58" s="24"/>
      <c r="BH58" s="24"/>
      <c r="BI58" s="24"/>
      <c r="BJ58" s="24"/>
      <c r="BK58" s="24"/>
      <c r="BL58" s="24"/>
      <c r="BM58" s="24"/>
      <c r="BN58" s="24"/>
      <c r="BQ58" s="230"/>
      <c r="BR58"/>
      <c r="BS58"/>
      <c r="BT58"/>
      <c r="BU58"/>
      <c r="BV58"/>
      <c r="BW58"/>
    </row>
    <row r="59" spans="1:75" s="22" customFormat="1">
      <c r="B59" s="314"/>
      <c r="C59" s="24"/>
      <c r="D59" s="28"/>
      <c r="E59" s="28"/>
      <c r="F59" s="28"/>
      <c r="G59" s="28"/>
      <c r="H59" s="28"/>
      <c r="I59" s="28"/>
      <c r="J59" s="28"/>
      <c r="K59" s="28"/>
      <c r="L59" s="28"/>
      <c r="M59" s="28"/>
      <c r="N59" s="28"/>
      <c r="O59" s="222"/>
      <c r="P59" s="222"/>
      <c r="Q59" s="222"/>
      <c r="R59" s="222"/>
      <c r="S59" s="222"/>
      <c r="T59" s="222"/>
      <c r="U59" s="222"/>
      <c r="V59" s="222"/>
      <c r="W59" s="222"/>
      <c r="X59" s="222"/>
      <c r="Y59" s="222"/>
      <c r="Z59" s="222"/>
      <c r="AA59" s="222"/>
      <c r="AB59" s="334">
        <v>0.5</v>
      </c>
      <c r="AC59" s="334">
        <v>0.5</v>
      </c>
      <c r="AD59" s="334">
        <v>0.5</v>
      </c>
      <c r="AE59" s="334">
        <v>0.5</v>
      </c>
      <c r="AF59" s="334">
        <v>0.6</v>
      </c>
      <c r="AG59" s="334">
        <v>0.6</v>
      </c>
      <c r="AH59" s="334">
        <v>0.6</v>
      </c>
      <c r="AI59" s="334">
        <v>0.6</v>
      </c>
      <c r="AJ59" s="334">
        <v>0.6</v>
      </c>
      <c r="AK59" s="334">
        <v>0.6</v>
      </c>
      <c r="AL59" s="334">
        <v>0.6</v>
      </c>
      <c r="AM59" s="334">
        <v>0.6</v>
      </c>
      <c r="AN59" s="334">
        <v>0.6</v>
      </c>
      <c r="AO59" s="334">
        <v>0.6</v>
      </c>
      <c r="AP59" s="334">
        <v>0.6</v>
      </c>
      <c r="AQ59" s="334">
        <v>0.6</v>
      </c>
      <c r="AR59" s="334">
        <v>0.6</v>
      </c>
      <c r="AS59" s="334">
        <v>0.6</v>
      </c>
      <c r="AT59" s="334">
        <v>0.6</v>
      </c>
      <c r="AU59" s="334">
        <v>0.6</v>
      </c>
      <c r="AV59" s="334">
        <v>0.6</v>
      </c>
      <c r="AW59" s="334">
        <v>0.6</v>
      </c>
      <c r="AX59" s="334">
        <v>0.6</v>
      </c>
      <c r="AY59" s="334">
        <v>0.6</v>
      </c>
      <c r="AZ59" s="24"/>
      <c r="BA59" s="24"/>
      <c r="BB59" s="24"/>
      <c r="BC59" s="24"/>
      <c r="BD59" s="24"/>
      <c r="BE59" s="24"/>
      <c r="BF59" s="24"/>
      <c r="BG59" s="24"/>
      <c r="BH59" s="24"/>
      <c r="BI59" s="24"/>
      <c r="BJ59" s="24"/>
      <c r="BK59" s="24"/>
      <c r="BL59" s="24"/>
      <c r="BM59" s="24"/>
      <c r="BN59" s="24"/>
      <c r="BQ59" s="230"/>
      <c r="BR59"/>
      <c r="BS59"/>
      <c r="BT59"/>
      <c r="BU59"/>
      <c r="BV59"/>
      <c r="BW59"/>
    </row>
    <row r="60" spans="1:75" s="22" customFormat="1">
      <c r="B60" s="314"/>
      <c r="C60" s="24"/>
      <c r="D60" s="28"/>
      <c r="E60" s="28"/>
      <c r="F60" s="28"/>
      <c r="G60" s="28"/>
      <c r="H60" s="28"/>
      <c r="I60" s="28"/>
      <c r="J60" s="28"/>
      <c r="K60" s="28"/>
      <c r="L60" s="28"/>
      <c r="M60" s="28"/>
      <c r="N60" s="28"/>
      <c r="O60" s="28"/>
      <c r="P60" s="28"/>
      <c r="Q60" s="28"/>
      <c r="R60" s="28"/>
      <c r="S60" s="28"/>
      <c r="T60" s="28"/>
      <c r="U60" s="28"/>
      <c r="V60" s="28"/>
      <c r="W60" s="28"/>
      <c r="X60" s="28"/>
      <c r="Y60" s="28"/>
      <c r="Z60" s="28"/>
      <c r="AA60" s="28"/>
      <c r="AB60" s="333">
        <f t="shared" ref="AB60:AM60" si="220">+AB59-0.05</f>
        <v>0.45</v>
      </c>
      <c r="AC60" s="333">
        <f t="shared" si="220"/>
        <v>0.45</v>
      </c>
      <c r="AD60" s="333">
        <f t="shared" si="220"/>
        <v>0.45</v>
      </c>
      <c r="AE60" s="333">
        <f t="shared" si="220"/>
        <v>0.45</v>
      </c>
      <c r="AF60" s="333">
        <f t="shared" si="220"/>
        <v>0.54999999999999993</v>
      </c>
      <c r="AG60" s="333">
        <f t="shared" si="220"/>
        <v>0.54999999999999993</v>
      </c>
      <c r="AH60" s="333">
        <f t="shared" si="220"/>
        <v>0.54999999999999993</v>
      </c>
      <c r="AI60" s="333">
        <f t="shared" si="220"/>
        <v>0.54999999999999993</v>
      </c>
      <c r="AJ60" s="333">
        <f t="shared" si="220"/>
        <v>0.54999999999999993</v>
      </c>
      <c r="AK60" s="333">
        <f t="shared" si="220"/>
        <v>0.54999999999999993</v>
      </c>
      <c r="AL60" s="333">
        <f t="shared" si="220"/>
        <v>0.54999999999999993</v>
      </c>
      <c r="AM60" s="333">
        <f t="shared" si="220"/>
        <v>0.54999999999999993</v>
      </c>
      <c r="AN60" s="333">
        <f t="shared" ref="AN60:AY60" si="221">+AN59-0.05</f>
        <v>0.54999999999999993</v>
      </c>
      <c r="AO60" s="333">
        <f t="shared" si="221"/>
        <v>0.54999999999999993</v>
      </c>
      <c r="AP60" s="333">
        <f t="shared" si="221"/>
        <v>0.54999999999999993</v>
      </c>
      <c r="AQ60" s="333">
        <f t="shared" si="221"/>
        <v>0.54999999999999993</v>
      </c>
      <c r="AR60" s="333">
        <f t="shared" si="221"/>
        <v>0.54999999999999993</v>
      </c>
      <c r="AS60" s="333">
        <f t="shared" si="221"/>
        <v>0.54999999999999993</v>
      </c>
      <c r="AT60" s="333">
        <f t="shared" si="221"/>
        <v>0.54999999999999993</v>
      </c>
      <c r="AU60" s="333">
        <f t="shared" si="221"/>
        <v>0.54999999999999993</v>
      </c>
      <c r="AV60" s="333">
        <f t="shared" si="221"/>
        <v>0.54999999999999993</v>
      </c>
      <c r="AW60" s="333">
        <f t="shared" si="221"/>
        <v>0.54999999999999993</v>
      </c>
      <c r="AX60" s="333">
        <f t="shared" si="221"/>
        <v>0.54999999999999993</v>
      </c>
      <c r="AY60" s="333">
        <f t="shared" si="221"/>
        <v>0.54999999999999993</v>
      </c>
      <c r="AZ60" s="24"/>
      <c r="BA60" s="24"/>
      <c r="BB60" s="24"/>
      <c r="BC60" s="24"/>
      <c r="BD60" s="24"/>
      <c r="BE60" s="24"/>
      <c r="BF60" s="24"/>
      <c r="BG60" s="24"/>
      <c r="BH60" s="24"/>
      <c r="BI60" s="24"/>
      <c r="BJ60" s="24"/>
      <c r="BK60" s="24"/>
      <c r="BL60" s="24"/>
      <c r="BM60" s="24"/>
      <c r="BN60" s="24"/>
      <c r="BQ60" s="230"/>
      <c r="BR60"/>
      <c r="BS60"/>
      <c r="BT60"/>
      <c r="BU60"/>
      <c r="BV60"/>
      <c r="BW60"/>
    </row>
    <row r="61" spans="1:75" s="22" customFormat="1">
      <c r="B61" s="314" t="s">
        <v>449</v>
      </c>
      <c r="C61" s="24"/>
      <c r="D61" s="28"/>
      <c r="E61" s="28"/>
      <c r="F61" s="28"/>
      <c r="G61" s="28"/>
      <c r="H61" s="28"/>
      <c r="I61" s="28"/>
      <c r="J61" s="39">
        <f>+J48+J49-J55</f>
        <v>27.599999999999998</v>
      </c>
      <c r="K61" s="39">
        <f>+K48+K49-K55</f>
        <v>23.5</v>
      </c>
      <c r="L61" s="39">
        <f>+L48+L49-L55</f>
        <v>29.445362999999997</v>
      </c>
      <c r="M61" s="39">
        <f t="shared" ref="M61:S61" si="222">+M48+M49-M55</f>
        <v>32.416167999999999</v>
      </c>
      <c r="N61" s="39">
        <f t="shared" si="222"/>
        <v>54.677818000000002</v>
      </c>
      <c r="O61" s="39">
        <f t="shared" si="222"/>
        <v>54.501652000000007</v>
      </c>
      <c r="P61" s="39">
        <f t="shared" si="222"/>
        <v>67.748713999999993</v>
      </c>
      <c r="Q61" s="39">
        <f t="shared" si="222"/>
        <v>54.150143999999997</v>
      </c>
      <c r="R61" s="39">
        <f t="shared" si="222"/>
        <v>43.482102999999995</v>
      </c>
      <c r="S61" s="39">
        <f t="shared" si="222"/>
        <v>40.101523999999998</v>
      </c>
      <c r="T61" s="39">
        <f t="shared" ref="T61:Y61" si="223">+T48+T49-T55</f>
        <v>29.536641999999993</v>
      </c>
      <c r="U61" s="39">
        <f t="shared" si="223"/>
        <v>49.937927000000002</v>
      </c>
      <c r="V61" s="39">
        <f t="shared" si="223"/>
        <v>48.301916000000006</v>
      </c>
      <c r="W61" s="39">
        <f t="shared" si="223"/>
        <v>40.387081999999992</v>
      </c>
      <c r="X61" s="39">
        <f t="shared" si="223"/>
        <v>33.318629000000001</v>
      </c>
      <c r="Y61" s="39">
        <f t="shared" si="223"/>
        <v>28.290154000000001</v>
      </c>
      <c r="Z61" s="39">
        <f t="shared" ref="Z61:AA61" si="224">+Z48+Z49-Z55</f>
        <v>45.683259000000014</v>
      </c>
      <c r="AA61" s="39">
        <f t="shared" si="224"/>
        <v>47.664170999999996</v>
      </c>
      <c r="AB61" s="39">
        <f t="shared" ref="AB61:AM61" ca="1" si="225">+AB48+AB49-AB55</f>
        <v>41.852792432499996</v>
      </c>
      <c r="AC61" s="39">
        <f t="shared" ca="1" si="225"/>
        <v>39.754352257400001</v>
      </c>
      <c r="AD61" s="39">
        <f t="shared" ca="1" si="225"/>
        <v>39.044035378590699</v>
      </c>
      <c r="AE61" s="39">
        <f t="shared" ca="1" si="225"/>
        <v>38.99938005903428</v>
      </c>
      <c r="AF61" s="39">
        <f t="shared" ca="1" si="225"/>
        <v>35.564048452596111</v>
      </c>
      <c r="AG61" s="39">
        <f t="shared" ca="1" si="225"/>
        <v>34.676545535477288</v>
      </c>
      <c r="AH61" s="39">
        <f t="shared" ca="1" si="225"/>
        <v>34.807573410518842</v>
      </c>
      <c r="AI61" s="39">
        <f t="shared" ca="1" si="225"/>
        <v>35.345124890727249</v>
      </c>
      <c r="AJ61" s="39">
        <f t="shared" ca="1" si="225"/>
        <v>36.044117690788809</v>
      </c>
      <c r="AK61" s="39">
        <f t="shared" ca="1" si="225"/>
        <v>36.806248359296056</v>
      </c>
      <c r="AL61" s="39">
        <f t="shared" ca="1" si="225"/>
        <v>37.591934068361581</v>
      </c>
      <c r="AM61" s="39">
        <f t="shared" ca="1" si="225"/>
        <v>38.385089508824095</v>
      </c>
      <c r="AN61" s="39">
        <f t="shared" ref="AN61:AY61" ca="1" si="226">+AN48+AN49-AN55</f>
        <v>39.179037791936267</v>
      </c>
      <c r="AO61" s="39">
        <f t="shared" ca="1" si="226"/>
        <v>39.970874919554561</v>
      </c>
      <c r="AP61" s="39">
        <f t="shared" ca="1" si="226"/>
        <v>40.759215649346494</v>
      </c>
      <c r="AQ61" s="39">
        <f t="shared" ca="1" si="226"/>
        <v>41.543291887357093</v>
      </c>
      <c r="AR61" s="39">
        <f t="shared" ca="1" si="226"/>
        <v>42.322592062623826</v>
      </c>
      <c r="AS61" s="39">
        <f t="shared" ca="1" si="226"/>
        <v>43.096716867472651</v>
      </c>
      <c r="AT61" s="39">
        <f t="shared" ca="1" si="226"/>
        <v>43.86532151870027</v>
      </c>
      <c r="AU61" s="39">
        <f t="shared" ca="1" si="226"/>
        <v>44.628092603461468</v>
      </c>
      <c r="AV61" s="39">
        <f t="shared" ca="1" si="226"/>
        <v>45.384738737102822</v>
      </c>
      <c r="AW61" s="39">
        <f t="shared" ca="1" si="226"/>
        <v>46.134986725522559</v>
      </c>
      <c r="AX61" s="39">
        <f t="shared" ca="1" si="226"/>
        <v>46.878579910734459</v>
      </c>
      <c r="AY61" s="39">
        <f t="shared" ca="1" si="226"/>
        <v>47.61527737271021</v>
      </c>
      <c r="AZ61" s="24"/>
      <c r="BA61" s="24"/>
      <c r="BB61" s="24"/>
      <c r="BC61" s="24"/>
      <c r="BD61" s="24"/>
      <c r="BE61" s="24"/>
      <c r="BF61" s="24"/>
      <c r="BG61" s="24"/>
      <c r="BH61" s="24"/>
      <c r="BI61" s="24"/>
      <c r="BJ61" s="24"/>
      <c r="BK61" s="24"/>
      <c r="BL61" s="24"/>
      <c r="BM61" s="24"/>
      <c r="BN61" s="24"/>
      <c r="BQ61" s="230"/>
      <c r="BR61"/>
      <c r="BS61"/>
      <c r="BT61"/>
      <c r="BU61"/>
      <c r="BV61"/>
      <c r="BW61"/>
    </row>
    <row r="62" spans="1:75" s="22" customFormat="1">
      <c r="B62" s="314" t="s">
        <v>452</v>
      </c>
      <c r="C62" s="24"/>
      <c r="D62" s="28"/>
      <c r="E62" s="28"/>
      <c r="F62" s="28"/>
      <c r="G62" s="28"/>
      <c r="H62" s="28"/>
      <c r="I62" s="28">
        <v>27.599999999999998</v>
      </c>
      <c r="J62" s="28">
        <v>23.5</v>
      </c>
      <c r="K62" s="28">
        <v>28.2</v>
      </c>
      <c r="L62" s="28">
        <v>29.9</v>
      </c>
      <c r="M62" s="28">
        <v>41</v>
      </c>
      <c r="N62" s="28">
        <v>62.6</v>
      </c>
      <c r="O62" s="28">
        <v>57.8</v>
      </c>
      <c r="P62" s="28">
        <v>64.3</v>
      </c>
      <c r="Q62" s="28">
        <v>68.7</v>
      </c>
      <c r="R62" s="28">
        <v>61.3</v>
      </c>
      <c r="S62" s="28">
        <v>47.7</v>
      </c>
      <c r="T62" s="28">
        <v>51.6</v>
      </c>
      <c r="U62" s="28">
        <v>49.1</v>
      </c>
      <c r="V62" s="28">
        <v>50.8</v>
      </c>
      <c r="W62" s="28">
        <v>43.1</v>
      </c>
      <c r="X62" s="28">
        <v>41.9</v>
      </c>
      <c r="Y62" s="28">
        <v>39.671928000000001</v>
      </c>
      <c r="Z62" s="28">
        <v>56.555231999999997</v>
      </c>
      <c r="AA62" s="28">
        <v>46.788024</v>
      </c>
      <c r="AB62" s="24">
        <f t="shared" ref="AB62:AM62" ca="1" si="227">+AB61</f>
        <v>41.852792432499996</v>
      </c>
      <c r="AC62" s="24">
        <f t="shared" ca="1" si="227"/>
        <v>39.754352257400001</v>
      </c>
      <c r="AD62" s="24">
        <f t="shared" ca="1" si="227"/>
        <v>39.044035378590699</v>
      </c>
      <c r="AE62" s="24">
        <f t="shared" ca="1" si="227"/>
        <v>38.99938005903428</v>
      </c>
      <c r="AF62" s="24">
        <f t="shared" ca="1" si="227"/>
        <v>35.564048452596111</v>
      </c>
      <c r="AG62" s="24">
        <f t="shared" ca="1" si="227"/>
        <v>34.676545535477288</v>
      </c>
      <c r="AH62" s="24">
        <f t="shared" ca="1" si="227"/>
        <v>34.807573410518842</v>
      </c>
      <c r="AI62" s="24">
        <f t="shared" ca="1" si="227"/>
        <v>35.345124890727249</v>
      </c>
      <c r="AJ62" s="24">
        <f t="shared" ca="1" si="227"/>
        <v>36.044117690788809</v>
      </c>
      <c r="AK62" s="24">
        <f t="shared" ca="1" si="227"/>
        <v>36.806248359296056</v>
      </c>
      <c r="AL62" s="24">
        <f t="shared" ca="1" si="227"/>
        <v>37.591934068361581</v>
      </c>
      <c r="AM62" s="24">
        <f t="shared" ca="1" si="227"/>
        <v>38.385089508824095</v>
      </c>
      <c r="AN62" s="24">
        <f t="shared" ref="AN62:AY62" ca="1" si="228">+AN61</f>
        <v>39.179037791936267</v>
      </c>
      <c r="AO62" s="24">
        <f t="shared" ca="1" si="228"/>
        <v>39.970874919554561</v>
      </c>
      <c r="AP62" s="24">
        <f t="shared" ca="1" si="228"/>
        <v>40.759215649346494</v>
      </c>
      <c r="AQ62" s="24">
        <f t="shared" ca="1" si="228"/>
        <v>41.543291887357093</v>
      </c>
      <c r="AR62" s="24">
        <f t="shared" ca="1" si="228"/>
        <v>42.322592062623826</v>
      </c>
      <c r="AS62" s="24">
        <f t="shared" ca="1" si="228"/>
        <v>43.096716867472651</v>
      </c>
      <c r="AT62" s="24">
        <f t="shared" ca="1" si="228"/>
        <v>43.86532151870027</v>
      </c>
      <c r="AU62" s="24">
        <f t="shared" ca="1" si="228"/>
        <v>44.628092603461468</v>
      </c>
      <c r="AV62" s="24">
        <f t="shared" ca="1" si="228"/>
        <v>45.384738737102822</v>
      </c>
      <c r="AW62" s="24">
        <f t="shared" ca="1" si="228"/>
        <v>46.134986725522559</v>
      </c>
      <c r="AX62" s="24">
        <f t="shared" ca="1" si="228"/>
        <v>46.878579910734459</v>
      </c>
      <c r="AY62" s="24">
        <f t="shared" ca="1" si="228"/>
        <v>47.61527737271021</v>
      </c>
      <c r="AZ62" s="24"/>
      <c r="BA62" s="24"/>
      <c r="BB62" s="24"/>
      <c r="BC62" s="24"/>
      <c r="BD62" s="24"/>
      <c r="BE62" s="24"/>
      <c r="BF62" s="24"/>
      <c r="BG62" s="24"/>
      <c r="BH62" s="24"/>
      <c r="BI62" s="24"/>
      <c r="BJ62" s="24"/>
      <c r="BK62" s="24"/>
      <c r="BL62" s="24"/>
      <c r="BM62" s="24"/>
      <c r="BN62" s="24"/>
      <c r="BQ62" s="230"/>
      <c r="BR62"/>
      <c r="BS62"/>
      <c r="BT62"/>
      <c r="BU62"/>
      <c r="BV62"/>
      <c r="BW62"/>
    </row>
    <row r="63" spans="1:75">
      <c r="A63" s="22"/>
      <c r="B63" s="22"/>
      <c r="C63" s="24"/>
      <c r="D63" s="24"/>
      <c r="E63" s="24"/>
      <c r="F63" s="24"/>
      <c r="G63" s="24"/>
      <c r="H63" s="24"/>
      <c r="I63" s="24"/>
      <c r="J63" s="24"/>
      <c r="K63" s="24"/>
      <c r="L63" s="24"/>
      <c r="M63" s="24"/>
      <c r="N63" s="24"/>
      <c r="O63" s="24"/>
      <c r="P63" s="24"/>
      <c r="Q63" s="24"/>
      <c r="R63" s="24"/>
      <c r="S63" s="24"/>
      <c r="T63" s="24"/>
      <c r="U63" s="24"/>
      <c r="V63" s="24"/>
      <c r="W63" s="24"/>
      <c r="X63" s="24"/>
      <c r="Y63" s="24"/>
      <c r="Z63" s="24"/>
      <c r="AA63" s="24"/>
      <c r="AB63" s="4"/>
      <c r="AC63" s="4"/>
      <c r="AD63" s="4"/>
      <c r="AE63" s="4"/>
      <c r="AF63" s="4"/>
      <c r="AG63" s="4"/>
      <c r="AH63" s="4"/>
      <c r="AI63" s="4"/>
      <c r="AJ63" s="4"/>
      <c r="AK63" s="4"/>
      <c r="AL63" s="4"/>
      <c r="AM63" s="4"/>
      <c r="AN63" s="4"/>
      <c r="AO63" s="4"/>
      <c r="AP63" s="4"/>
      <c r="AQ63" s="4"/>
      <c r="AR63" s="4"/>
      <c r="AS63" s="4"/>
      <c r="AT63" s="4"/>
      <c r="AU63" s="4"/>
      <c r="AV63" s="4"/>
      <c r="AW63" s="4"/>
      <c r="AX63" s="4"/>
      <c r="AY63" s="4"/>
      <c r="AZ63" s="24"/>
      <c r="BA63" s="4"/>
      <c r="BB63" s="4"/>
      <c r="BC63" s="4"/>
      <c r="BD63" s="4"/>
      <c r="BE63" s="4"/>
      <c r="BF63" s="4"/>
      <c r="BG63" s="4"/>
      <c r="BH63" s="4"/>
      <c r="BI63" s="4"/>
      <c r="BJ63" s="4"/>
      <c r="BK63" s="4"/>
      <c r="BL63" s="4"/>
      <c r="BM63" s="4"/>
      <c r="BN63" s="4"/>
    </row>
    <row r="64" spans="1:75">
      <c r="B64" t="s">
        <v>173</v>
      </c>
      <c r="C64" s="4"/>
      <c r="D64" s="8">
        <f t="shared" ref="D64:S64" si="229">+D15/D100</f>
        <v>0.12848739006348653</v>
      </c>
      <c r="E64" s="8">
        <f t="shared" si="229"/>
        <v>0.17291524653487841</v>
      </c>
      <c r="F64" s="8">
        <f t="shared" si="229"/>
        <v>0.16007808687164468</v>
      </c>
      <c r="G64" s="8">
        <f t="shared" si="229"/>
        <v>0.1717199370337418</v>
      </c>
      <c r="H64" s="8">
        <f t="shared" si="229"/>
        <v>0.18465305070549579</v>
      </c>
      <c r="I64" s="8">
        <f t="shared" si="229"/>
        <v>0.21635157130336796</v>
      </c>
      <c r="J64" s="8">
        <f t="shared" si="229"/>
        <v>0.21524583308441364</v>
      </c>
      <c r="K64" s="8">
        <f t="shared" si="229"/>
        <v>0.18655926622765759</v>
      </c>
      <c r="L64" s="8">
        <f t="shared" si="229"/>
        <v>0.21162777363683274</v>
      </c>
      <c r="M64" s="8">
        <f t="shared" si="229"/>
        <v>0.21828072760242534</v>
      </c>
      <c r="N64" s="8">
        <f t="shared" si="229"/>
        <v>0.28193690793709197</v>
      </c>
      <c r="O64" s="8">
        <f t="shared" si="229"/>
        <v>0.27878787878787881</v>
      </c>
      <c r="P64" s="8">
        <f t="shared" si="229"/>
        <v>0.27203304356178859</v>
      </c>
      <c r="Q64" s="8">
        <f t="shared" si="229"/>
        <v>0.23748138693894916</v>
      </c>
      <c r="R64" s="8">
        <f t="shared" si="229"/>
        <v>0.19013801834069227</v>
      </c>
      <c r="S64" s="8">
        <f t="shared" si="229"/>
        <v>0.154486586493987</v>
      </c>
      <c r="T64" s="8">
        <f t="shared" ref="T64:Y64" si="230">+T15/T100</f>
        <v>0.16213716774559231</v>
      </c>
      <c r="U64" s="8">
        <f t="shared" si="230"/>
        <v>0.17792649858651127</v>
      </c>
      <c r="V64" s="8">
        <f t="shared" si="230"/>
        <v>0.22399238173675812</v>
      </c>
      <c r="W64" s="8">
        <f t="shared" si="230"/>
        <v>0.23415258442813489</v>
      </c>
      <c r="X64" s="8">
        <f t="shared" si="230"/>
        <v>0.21678593652769138</v>
      </c>
      <c r="Y64" s="8">
        <f t="shared" si="230"/>
        <v>0.22049658222758345</v>
      </c>
      <c r="Z64" s="8">
        <f t="shared" ref="Z64:AA64" si="231">+Z15/Z100</f>
        <v>0.22627686133600877</v>
      </c>
      <c r="AA64" s="8">
        <f t="shared" si="231"/>
        <v>0.25149605224237181</v>
      </c>
      <c r="AB64" s="16">
        <f t="shared" ref="AB64:AM64" si="232">+AVERAGE(X64:AA64)</f>
        <v>0.22876385808341385</v>
      </c>
      <c r="AC64" s="16">
        <f t="shared" si="232"/>
        <v>0.23175833847234448</v>
      </c>
      <c r="AD64" s="16">
        <f t="shared" si="232"/>
        <v>0.23457377753353473</v>
      </c>
      <c r="AE64" s="16">
        <f t="shared" si="232"/>
        <v>0.23664800658291621</v>
      </c>
      <c r="AF64" s="16">
        <f t="shared" si="232"/>
        <v>0.2329359951680523</v>
      </c>
      <c r="AG64" s="16">
        <f t="shared" si="232"/>
        <v>0.23397902943921192</v>
      </c>
      <c r="AH64" s="16">
        <f t="shared" si="232"/>
        <v>0.2345342021809288</v>
      </c>
      <c r="AI64" s="16">
        <f t="shared" si="232"/>
        <v>0.23452430834277729</v>
      </c>
      <c r="AJ64" s="16">
        <f t="shared" si="232"/>
        <v>0.23399338378274256</v>
      </c>
      <c r="AK64" s="16">
        <f t="shared" si="232"/>
        <v>0.23425773093641514</v>
      </c>
      <c r="AL64" s="16">
        <f t="shared" si="232"/>
        <v>0.23432740631071594</v>
      </c>
      <c r="AM64" s="16">
        <f t="shared" si="232"/>
        <v>0.23427570734316272</v>
      </c>
      <c r="AN64" s="16">
        <f t="shared" ref="AN64" si="233">+AVERAGE(AJ64:AM64)</f>
        <v>0.23421355709325908</v>
      </c>
      <c r="AO64" s="16">
        <f t="shared" ref="AO64" si="234">+AVERAGE(AK64:AN64)</f>
        <v>0.23426860042088821</v>
      </c>
      <c r="AP64" s="16">
        <f t="shared" ref="AP64" si="235">+AVERAGE(AL64:AO64)</f>
        <v>0.23427131779200649</v>
      </c>
      <c r="AQ64" s="16">
        <f t="shared" ref="AQ64" si="236">+AVERAGE(AM64:AP64)</f>
        <v>0.23425729566232914</v>
      </c>
      <c r="AR64" s="16">
        <f t="shared" ref="AR64" si="237">+AVERAGE(AN64:AQ64)</f>
        <v>0.23425269274212071</v>
      </c>
      <c r="AS64" s="16">
        <f t="shared" ref="AS64" si="238">+AVERAGE(AO64:AR64)</f>
        <v>0.23426247665433614</v>
      </c>
      <c r="AT64" s="16">
        <f t="shared" ref="AT64" si="239">+AVERAGE(AP64:AS64)</f>
        <v>0.23426094571269812</v>
      </c>
      <c r="AU64" s="16">
        <f t="shared" ref="AU64" si="240">+AVERAGE(AQ64:AT64)</f>
        <v>0.23425835269287104</v>
      </c>
      <c r="AV64" s="16">
        <f t="shared" ref="AV64" si="241">+AVERAGE(AR64:AU64)</f>
        <v>0.23425861695050648</v>
      </c>
      <c r="AW64" s="16">
        <f t="shared" ref="AW64" si="242">+AVERAGE(AS64:AV64)</f>
        <v>0.23426009800260295</v>
      </c>
      <c r="AX64" s="16">
        <f t="shared" ref="AX64" si="243">+AVERAGE(AT64:AW64)</f>
        <v>0.23425950333966963</v>
      </c>
      <c r="AY64" s="16">
        <f t="shared" ref="AY64" si="244">+AVERAGE(AU64:AX64)</f>
        <v>0.23425914274641252</v>
      </c>
      <c r="AZ64" s="25"/>
      <c r="BA64" s="16"/>
      <c r="BB64" s="16"/>
      <c r="BC64" s="16"/>
      <c r="BD64" s="16"/>
      <c r="BE64" s="16"/>
      <c r="BF64" s="16"/>
      <c r="BG64" s="16"/>
      <c r="BH64" s="16"/>
      <c r="BI64" s="16"/>
      <c r="BJ64" s="16"/>
      <c r="BK64" s="16"/>
      <c r="BL64" s="16"/>
      <c r="BM64" s="16"/>
      <c r="BN64" s="16"/>
    </row>
    <row r="65" spans="1:75">
      <c r="B65" t="s">
        <v>181</v>
      </c>
      <c r="C65" s="4"/>
      <c r="D65" s="8">
        <f t="shared" ref="D65:S65" si="245">+D17/D21</f>
        <v>6.8911997516684781E-3</v>
      </c>
      <c r="E65" s="8">
        <f t="shared" si="245"/>
        <v>6.4942663234261637E-3</v>
      </c>
      <c r="F65" s="8">
        <f t="shared" si="245"/>
        <v>2.3318279760323507E-3</v>
      </c>
      <c r="G65" s="8">
        <f t="shared" si="245"/>
        <v>1.9641478685993655E-2</v>
      </c>
      <c r="H65" s="8">
        <f t="shared" si="245"/>
        <v>1.8883848507226506E-2</v>
      </c>
      <c r="I65" s="8">
        <f t="shared" si="245"/>
        <v>9.6144011455456674E-3</v>
      </c>
      <c r="J65" s="8">
        <f t="shared" si="245"/>
        <v>1.0217204915690198E-2</v>
      </c>
      <c r="K65" s="8">
        <f t="shared" si="245"/>
        <v>9.8345693097547059E-3</v>
      </c>
      <c r="L65" s="8">
        <f t="shared" si="245"/>
        <v>9.8638696719482253E-3</v>
      </c>
      <c r="M65" s="8">
        <f t="shared" si="245"/>
        <v>1.1718084199761378E-2</v>
      </c>
      <c r="N65" s="8">
        <f t="shared" si="245"/>
        <v>2.2173998816334587E-2</v>
      </c>
      <c r="O65" s="8">
        <f t="shared" si="245"/>
        <v>1.120799341366664E-2</v>
      </c>
      <c r="P65" s="8">
        <f t="shared" si="245"/>
        <v>1.0774923813670003E-2</v>
      </c>
      <c r="Q65" s="8">
        <f t="shared" si="245"/>
        <v>3.5124890338172246E-2</v>
      </c>
      <c r="R65" s="8">
        <f t="shared" si="245"/>
        <v>1.740103545384114E-2</v>
      </c>
      <c r="S65" s="8">
        <f t="shared" si="245"/>
        <v>2.1799033229806416E-2</v>
      </c>
      <c r="T65" s="8">
        <f t="shared" ref="T65:Y65" si="246">+T17/T21</f>
        <v>2.310000458106189E-2</v>
      </c>
      <c r="U65" s="8">
        <f t="shared" si="246"/>
        <v>4.3231662626148727E-2</v>
      </c>
      <c r="V65" s="8">
        <f t="shared" si="246"/>
        <v>1.623627316403569E-2</v>
      </c>
      <c r="W65" s="8">
        <f t="shared" si="246"/>
        <v>1.5964280449021713E-2</v>
      </c>
      <c r="X65" s="8">
        <f t="shared" si="246"/>
        <v>1.5830228346620592E-2</v>
      </c>
      <c r="Y65" s="8">
        <f t="shared" si="246"/>
        <v>1.4797898595991767E-2</v>
      </c>
      <c r="Z65" s="8">
        <f t="shared" ref="Z65:AA65" si="247">+Z17/Z21</f>
        <v>1.9734456910489438E-2</v>
      </c>
      <c r="AA65" s="8">
        <f t="shared" si="247"/>
        <v>2.236040152039356E-2</v>
      </c>
      <c r="AB65" s="16">
        <f t="shared" ref="AB65:AM65" si="248">+AA65</f>
        <v>2.236040152039356E-2</v>
      </c>
      <c r="AC65" s="16">
        <f t="shared" si="248"/>
        <v>2.236040152039356E-2</v>
      </c>
      <c r="AD65" s="16">
        <f t="shared" si="248"/>
        <v>2.236040152039356E-2</v>
      </c>
      <c r="AE65" s="16">
        <f t="shared" si="248"/>
        <v>2.236040152039356E-2</v>
      </c>
      <c r="AF65" s="16">
        <f t="shared" si="248"/>
        <v>2.236040152039356E-2</v>
      </c>
      <c r="AG65" s="16">
        <f t="shared" si="248"/>
        <v>2.236040152039356E-2</v>
      </c>
      <c r="AH65" s="16">
        <f t="shared" si="248"/>
        <v>2.236040152039356E-2</v>
      </c>
      <c r="AI65" s="16">
        <f t="shared" si="248"/>
        <v>2.236040152039356E-2</v>
      </c>
      <c r="AJ65" s="16">
        <f t="shared" si="248"/>
        <v>2.236040152039356E-2</v>
      </c>
      <c r="AK65" s="16">
        <f t="shared" si="248"/>
        <v>2.236040152039356E-2</v>
      </c>
      <c r="AL65" s="16">
        <f t="shared" si="248"/>
        <v>2.236040152039356E-2</v>
      </c>
      <c r="AM65" s="16">
        <f t="shared" si="248"/>
        <v>2.236040152039356E-2</v>
      </c>
      <c r="AN65" s="16">
        <f t="shared" ref="AN65" si="249">+AM65</f>
        <v>2.236040152039356E-2</v>
      </c>
      <c r="AO65" s="16">
        <f t="shared" ref="AO65" si="250">+AN65</f>
        <v>2.236040152039356E-2</v>
      </c>
      <c r="AP65" s="16">
        <f t="shared" ref="AP65" si="251">+AO65</f>
        <v>2.236040152039356E-2</v>
      </c>
      <c r="AQ65" s="16">
        <f t="shared" ref="AQ65" si="252">+AP65</f>
        <v>2.236040152039356E-2</v>
      </c>
      <c r="AR65" s="16">
        <f t="shared" ref="AR65" si="253">+AQ65</f>
        <v>2.236040152039356E-2</v>
      </c>
      <c r="AS65" s="16">
        <f t="shared" ref="AS65" si="254">+AR65</f>
        <v>2.236040152039356E-2</v>
      </c>
      <c r="AT65" s="16">
        <f t="shared" ref="AT65" si="255">+AS65</f>
        <v>2.236040152039356E-2</v>
      </c>
      <c r="AU65" s="16">
        <f t="shared" ref="AU65" si="256">+AT65</f>
        <v>2.236040152039356E-2</v>
      </c>
      <c r="AV65" s="16">
        <f t="shared" ref="AV65" si="257">+AU65</f>
        <v>2.236040152039356E-2</v>
      </c>
      <c r="AW65" s="16">
        <f t="shared" ref="AW65" si="258">+AV65</f>
        <v>2.236040152039356E-2</v>
      </c>
      <c r="AX65" s="16">
        <f t="shared" ref="AX65" si="259">+AW65</f>
        <v>2.236040152039356E-2</v>
      </c>
      <c r="AY65" s="16">
        <f t="shared" ref="AY65" si="260">+AX65</f>
        <v>2.236040152039356E-2</v>
      </c>
      <c r="AZ65" s="25"/>
      <c r="BA65" s="16"/>
      <c r="BB65" s="16"/>
      <c r="BC65" s="16"/>
      <c r="BD65" s="16"/>
      <c r="BE65" s="16"/>
      <c r="BF65" s="16"/>
      <c r="BG65" s="16"/>
      <c r="BH65" s="16"/>
      <c r="BI65" s="16"/>
      <c r="BJ65" s="16"/>
      <c r="BK65" s="16"/>
      <c r="BL65" s="16"/>
      <c r="BM65" s="16"/>
      <c r="BN65" s="16"/>
    </row>
    <row r="66" spans="1:75" s="22" customFormat="1">
      <c r="C66" s="24"/>
      <c r="D66" s="24"/>
      <c r="E66" s="24"/>
      <c r="F66" s="24"/>
      <c r="G66" s="24"/>
      <c r="H66" s="24"/>
      <c r="I66" s="24"/>
      <c r="J66" s="24"/>
      <c r="K66" s="24"/>
      <c r="L66" s="24"/>
      <c r="M66" s="24"/>
      <c r="N66" s="24"/>
      <c r="O66" s="24"/>
      <c r="P66" s="24"/>
      <c r="Q66" s="24"/>
      <c r="R66" s="24"/>
      <c r="S66" s="24"/>
      <c r="T66" s="24"/>
      <c r="U66" s="24"/>
      <c r="V66" s="24"/>
      <c r="W66" s="24"/>
      <c r="X66" s="24"/>
      <c r="Y66" s="24"/>
      <c r="Z66" s="24"/>
      <c r="AA66" s="24"/>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c r="BG66" s="25"/>
      <c r="BH66" s="25"/>
      <c r="BI66" s="25"/>
      <c r="BJ66" s="25"/>
      <c r="BK66" s="25"/>
      <c r="BL66" s="25"/>
      <c r="BM66" s="25"/>
      <c r="BN66" s="25"/>
      <c r="BQ66" s="230"/>
      <c r="BR66"/>
      <c r="BS66"/>
      <c r="BT66"/>
      <c r="BU66"/>
      <c r="BV66"/>
      <c r="BW66"/>
    </row>
    <row r="67" spans="1:75" s="22" customFormat="1">
      <c r="B67" s="22" t="s">
        <v>171</v>
      </c>
      <c r="C67" s="24"/>
      <c r="D67" s="34"/>
      <c r="E67" s="34"/>
      <c r="F67" s="192">
        <f>+J67/1.29</f>
        <v>10.697674418604651</v>
      </c>
      <c r="G67" s="192">
        <f>+K67/1.19</f>
        <v>11.84873949579832</v>
      </c>
      <c r="H67" s="33"/>
      <c r="I67" s="28">
        <v>12.743</v>
      </c>
      <c r="J67" s="28">
        <v>13.8</v>
      </c>
      <c r="K67" s="28">
        <v>14.1</v>
      </c>
      <c r="L67" s="28">
        <v>14.6</v>
      </c>
      <c r="M67" s="28">
        <v>16</v>
      </c>
      <c r="N67" s="28">
        <v>16.521000000000001</v>
      </c>
      <c r="O67" s="28">
        <v>17.140999999999998</v>
      </c>
      <c r="P67" s="28">
        <v>17.8</v>
      </c>
      <c r="Q67" s="28">
        <v>25.472999999999999</v>
      </c>
      <c r="R67" s="28">
        <v>26.2</v>
      </c>
      <c r="S67" s="28">
        <v>27.5</v>
      </c>
      <c r="T67" s="28">
        <v>27.48</v>
      </c>
      <c r="U67" s="28">
        <v>28.872</v>
      </c>
      <c r="V67" s="28">
        <v>29.8</v>
      </c>
      <c r="W67" s="28">
        <v>30.9</v>
      </c>
      <c r="X67" s="28">
        <v>30.4</v>
      </c>
      <c r="Y67" s="28">
        <v>31.690999999999999</v>
      </c>
      <c r="Z67" s="28">
        <v>31.626999999999999</v>
      </c>
      <c r="AA67" s="28">
        <v>31.707999999999998</v>
      </c>
      <c r="AB67" s="25"/>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Q67" s="230"/>
      <c r="BR67"/>
      <c r="BS67"/>
      <c r="BT67"/>
      <c r="BU67"/>
      <c r="BV67"/>
      <c r="BW67"/>
    </row>
    <row r="68" spans="1:75" s="22" customFormat="1">
      <c r="C68" s="24"/>
      <c r="D68" s="28"/>
      <c r="E68" s="28"/>
      <c r="F68" s="28"/>
      <c r="G68" s="28"/>
      <c r="H68" s="24"/>
      <c r="I68" s="28"/>
      <c r="J68" s="28"/>
      <c r="K68" s="28"/>
      <c r="L68" s="28"/>
      <c r="M68" s="28"/>
      <c r="N68" s="28"/>
      <c r="O68" s="28"/>
      <c r="P68" s="28"/>
      <c r="Q68" s="28"/>
      <c r="R68" s="28"/>
      <c r="S68" s="28"/>
      <c r="T68" s="28"/>
      <c r="U68" s="28"/>
      <c r="V68" s="28"/>
      <c r="W68" s="28"/>
      <c r="X68" s="28"/>
      <c r="Y68" s="28"/>
      <c r="Z68" s="28"/>
      <c r="AA68" s="28"/>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5"/>
      <c r="BG68" s="25"/>
      <c r="BH68" s="25"/>
      <c r="BI68" s="25"/>
      <c r="BJ68" s="25"/>
      <c r="BK68" s="25"/>
      <c r="BL68" s="25"/>
      <c r="BM68" s="25"/>
      <c r="BN68" s="25"/>
      <c r="BQ68" s="230"/>
      <c r="BR68"/>
      <c r="BS68"/>
      <c r="BT68"/>
      <c r="BU68"/>
      <c r="BV68"/>
      <c r="BW68"/>
    </row>
    <row r="69" spans="1:75" s="22" customFormat="1">
      <c r="B69" s="72" t="s">
        <v>196</v>
      </c>
      <c r="C69" s="24"/>
      <c r="D69" s="28"/>
      <c r="E69" s="28"/>
      <c r="F69" s="28"/>
      <c r="G69" s="28"/>
      <c r="H69" s="24"/>
      <c r="I69" s="28"/>
      <c r="J69" s="28"/>
      <c r="K69" s="28"/>
      <c r="L69" s="28"/>
      <c r="M69" s="28"/>
      <c r="N69" s="28"/>
      <c r="O69" s="28"/>
      <c r="P69" s="28"/>
      <c r="Q69" s="28"/>
      <c r="R69" s="28"/>
      <c r="S69" s="28"/>
      <c r="T69" s="28"/>
      <c r="U69" s="28"/>
      <c r="V69" s="28"/>
      <c r="W69" s="28"/>
      <c r="X69" s="28"/>
      <c r="Y69" s="28"/>
      <c r="Z69" s="28"/>
      <c r="AA69" s="28"/>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5"/>
      <c r="BG69" s="25"/>
      <c r="BH69" s="25"/>
      <c r="BI69" s="25"/>
      <c r="BJ69" s="25"/>
      <c r="BK69" s="25"/>
      <c r="BL69" s="25"/>
      <c r="BM69" s="25"/>
      <c r="BN69" s="25"/>
      <c r="BQ69" s="230"/>
      <c r="BR69"/>
      <c r="BS69"/>
      <c r="BT69"/>
      <c r="BU69"/>
      <c r="BV69"/>
      <c r="BW69"/>
    </row>
    <row r="70" spans="1:75" s="22" customFormat="1">
      <c r="B70" t="s">
        <v>4</v>
      </c>
      <c r="C70" s="24"/>
      <c r="D70" s="25"/>
      <c r="E70" s="25">
        <f t="shared" ref="E70:AM70" si="261">+E14/D14-1</f>
        <v>6.7173769580771925E-2</v>
      </c>
      <c r="F70" s="25">
        <f t="shared" si="261"/>
        <v>-2.2392188771358956E-2</v>
      </c>
      <c r="G70" s="25">
        <f t="shared" si="261"/>
        <v>3.8885374704531017E-2</v>
      </c>
      <c r="H70" s="25">
        <f t="shared" si="261"/>
        <v>8.3352026918763089E-2</v>
      </c>
      <c r="I70" s="25">
        <f t="shared" si="261"/>
        <v>2.8900195231615911E-2</v>
      </c>
      <c r="J70" s="25">
        <f t="shared" si="261"/>
        <v>8.084409050398178E-2</v>
      </c>
      <c r="K70" s="25">
        <f t="shared" si="261"/>
        <v>4.0617103338209892E-2</v>
      </c>
      <c r="L70" s="25">
        <f t="shared" si="261"/>
        <v>3.7242472266244109E-2</v>
      </c>
      <c r="M70" s="25">
        <f t="shared" si="261"/>
        <v>3.4180241011360524E-2</v>
      </c>
      <c r="N70" s="25">
        <f t="shared" si="261"/>
        <v>8.2971929657341681E-2</v>
      </c>
      <c r="O70" s="25">
        <f t="shared" si="261"/>
        <v>4.8582995951417018E-2</v>
      </c>
      <c r="P70" s="25">
        <f t="shared" si="261"/>
        <v>3.518969279838835E-2</v>
      </c>
      <c r="Q70" s="25">
        <f t="shared" si="261"/>
        <v>5.7973364684896556E-2</v>
      </c>
      <c r="R70" s="25">
        <f t="shared" si="261"/>
        <v>0.20215354549460662</v>
      </c>
      <c r="S70" s="25">
        <f t="shared" si="261"/>
        <v>5.5718475073313734E-2</v>
      </c>
      <c r="T70" s="25">
        <f t="shared" si="261"/>
        <v>3.3001207729468796E-2</v>
      </c>
      <c r="U70" s="25">
        <f t="shared" si="261"/>
        <v>4.7408879665624237E-2</v>
      </c>
      <c r="V70" s="25">
        <f t="shared" si="261"/>
        <v>7.4438398214036416E-2</v>
      </c>
      <c r="W70" s="25">
        <f t="shared" si="261"/>
        <v>2.0998636452178587E-2</v>
      </c>
      <c r="X70" s="25">
        <f t="shared" si="261"/>
        <v>6.2959476991173435E-3</v>
      </c>
      <c r="Y70" s="25">
        <f t="shared" si="261"/>
        <v>2.1183816373219422E-2</v>
      </c>
      <c r="Z70" s="25">
        <f t="shared" si="261"/>
        <v>6.2356887354102497E-2</v>
      </c>
      <c r="AA70" s="25">
        <f t="shared" si="261"/>
        <v>4.9480956763873207E-2</v>
      </c>
      <c r="AB70" s="25">
        <f t="shared" ca="1" si="261"/>
        <v>1.0685706867052724E-2</v>
      </c>
      <c r="AC70" s="25">
        <f t="shared" ca="1" si="261"/>
        <v>1.5350119182641508E-2</v>
      </c>
      <c r="AD70" s="25">
        <f t="shared" ca="1" si="261"/>
        <v>1.3300874250248063E-2</v>
      </c>
      <c r="AE70" s="25">
        <f t="shared" ca="1" si="261"/>
        <v>1.2428067518153396E-2</v>
      </c>
      <c r="AF70" s="25">
        <f t="shared" ca="1" si="261"/>
        <v>2.3432498447628181E-2</v>
      </c>
      <c r="AG70" s="25">
        <f t="shared" ca="1" si="261"/>
        <v>2.4795227212431659E-2</v>
      </c>
      <c r="AH70" s="25">
        <f t="shared" ca="1" si="261"/>
        <v>2.3019132336304926E-2</v>
      </c>
      <c r="AI70" s="25">
        <f t="shared" ca="1" si="261"/>
        <v>2.2366217457558957E-2</v>
      </c>
      <c r="AJ70" s="25">
        <f t="shared" ca="1" si="261"/>
        <v>2.2133823584014278E-2</v>
      </c>
      <c r="AK70" s="25">
        <f t="shared" ca="1" si="261"/>
        <v>2.2049454351069864E-2</v>
      </c>
      <c r="AL70" s="25">
        <f t="shared" ca="1" si="261"/>
        <v>2.2022089271333423E-2</v>
      </c>
      <c r="AM70" s="25">
        <f t="shared" ca="1" si="261"/>
        <v>2.2002385776345612E-2</v>
      </c>
      <c r="AN70" s="25">
        <f t="shared" ref="AN70:AN74" ca="1" si="262">+AN14/AM14-1</f>
        <v>2.1971708616431274E-2</v>
      </c>
      <c r="AO70" s="25">
        <f t="shared" ref="AO70:AO74" ca="1" si="263">+AO14/AN14-1</f>
        <v>2.1923221057982722E-2</v>
      </c>
      <c r="AP70" s="25">
        <f t="shared" ref="AP70:AP74" ca="1" si="264">+AP14/AO14-1</f>
        <v>2.1869224172937463E-2</v>
      </c>
      <c r="AQ70" s="25">
        <f t="shared" ref="AQ70:AQ74" ca="1" si="265">+AQ14/AP14-1</f>
        <v>2.1801061173784886E-2</v>
      </c>
      <c r="AR70" s="25">
        <f t="shared" ref="AR70:AR74" ca="1" si="266">+AR14/AQ14-1</f>
        <v>2.1715872989139351E-2</v>
      </c>
      <c r="AS70" s="25">
        <f t="shared" ref="AS70:AS74" ca="1" si="267">+AS14/AR14-1</f>
        <v>2.1612900957816539E-2</v>
      </c>
      <c r="AT70" s="25">
        <f t="shared" ref="AT70:AT74" ca="1" si="268">+AT14/AS14-1</f>
        <v>2.1506667055784856E-2</v>
      </c>
      <c r="AU70" s="25">
        <f t="shared" ref="AU70:AU74" ca="1" si="269">+AU14/AT14-1</f>
        <v>2.1389398902351697E-2</v>
      </c>
      <c r="AV70" s="25">
        <f t="shared" ref="AV70:AV74" ca="1" si="270">+AV14/AU14-1</f>
        <v>2.1258478379760026E-2</v>
      </c>
      <c r="AW70" s="25">
        <f t="shared" ref="AW70:AW74" ca="1" si="271">+AW14/AV14-1</f>
        <v>2.1113146632598889E-2</v>
      </c>
      <c r="AX70" s="25">
        <f t="shared" ref="AX70:AX74" ca="1" si="272">+AX14/AW14-1</f>
        <v>2.0967774881461176E-2</v>
      </c>
      <c r="AY70" s="25">
        <f t="shared" ref="AY70:AY74" ca="1" si="273">+AY14/AX14-1</f>
        <v>2.0814507810890559E-2</v>
      </c>
      <c r="AZ70" s="25"/>
      <c r="BA70" s="25"/>
      <c r="BB70" s="25"/>
      <c r="BC70" s="25">
        <f t="shared" ref="BC70:BK70" si="274">+BC14/BB14-1</f>
        <v>0.16056549192223035</v>
      </c>
      <c r="BD70" s="25">
        <f t="shared" si="274"/>
        <v>0.20328259825435979</v>
      </c>
      <c r="BE70" s="25">
        <f t="shared" si="274"/>
        <v>0.20882138383824489</v>
      </c>
      <c r="BF70" s="25">
        <f t="shared" si="274"/>
        <v>0.31233311889051452</v>
      </c>
      <c r="BG70" s="25">
        <f t="shared" si="274"/>
        <v>0.28290746605353356</v>
      </c>
      <c r="BH70" s="25">
        <f t="shared" si="274"/>
        <v>0.13558634262468616</v>
      </c>
      <c r="BI70" s="25">
        <f t="shared" ca="1" si="274"/>
        <v>0.10767335340511019</v>
      </c>
      <c r="BJ70" s="25">
        <f t="shared" ca="1" si="274"/>
        <v>8.148748457467625E-2</v>
      </c>
      <c r="BK70" s="25">
        <f t="shared" ca="1" si="274"/>
        <v>9.2684963498285144E-2</v>
      </c>
      <c r="BL70" s="25">
        <f t="shared" ref="BL70:BL74" ca="1" si="275">+BL14/BK14-1</f>
        <v>9.0754548499678123E-2</v>
      </c>
      <c r="BM70" s="25">
        <f t="shared" ref="BM70:BM74" ca="1" si="276">+BM14/BL14-1</f>
        <v>8.9647988718447591E-2</v>
      </c>
      <c r="BN70" s="25">
        <f t="shared" ref="BN70:BN74" ca="1" si="277">+BN14/BM14-1</f>
        <v>8.7710940720927111E-2</v>
      </c>
      <c r="BQ70" s="230"/>
      <c r="BR70"/>
      <c r="BS70"/>
      <c r="BT70"/>
      <c r="BU70"/>
      <c r="BV70"/>
      <c r="BW70"/>
    </row>
    <row r="71" spans="1:75" s="22" customFormat="1">
      <c r="B71" t="s">
        <v>5</v>
      </c>
      <c r="C71" s="24"/>
      <c r="D71" s="25"/>
      <c r="E71" s="25">
        <f t="shared" ref="E71:AM71" si="278">+E15/D15-1</f>
        <v>3.4904805077062617E-2</v>
      </c>
      <c r="F71" s="25">
        <f t="shared" si="278"/>
        <v>5.6942619360489388E-3</v>
      </c>
      <c r="G71" s="25">
        <f t="shared" si="278"/>
        <v>9.2770034843206339E-2</v>
      </c>
      <c r="H71" s="25">
        <f t="shared" si="278"/>
        <v>0.14228776404942134</v>
      </c>
      <c r="I71" s="25">
        <f t="shared" si="278"/>
        <v>0.20586182833217026</v>
      </c>
      <c r="J71" s="25">
        <f t="shared" si="278"/>
        <v>4.2534722222222321E-2</v>
      </c>
      <c r="K71" s="25">
        <f t="shared" si="278"/>
        <v>-0.11934499028587298</v>
      </c>
      <c r="L71" s="25">
        <f t="shared" si="278"/>
        <v>0.16325244248345405</v>
      </c>
      <c r="M71" s="25">
        <f t="shared" si="278"/>
        <v>4.3619615280411805E-2</v>
      </c>
      <c r="N71" s="25">
        <f t="shared" si="278"/>
        <v>0.59164070612668751</v>
      </c>
      <c r="O71" s="25">
        <f t="shared" si="278"/>
        <v>-9.9657478388517462E-2</v>
      </c>
      <c r="P71" s="25">
        <f t="shared" si="278"/>
        <v>2.6086956521739202E-2</v>
      </c>
      <c r="Q71" s="25">
        <f t="shared" si="278"/>
        <v>-1.4477401129943446E-2</v>
      </c>
      <c r="R71" s="25">
        <f t="shared" si="278"/>
        <v>0.10318882121103568</v>
      </c>
      <c r="S71" s="25">
        <f t="shared" si="278"/>
        <v>-0.1593049691458267</v>
      </c>
      <c r="T71" s="25">
        <f t="shared" si="278"/>
        <v>4.983581224647482E-2</v>
      </c>
      <c r="U71" s="25">
        <f t="shared" si="278"/>
        <v>0.13486660533578676</v>
      </c>
      <c r="V71" s="25">
        <f t="shared" si="278"/>
        <v>0.41099221789883256</v>
      </c>
      <c r="W71" s="25">
        <f t="shared" si="278"/>
        <v>3.0104561645409644E-2</v>
      </c>
      <c r="X71" s="25">
        <f t="shared" si="278"/>
        <v>-6.737311767986609E-2</v>
      </c>
      <c r="Y71" s="25">
        <f t="shared" si="278"/>
        <v>4.9396005262528186E-2</v>
      </c>
      <c r="Z71" s="25">
        <f t="shared" si="278"/>
        <v>0.10531114656940987</v>
      </c>
      <c r="AA71" s="25">
        <f t="shared" si="278"/>
        <v>0.13971952979995872</v>
      </c>
      <c r="AB71" s="25">
        <f t="shared" ca="1" si="278"/>
        <v>-0.31030669166585478</v>
      </c>
      <c r="AC71" s="25">
        <f t="shared" ca="1" si="278"/>
        <v>3.175374834524658E-2</v>
      </c>
      <c r="AD71" s="25">
        <f t="shared" ca="1" si="278"/>
        <v>7.932301156068311E-2</v>
      </c>
      <c r="AE71" s="25">
        <f t="shared" ca="1" si="278"/>
        <v>6.0023677826368527E-3</v>
      </c>
      <c r="AF71" s="25">
        <f t="shared" ca="1" si="278"/>
        <v>-0.11789877392355552</v>
      </c>
      <c r="AG71" s="25">
        <f t="shared" ca="1" si="278"/>
        <v>8.7835183584962673E-2</v>
      </c>
      <c r="AH71" s="25">
        <f t="shared" ca="1" si="278"/>
        <v>8.1871943469973063E-2</v>
      </c>
      <c r="AI71" s="25">
        <f t="shared" ca="1" si="278"/>
        <v>7.3879413365007807E-3</v>
      </c>
      <c r="AJ71" s="25">
        <f t="shared" ca="1" si="278"/>
        <v>-9.8424049721253182E-2</v>
      </c>
      <c r="AK71" s="25">
        <f t="shared" ca="1" si="278"/>
        <v>8.2516297288831808E-2</v>
      </c>
      <c r="AL71" s="25">
        <f t="shared" ca="1" si="278"/>
        <v>7.9754661194168408E-2</v>
      </c>
      <c r="AM71" s="25">
        <f t="shared" ca="1" si="278"/>
        <v>6.4934704345742666E-3</v>
      </c>
      <c r="AN71" s="25">
        <f t="shared" ca="1" si="262"/>
        <v>-9.9378926181387217E-2</v>
      </c>
      <c r="AO71" s="25">
        <f t="shared" ca="1" si="263"/>
        <v>8.2910569610282314E-2</v>
      </c>
      <c r="AP71" s="25">
        <f t="shared" ca="1" si="264"/>
        <v>8.0693079061529671E-2</v>
      </c>
      <c r="AQ71" s="25">
        <f t="shared" ca="1" si="265"/>
        <v>6.1100856121285574E-3</v>
      </c>
      <c r="AR71" s="25">
        <f t="shared" ca="1" si="266"/>
        <v>-0.10227329132920715</v>
      </c>
      <c r="AS71" s="25">
        <f t="shared" ca="1" si="267"/>
        <v>8.4016637755998103E-2</v>
      </c>
      <c r="AT71" s="25">
        <f t="shared" ca="1" si="268"/>
        <v>8.1802043371210997E-2</v>
      </c>
      <c r="AU71" s="25">
        <f t="shared" ca="1" si="269"/>
        <v>5.3781383961115647E-3</v>
      </c>
      <c r="AV71" s="25">
        <f t="shared" ca="1" si="270"/>
        <v>-0.1057177472502695</v>
      </c>
      <c r="AW71" s="25">
        <f t="shared" ca="1" si="271"/>
        <v>8.5204904046608743E-2</v>
      </c>
      <c r="AX71" s="25">
        <f t="shared" ca="1" si="272"/>
        <v>8.2836138368386658E-2</v>
      </c>
      <c r="AY71" s="25">
        <f t="shared" ca="1" si="273"/>
        <v>4.4224042032576794E-3</v>
      </c>
      <c r="AZ71" s="25"/>
      <c r="BA71" s="25"/>
      <c r="BB71" s="25"/>
      <c r="BC71" s="25">
        <f t="shared" ref="BC71:BK71" si="279">+BC15/BB15-1</f>
        <v>-0.23531347704459415</v>
      </c>
      <c r="BD71" s="25">
        <f t="shared" si="279"/>
        <v>0.40929632020658469</v>
      </c>
      <c r="BE71" s="25">
        <f t="shared" si="279"/>
        <v>0.46541456710948226</v>
      </c>
      <c r="BF71" s="25">
        <f t="shared" si="279"/>
        <v>0.17646139418568296</v>
      </c>
      <c r="BG71" s="25">
        <f t="shared" si="279"/>
        <v>0.29626677295071069</v>
      </c>
      <c r="BH71" s="25">
        <f t="shared" si="279"/>
        <v>0.29431860886201355</v>
      </c>
      <c r="BI71" s="25">
        <f t="shared" ca="1" si="279"/>
        <v>-0.1416972257190221</v>
      </c>
      <c r="BJ71" s="25">
        <f t="shared" ca="1" si="279"/>
        <v>3.0988288786367502E-2</v>
      </c>
      <c r="BK71" s="25">
        <f t="shared" ca="1" si="279"/>
        <v>6.3494198650485556E-2</v>
      </c>
      <c r="BL71" s="25">
        <f t="shared" ca="1" si="275"/>
        <v>6.0207693882897262E-2</v>
      </c>
      <c r="BM71" s="25">
        <f t="shared" ca="1" si="276"/>
        <v>5.8229943561131758E-2</v>
      </c>
      <c r="BN71" s="25">
        <f t="shared" ca="1" si="277"/>
        <v>5.5520434212833703E-2</v>
      </c>
      <c r="BQ71" s="230"/>
      <c r="BR71"/>
      <c r="BS71"/>
      <c r="BT71"/>
      <c r="BU71"/>
      <c r="BV71"/>
      <c r="BW71"/>
    </row>
    <row r="72" spans="1:75" s="22" customFormat="1">
      <c r="B72" t="s">
        <v>6</v>
      </c>
      <c r="C72" s="24"/>
      <c r="D72" s="25"/>
      <c r="E72" s="25">
        <f t="shared" ref="E72:AE72" si="280">+E16/D16-1</f>
        <v>1.0221962616822511E-2</v>
      </c>
      <c r="F72" s="25">
        <f t="shared" si="280"/>
        <v>0.11072564324949408</v>
      </c>
      <c r="G72" s="25">
        <f t="shared" si="280"/>
        <v>-1.8219677251431365E-2</v>
      </c>
      <c r="H72" s="25">
        <f t="shared" si="280"/>
        <v>8.9607635206786718E-2</v>
      </c>
      <c r="I72" s="25">
        <f t="shared" si="280"/>
        <v>5.2311435523114236E-2</v>
      </c>
      <c r="J72" s="25">
        <f t="shared" si="280"/>
        <v>1.5722543352601148E-2</v>
      </c>
      <c r="K72" s="25">
        <f t="shared" si="280"/>
        <v>7.0566810835420046E-2</v>
      </c>
      <c r="L72" s="25">
        <f t="shared" si="280"/>
        <v>-0.1003614714012333</v>
      </c>
      <c r="M72" s="25">
        <f t="shared" si="280"/>
        <v>0.17466320018908066</v>
      </c>
      <c r="N72" s="25">
        <f t="shared" si="280"/>
        <v>5.4728370221327927E-2</v>
      </c>
      <c r="O72" s="25">
        <f t="shared" si="280"/>
        <v>0.10415871804654708</v>
      </c>
      <c r="P72" s="25">
        <f t="shared" si="280"/>
        <v>1.2093987560468644E-3</v>
      </c>
      <c r="Q72" s="25">
        <f t="shared" si="280"/>
        <v>0.41846419327006057</v>
      </c>
      <c r="R72" s="25">
        <f t="shared" si="280"/>
        <v>1.2594890510948904</v>
      </c>
      <c r="S72" s="25">
        <f t="shared" si="280"/>
        <v>4.4850051149518011E-2</v>
      </c>
      <c r="T72" s="25">
        <f t="shared" si="280"/>
        <v>-2.6589714521282004E-2</v>
      </c>
      <c r="U72" s="25">
        <f t="shared" si="280"/>
        <v>-9.9258867125463168E-2</v>
      </c>
      <c r="V72" s="25">
        <f t="shared" si="280"/>
        <v>-4.5371730825742085E-2</v>
      </c>
      <c r="W72" s="25">
        <f t="shared" si="280"/>
        <v>5.9718032383180297E-3</v>
      </c>
      <c r="X72" s="25">
        <f t="shared" si="280"/>
        <v>3.8249694002447931E-2</v>
      </c>
      <c r="Y72" s="25">
        <f t="shared" si="280"/>
        <v>-6.4249926318891148E-3</v>
      </c>
      <c r="Z72" s="25">
        <f t="shared" si="280"/>
        <v>-3.7494067394399755E-2</v>
      </c>
      <c r="AA72" s="25">
        <f t="shared" si="280"/>
        <v>-4.9494575936883667E-2</v>
      </c>
      <c r="AB72" s="25">
        <f t="shared" ca="1" si="280"/>
        <v>-3.8936892575975768E-2</v>
      </c>
      <c r="AC72" s="25">
        <f t="shared" ca="1" si="280"/>
        <v>-5.6716224153424699E-3</v>
      </c>
      <c r="AD72" s="25">
        <f t="shared" ca="1" si="280"/>
        <v>-7.9981457024628222E-3</v>
      </c>
      <c r="AE72" s="25">
        <f t="shared" ca="1" si="280"/>
        <v>-9.1842297925122107E-3</v>
      </c>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f t="shared" ref="BC72:BI72" si="281">+BC16/BB16-1</f>
        <v>0.19091431857389307</v>
      </c>
      <c r="BD72" s="25">
        <f t="shared" si="281"/>
        <v>0.20928467958888031</v>
      </c>
      <c r="BE72" s="25">
        <f t="shared" si="281"/>
        <v>0.15401289144943253</v>
      </c>
      <c r="BF72" s="25">
        <f t="shared" si="281"/>
        <v>1.570016311601008</v>
      </c>
      <c r="BG72" s="25">
        <f t="shared" si="281"/>
        <v>0.31722891102819561</v>
      </c>
      <c r="BH72" s="25">
        <f t="shared" si="281"/>
        <v>-4.4124518163765836E-2</v>
      </c>
      <c r="BI72" s="25">
        <f t="shared" ca="1" si="281"/>
        <v>-0.10396149508842067</v>
      </c>
      <c r="BJ72" s="382"/>
      <c r="BK72" s="382"/>
      <c r="BL72" s="382"/>
      <c r="BM72" s="382"/>
      <c r="BN72" s="382"/>
      <c r="BQ72" s="230"/>
      <c r="BR72"/>
      <c r="BS72"/>
      <c r="BT72"/>
      <c r="BU72"/>
      <c r="BV72"/>
      <c r="BW72"/>
    </row>
    <row r="73" spans="1:75" s="22" customFormat="1">
      <c r="B73" t="s">
        <v>7</v>
      </c>
      <c r="C73" s="24"/>
      <c r="D73" s="25"/>
      <c r="E73" s="25">
        <f t="shared" ref="E73:AM73" si="282">+E17/D17-1</f>
        <v>0</v>
      </c>
      <c r="F73" s="25">
        <f t="shared" si="282"/>
        <v>-0.64414414414414423</v>
      </c>
      <c r="G73" s="25">
        <f t="shared" si="282"/>
        <v>7.6962025316455698</v>
      </c>
      <c r="H73" s="25">
        <f t="shared" si="282"/>
        <v>4.2212518195051008E-2</v>
      </c>
      <c r="I73" s="25">
        <f t="shared" si="282"/>
        <v>-0.47486033519553084</v>
      </c>
      <c r="J73" s="25">
        <f t="shared" si="282"/>
        <v>0.14095744680851063</v>
      </c>
      <c r="K73" s="25">
        <f t="shared" si="282"/>
        <v>4.6620046620047262E-3</v>
      </c>
      <c r="L73" s="25">
        <f t="shared" si="282"/>
        <v>2.5522041763341052E-2</v>
      </c>
      <c r="M73" s="25">
        <f t="shared" si="282"/>
        <v>0.24434389140271495</v>
      </c>
      <c r="N73" s="25">
        <f t="shared" si="282"/>
        <v>1.0436363636363635</v>
      </c>
      <c r="O73" s="25">
        <f t="shared" si="282"/>
        <v>-0.46708185053380791</v>
      </c>
      <c r="P73" s="25">
        <f t="shared" si="282"/>
        <v>-8.3472454090149917E-3</v>
      </c>
      <c r="Q73" s="25">
        <f t="shared" si="282"/>
        <v>2.5723905723905722</v>
      </c>
      <c r="R73" s="25">
        <f t="shared" si="282"/>
        <v>-0.33317624882186614</v>
      </c>
      <c r="S73" s="25">
        <f t="shared" si="282"/>
        <v>0.31943462897526498</v>
      </c>
      <c r="T73" s="25">
        <f t="shared" si="282"/>
        <v>8.0342795929298383E-2</v>
      </c>
      <c r="U73" s="25">
        <f t="shared" si="282"/>
        <v>0.90084283589489345</v>
      </c>
      <c r="V73" s="25">
        <f t="shared" si="282"/>
        <v>-0.60511215440792898</v>
      </c>
      <c r="W73" s="25">
        <f t="shared" si="282"/>
        <v>1.3210039630118242E-3</v>
      </c>
      <c r="X73" s="25">
        <f t="shared" si="282"/>
        <v>3.2981530343008103E-3</v>
      </c>
      <c r="Y73" s="25">
        <f t="shared" si="282"/>
        <v>-4.9967126890203661E-2</v>
      </c>
      <c r="Z73" s="25">
        <f t="shared" si="282"/>
        <v>0.39377162629757767</v>
      </c>
      <c r="AA73" s="25">
        <f t="shared" si="282"/>
        <v>0.17130089374379365</v>
      </c>
      <c r="AB73" s="25">
        <f t="shared" ca="1" si="282"/>
        <v>3.4322721803643486E-3</v>
      </c>
      <c r="AC73" s="25">
        <f t="shared" ca="1" si="282"/>
        <v>1.2407075358923603E-2</v>
      </c>
      <c r="AD73" s="25">
        <f t="shared" ca="1" si="282"/>
        <v>1.0372259006750317E-2</v>
      </c>
      <c r="AE73" s="25">
        <f t="shared" ca="1" si="282"/>
        <v>9.5104073812135592E-3</v>
      </c>
      <c r="AF73" s="25">
        <f t="shared" ca="1" si="282"/>
        <v>-0.11217230759668273</v>
      </c>
      <c r="AG73" s="25">
        <f t="shared" ca="1" si="282"/>
        <v>2.4795227212431437E-2</v>
      </c>
      <c r="AH73" s="25">
        <f t="shared" ca="1" si="282"/>
        <v>2.3019132336304926E-2</v>
      </c>
      <c r="AI73" s="25">
        <f t="shared" ca="1" si="282"/>
        <v>2.2366217457559179E-2</v>
      </c>
      <c r="AJ73" s="25">
        <f t="shared" ca="1" si="282"/>
        <v>2.2133823584014278E-2</v>
      </c>
      <c r="AK73" s="25">
        <f t="shared" ca="1" si="282"/>
        <v>2.2049454351069864E-2</v>
      </c>
      <c r="AL73" s="25">
        <f t="shared" ca="1" si="282"/>
        <v>2.2022089271333423E-2</v>
      </c>
      <c r="AM73" s="25">
        <f t="shared" ca="1" si="282"/>
        <v>2.2002385776345612E-2</v>
      </c>
      <c r="AN73" s="25">
        <f t="shared" ca="1" si="262"/>
        <v>2.1971708616431274E-2</v>
      </c>
      <c r="AO73" s="25">
        <f t="shared" ca="1" si="263"/>
        <v>2.1923221057982945E-2</v>
      </c>
      <c r="AP73" s="25">
        <f t="shared" ca="1" si="264"/>
        <v>2.1869224172937463E-2</v>
      </c>
      <c r="AQ73" s="25">
        <f t="shared" ca="1" si="265"/>
        <v>2.1801061173784886E-2</v>
      </c>
      <c r="AR73" s="25">
        <f t="shared" ca="1" si="266"/>
        <v>2.1715872989139351E-2</v>
      </c>
      <c r="AS73" s="25">
        <f t="shared" ca="1" si="267"/>
        <v>2.1612900957816539E-2</v>
      </c>
      <c r="AT73" s="25">
        <f t="shared" ca="1" si="268"/>
        <v>2.1506667055784856E-2</v>
      </c>
      <c r="AU73" s="25">
        <f t="shared" ca="1" si="269"/>
        <v>2.1389398902351919E-2</v>
      </c>
      <c r="AV73" s="25">
        <f t="shared" ca="1" si="270"/>
        <v>2.1258478379759804E-2</v>
      </c>
      <c r="AW73" s="25">
        <f t="shared" ca="1" si="271"/>
        <v>2.1113146632598889E-2</v>
      </c>
      <c r="AX73" s="25">
        <f t="shared" ca="1" si="272"/>
        <v>2.0967774881461176E-2</v>
      </c>
      <c r="AY73" s="25">
        <f t="shared" ca="1" si="273"/>
        <v>2.0814507810890559E-2</v>
      </c>
      <c r="AZ73" s="25"/>
      <c r="BA73" s="25"/>
      <c r="BB73" s="25"/>
      <c r="BC73" s="25">
        <f t="shared" ref="BC73:BK73" si="283">+BC17/BB17-1</f>
        <v>-0.40039643211100095</v>
      </c>
      <c r="BD73" s="25">
        <f t="shared" si="283"/>
        <v>0.6132231404958679</v>
      </c>
      <c r="BE73" s="25">
        <f t="shared" si="283"/>
        <v>0.39088114754098346</v>
      </c>
      <c r="BF73" s="25">
        <f t="shared" si="283"/>
        <v>1.2092081031307553</v>
      </c>
      <c r="BG73" s="25">
        <f t="shared" si="283"/>
        <v>0.48066022007335785</v>
      </c>
      <c r="BH73" s="25">
        <f t="shared" si="283"/>
        <v>-0.17362909582254249</v>
      </c>
      <c r="BI73" s="25">
        <f t="shared" ca="1" si="283"/>
        <v>0.31206355702203692</v>
      </c>
      <c r="BJ73" s="25">
        <f t="shared" ca="1" si="283"/>
        <v>-6.5829158502015095E-2</v>
      </c>
      <c r="BK73" s="25">
        <f t="shared" ca="1" si="283"/>
        <v>9.2684963498285589E-2</v>
      </c>
      <c r="BL73" s="25">
        <f t="shared" ca="1" si="275"/>
        <v>9.0754548499677901E-2</v>
      </c>
      <c r="BM73" s="25">
        <f t="shared" ca="1" si="276"/>
        <v>8.9647988718447591E-2</v>
      </c>
      <c r="BN73" s="25">
        <f t="shared" ca="1" si="277"/>
        <v>8.7710940720927333E-2</v>
      </c>
      <c r="BQ73" s="230"/>
      <c r="BR73"/>
      <c r="BS73"/>
      <c r="BT73"/>
      <c r="BU73"/>
      <c r="BV73"/>
      <c r="BW73"/>
    </row>
    <row r="74" spans="1:75" s="22" customFormat="1">
      <c r="B74" t="s">
        <v>8</v>
      </c>
      <c r="C74" s="24"/>
      <c r="D74" s="25"/>
      <c r="E74" s="25">
        <f t="shared" ref="E74:AM74" si="284">+E18/D18-1</f>
        <v>5.9059550269896066E-2</v>
      </c>
      <c r="F74" s="25">
        <f t="shared" si="284"/>
        <v>-1.1856414729210618E-2</v>
      </c>
      <c r="G74" s="25">
        <f t="shared" si="284"/>
        <v>5.2932090252109987E-2</v>
      </c>
      <c r="H74" s="25">
        <f t="shared" si="284"/>
        <v>8.7103450082519185E-2</v>
      </c>
      <c r="I74" s="25">
        <f t="shared" si="284"/>
        <v>3.4748662586148837E-2</v>
      </c>
      <c r="J74" s="25">
        <f t="shared" si="284"/>
        <v>7.1727992547740982E-2</v>
      </c>
      <c r="K74" s="25">
        <f t="shared" si="284"/>
        <v>3.0617122990004297E-2</v>
      </c>
      <c r="L74" s="25">
        <f t="shared" si="284"/>
        <v>3.1921398300617909E-2</v>
      </c>
      <c r="M74" s="25">
        <f t="shared" si="284"/>
        <v>4.8934474797212912E-2</v>
      </c>
      <c r="N74" s="25">
        <f t="shared" si="284"/>
        <v>0.12869609256301384</v>
      </c>
      <c r="O74" s="25">
        <f t="shared" si="284"/>
        <v>2.792303045991873E-2</v>
      </c>
      <c r="P74" s="25">
        <f t="shared" si="284"/>
        <v>3.0606248845760131E-2</v>
      </c>
      <c r="Q74" s="25">
        <f t="shared" si="284"/>
        <v>0.10965040888802013</v>
      </c>
      <c r="R74" s="25">
        <f t="shared" si="284"/>
        <v>0.30496058252712244</v>
      </c>
      <c r="S74" s="25">
        <f t="shared" si="284"/>
        <v>4.2749465631679806E-2</v>
      </c>
      <c r="T74" s="25">
        <f t="shared" si="284"/>
        <v>2.2418815406192616E-2</v>
      </c>
      <c r="U74" s="25">
        <f t="shared" si="284"/>
        <v>4.1353621475603619E-2</v>
      </c>
      <c r="V74" s="25">
        <f t="shared" si="284"/>
        <v>4.8415698116266448E-2</v>
      </c>
      <c r="W74" s="25">
        <f t="shared" si="284"/>
        <v>1.9117575991881575E-2</v>
      </c>
      <c r="X74" s="25">
        <f t="shared" si="284"/>
        <v>4.9410582020616989E-3</v>
      </c>
      <c r="Y74" s="25">
        <f t="shared" si="284"/>
        <v>1.7968366615076725E-2</v>
      </c>
      <c r="Z74" s="25">
        <f t="shared" si="284"/>
        <v>5.4687210294063204E-2</v>
      </c>
      <c r="AA74" s="25">
        <f t="shared" si="284"/>
        <v>4.5215220582418336E-2</v>
      </c>
      <c r="AB74" s="25">
        <f t="shared" ca="1" si="284"/>
        <v>-2.5730351692887399E-2</v>
      </c>
      <c r="AC74" s="25">
        <f t="shared" ca="1" si="284"/>
        <v>1.3680113069669986E-2</v>
      </c>
      <c r="AD74" s="25">
        <f t="shared" ca="1" si="284"/>
        <v>1.4990207848755821E-2</v>
      </c>
      <c r="AE74" s="25">
        <f t="shared" ca="1" si="284"/>
        <v>9.2605661117197702E-3</v>
      </c>
      <c r="AF74" s="25">
        <f t="shared" ca="1" si="284"/>
        <v>-0.11257882776838635</v>
      </c>
      <c r="AG74" s="25">
        <f t="shared" ca="1" si="284"/>
        <v>2.9243587272247851E-2</v>
      </c>
      <c r="AH74" s="25">
        <f t="shared" ca="1" si="284"/>
        <v>2.7408441502381642E-2</v>
      </c>
      <c r="AI74" s="25">
        <f t="shared" ca="1" si="284"/>
        <v>2.1189902766512336E-2</v>
      </c>
      <c r="AJ74" s="25">
        <f t="shared" ca="1" si="284"/>
        <v>1.2793810110306891E-2</v>
      </c>
      <c r="AK74" s="25">
        <f t="shared" ca="1" si="284"/>
        <v>2.6219593036473032E-2</v>
      </c>
      <c r="AL74" s="25">
        <f t="shared" ca="1" si="284"/>
        <v>2.6222079218673588E-2</v>
      </c>
      <c r="AM74" s="25">
        <f t="shared" ca="1" si="284"/>
        <v>2.0815271564747606E-2</v>
      </c>
      <c r="AN74" s="25">
        <f t="shared" ca="1" si="262"/>
        <v>1.2813364986816733E-2</v>
      </c>
      <c r="AO74" s="25">
        <f t="shared" ca="1" si="263"/>
        <v>2.6016085078182094E-2</v>
      </c>
      <c r="AP74" s="25">
        <f t="shared" ca="1" si="264"/>
        <v>2.6035801711015827E-2</v>
      </c>
      <c r="AQ74" s="25">
        <f t="shared" ca="1" si="265"/>
        <v>2.0630441583226355E-2</v>
      </c>
      <c r="AR74" s="25">
        <f t="shared" ca="1" si="266"/>
        <v>1.2597306698465038E-2</v>
      </c>
      <c r="AS74" s="25">
        <f t="shared" ca="1" si="267"/>
        <v>2.5681649043899135E-2</v>
      </c>
      <c r="AT74" s="25">
        <f t="shared" ca="1" si="268"/>
        <v>2.5661538374283532E-2</v>
      </c>
      <c r="AU74" s="25">
        <f t="shared" ca="1" si="269"/>
        <v>2.0225694121160487E-2</v>
      </c>
      <c r="AV74" s="25">
        <f t="shared" ca="1" si="270"/>
        <v>1.2164102731144766E-2</v>
      </c>
      <c r="AW74" s="25">
        <f t="shared" ca="1" si="271"/>
        <v>2.5168944824525807E-2</v>
      </c>
      <c r="AX74" s="25">
        <f t="shared" ca="1" si="272"/>
        <v>2.5112150321780158E-2</v>
      </c>
      <c r="AY74" s="25">
        <f t="shared" ca="1" si="273"/>
        <v>1.9654618586738559E-2</v>
      </c>
      <c r="AZ74" s="25"/>
      <c r="BA74" s="25"/>
      <c r="BB74" s="25"/>
      <c r="BC74" s="25">
        <f t="shared" ref="BC74:BK74" si="285">+BC18/BB18-1</f>
        <v>0.11781803122795176</v>
      </c>
      <c r="BD74" s="25">
        <f t="shared" si="285"/>
        <v>0.22041863624201596</v>
      </c>
      <c r="BE74" s="25">
        <f t="shared" si="285"/>
        <v>0.22431093896687226</v>
      </c>
      <c r="BF74" s="25">
        <f t="shared" si="285"/>
        <v>0.42836874222297716</v>
      </c>
      <c r="BG74" s="25">
        <f t="shared" si="285"/>
        <v>0.29342651318136981</v>
      </c>
      <c r="BH74" s="25">
        <f t="shared" si="285"/>
        <v>0.10971933304006587</v>
      </c>
      <c r="BI74" s="25">
        <f t="shared" ca="1" si="285"/>
        <v>5.8844612620290615E-2</v>
      </c>
      <c r="BJ74" s="25">
        <f t="shared" ca="1" si="285"/>
        <v>-5.9170151402236248E-2</v>
      </c>
      <c r="BK74" s="25">
        <f t="shared" ca="1" si="285"/>
        <v>9.0484855654611174E-2</v>
      </c>
      <c r="BL74" s="25">
        <f t="shared" ca="1" si="275"/>
        <v>8.8509216946317082E-2</v>
      </c>
      <c r="BM74" s="25">
        <f t="shared" ca="1" si="276"/>
        <v>8.7398664901018774E-2</v>
      </c>
      <c r="BN74" s="25">
        <f t="shared" ca="1" si="277"/>
        <v>8.5468133822530268E-2</v>
      </c>
      <c r="BQ74" s="230"/>
      <c r="BR74"/>
      <c r="BS74"/>
      <c r="BT74"/>
      <c r="BU74"/>
      <c r="BV74"/>
      <c r="BW74"/>
    </row>
    <row r="75" spans="1:75" s="22" customFormat="1">
      <c r="B75"/>
      <c r="C75" s="24"/>
      <c r="D75" s="24"/>
      <c r="E75" s="24"/>
      <c r="F75" s="24"/>
      <c r="G75" s="24"/>
      <c r="H75" s="24"/>
      <c r="I75" s="24"/>
      <c r="J75" s="24"/>
      <c r="K75" s="24"/>
      <c r="L75" s="24"/>
      <c r="M75" s="24"/>
      <c r="N75" s="24"/>
      <c r="O75" s="24"/>
      <c r="P75" s="24"/>
      <c r="Q75" s="24"/>
      <c r="R75" s="24"/>
      <c r="S75" s="24"/>
      <c r="T75" s="24"/>
      <c r="U75" s="24"/>
      <c r="V75" s="24"/>
      <c r="W75" s="24"/>
      <c r="X75" s="24"/>
      <c r="Y75" s="24"/>
      <c r="Z75" s="24"/>
      <c r="AA75" s="24"/>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Q75" s="230"/>
      <c r="BR75"/>
      <c r="BS75"/>
      <c r="BT75"/>
      <c r="BU75"/>
      <c r="BV75"/>
      <c r="BW75"/>
    </row>
    <row r="76" spans="1:7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24"/>
      <c r="BA76" s="4"/>
      <c r="BB76" s="4"/>
      <c r="BC76" s="4"/>
      <c r="BD76" s="4"/>
      <c r="BE76" s="4"/>
      <c r="BF76" s="4"/>
      <c r="BG76" s="4"/>
      <c r="BH76" s="4"/>
      <c r="BI76" s="4"/>
      <c r="BJ76" s="4"/>
      <c r="BK76" s="4"/>
      <c r="BL76" s="4"/>
      <c r="BM76" s="4"/>
      <c r="BN76" s="4"/>
    </row>
    <row r="77" spans="1:75">
      <c r="BA77"/>
    </row>
    <row r="78" spans="1:75">
      <c r="A78" s="1" t="s">
        <v>24</v>
      </c>
      <c r="B78" s="2" t="s">
        <v>0</v>
      </c>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65"/>
      <c r="BA78" s="2"/>
      <c r="BB78" s="2"/>
      <c r="BC78" s="2"/>
      <c r="BD78" s="2"/>
      <c r="BE78" s="2"/>
      <c r="BF78" s="2"/>
      <c r="BG78" s="2"/>
      <c r="BH78" s="2"/>
      <c r="BI78" s="2"/>
      <c r="BJ78" s="2"/>
      <c r="BK78" s="2"/>
      <c r="BL78" s="2"/>
      <c r="BM78" s="2"/>
      <c r="BN78" s="2"/>
    </row>
    <row r="79" spans="1:75">
      <c r="B79" s="2" t="s">
        <v>2</v>
      </c>
      <c r="C79" s="2"/>
      <c r="D79" s="3" t="str">
        <f t="shared" ref="D79:AM79" si="286">D11</f>
        <v>1Q12</v>
      </c>
      <c r="E79" s="3" t="str">
        <f t="shared" si="286"/>
        <v>2Q12</v>
      </c>
      <c r="F79" s="3" t="str">
        <f t="shared" si="286"/>
        <v>3Q12</v>
      </c>
      <c r="G79" s="3" t="str">
        <f t="shared" si="286"/>
        <v>4Q12</v>
      </c>
      <c r="H79" s="3" t="str">
        <f t="shared" si="286"/>
        <v>1Q13</v>
      </c>
      <c r="I79" s="3" t="str">
        <f t="shared" si="286"/>
        <v>2Q13</v>
      </c>
      <c r="J79" s="3" t="str">
        <f t="shared" si="286"/>
        <v>3Q13</v>
      </c>
      <c r="K79" s="3" t="str">
        <f t="shared" si="286"/>
        <v>4Q13</v>
      </c>
      <c r="L79" s="3" t="str">
        <f t="shared" si="286"/>
        <v>1Q14</v>
      </c>
      <c r="M79" s="3" t="str">
        <f t="shared" si="286"/>
        <v>2Q14</v>
      </c>
      <c r="N79" s="3" t="str">
        <f t="shared" si="286"/>
        <v>3Q14</v>
      </c>
      <c r="O79" s="3" t="str">
        <f t="shared" si="286"/>
        <v>4Q14</v>
      </c>
      <c r="P79" s="3" t="str">
        <f t="shared" si="286"/>
        <v>1Q15</v>
      </c>
      <c r="Q79" s="3" t="str">
        <f t="shared" si="286"/>
        <v>2Q15</v>
      </c>
      <c r="R79" s="3" t="str">
        <f t="shared" si="286"/>
        <v>3Q15</v>
      </c>
      <c r="S79" s="3" t="str">
        <f t="shared" si="286"/>
        <v>4Q15</v>
      </c>
      <c r="T79" s="3" t="str">
        <f>T11</f>
        <v>1Q16</v>
      </c>
      <c r="U79" s="3" t="str">
        <f t="shared" si="286"/>
        <v>2Q16</v>
      </c>
      <c r="V79" s="3" t="str">
        <f>V11</f>
        <v>3Q16</v>
      </c>
      <c r="W79" s="3" t="str">
        <f>W11</f>
        <v>4Q16</v>
      </c>
      <c r="X79" s="3" t="str">
        <f>X11</f>
        <v>1Q17</v>
      </c>
      <c r="Y79" s="3" t="str">
        <f t="shared" si="286"/>
        <v>2Q17</v>
      </c>
      <c r="Z79" s="3" t="str">
        <f t="shared" si="286"/>
        <v>3Q17</v>
      </c>
      <c r="AA79" s="3" t="str">
        <f t="shared" si="286"/>
        <v>4Q17</v>
      </c>
      <c r="AB79" s="3" t="str">
        <f t="shared" si="286"/>
        <v>1Q18E</v>
      </c>
      <c r="AC79" s="3" t="str">
        <f t="shared" si="286"/>
        <v>2Q18E</v>
      </c>
      <c r="AD79" s="3" t="str">
        <f t="shared" si="286"/>
        <v>3Q18E</v>
      </c>
      <c r="AE79" s="3" t="str">
        <f t="shared" si="286"/>
        <v>4Q18E</v>
      </c>
      <c r="AF79" s="3" t="str">
        <f t="shared" si="286"/>
        <v>1Q19E</v>
      </c>
      <c r="AG79" s="3" t="str">
        <f t="shared" si="286"/>
        <v>2Q19E</v>
      </c>
      <c r="AH79" s="3" t="str">
        <f t="shared" si="286"/>
        <v>3Q19E</v>
      </c>
      <c r="AI79" s="3" t="str">
        <f t="shared" si="286"/>
        <v>4Q19E</v>
      </c>
      <c r="AJ79" s="3" t="str">
        <f t="shared" si="286"/>
        <v>1Q20E</v>
      </c>
      <c r="AK79" s="3" t="str">
        <f t="shared" si="286"/>
        <v>2Q20E</v>
      </c>
      <c r="AL79" s="3" t="str">
        <f t="shared" si="286"/>
        <v>3Q20E</v>
      </c>
      <c r="AM79" s="3" t="str">
        <f t="shared" si="286"/>
        <v>4Q20E</v>
      </c>
      <c r="AN79" s="3" t="str">
        <f t="shared" ref="AN79:AY79" si="287">AN11</f>
        <v>1Q21E</v>
      </c>
      <c r="AO79" s="3" t="str">
        <f t="shared" si="287"/>
        <v>2Q21E</v>
      </c>
      <c r="AP79" s="3" t="str">
        <f t="shared" si="287"/>
        <v>3Q21E</v>
      </c>
      <c r="AQ79" s="3" t="str">
        <f t="shared" si="287"/>
        <v>4Q21E</v>
      </c>
      <c r="AR79" s="3" t="str">
        <f t="shared" si="287"/>
        <v>1Q22E</v>
      </c>
      <c r="AS79" s="3" t="str">
        <f t="shared" si="287"/>
        <v>2Q22E</v>
      </c>
      <c r="AT79" s="3" t="str">
        <f t="shared" si="287"/>
        <v>3Q22E</v>
      </c>
      <c r="AU79" s="3" t="str">
        <f t="shared" si="287"/>
        <v>4Q22E</v>
      </c>
      <c r="AV79" s="3" t="str">
        <f t="shared" si="287"/>
        <v>1Q23E</v>
      </c>
      <c r="AW79" s="3" t="str">
        <f t="shared" si="287"/>
        <v>2Q23E</v>
      </c>
      <c r="AX79" s="3" t="str">
        <f t="shared" si="287"/>
        <v>3Q23E</v>
      </c>
      <c r="AY79" s="3" t="str">
        <f t="shared" si="287"/>
        <v>4Q23E</v>
      </c>
      <c r="AZ79" s="66"/>
      <c r="BA79" s="3" t="str">
        <f t="shared" ref="BA79:BK79" si="288">BA11</f>
        <v>2010A</v>
      </c>
      <c r="BB79" s="3" t="str">
        <f t="shared" si="288"/>
        <v>2011A</v>
      </c>
      <c r="BC79" s="3" t="str">
        <f t="shared" si="288"/>
        <v>2012A</v>
      </c>
      <c r="BD79" s="3" t="str">
        <f t="shared" si="288"/>
        <v>2013A</v>
      </c>
      <c r="BE79" s="3" t="str">
        <f t="shared" si="288"/>
        <v>2014A</v>
      </c>
      <c r="BF79" s="3">
        <f t="shared" si="288"/>
        <v>2015</v>
      </c>
      <c r="BG79" s="3">
        <f t="shared" si="288"/>
        <v>2016</v>
      </c>
      <c r="BH79" s="3">
        <f t="shared" si="288"/>
        <v>2017</v>
      </c>
      <c r="BI79" s="3" t="str">
        <f t="shared" si="288"/>
        <v>2018E</v>
      </c>
      <c r="BJ79" s="3" t="str">
        <f t="shared" si="288"/>
        <v>2019E</v>
      </c>
      <c r="BK79" s="3" t="str">
        <f t="shared" si="288"/>
        <v>2020E</v>
      </c>
      <c r="BL79" s="3" t="str">
        <f t="shared" ref="BL79:BN79" si="289">BL11</f>
        <v>2021E</v>
      </c>
      <c r="BM79" s="3" t="str">
        <f t="shared" si="289"/>
        <v>2022E</v>
      </c>
      <c r="BN79" s="3" t="str">
        <f t="shared" si="289"/>
        <v>2023E</v>
      </c>
    </row>
    <row r="80" spans="1:75">
      <c r="BA80"/>
    </row>
    <row r="81" spans="1:75">
      <c r="B81" t="s">
        <v>3</v>
      </c>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24"/>
      <c r="BA81" s="4"/>
      <c r="BB81" s="4"/>
      <c r="BC81" s="4"/>
      <c r="BD81" s="4"/>
      <c r="BE81" s="4"/>
      <c r="BF81" s="4"/>
      <c r="BG81" s="4"/>
      <c r="BH81" s="4"/>
      <c r="BI81" s="4"/>
      <c r="BJ81" s="4"/>
      <c r="BK81" s="4"/>
      <c r="BL81" s="4"/>
      <c r="BM81" s="4"/>
      <c r="BN81" s="4"/>
    </row>
    <row r="82" spans="1:75">
      <c r="B82" t="s">
        <v>4</v>
      </c>
      <c r="C82" s="4"/>
      <c r="D82" s="10">
        <f t="shared" ref="D82:AM82" si="290">D14</f>
        <v>28.790999999999997</v>
      </c>
      <c r="E82" s="10">
        <f t="shared" si="290"/>
        <v>30.725000000000001</v>
      </c>
      <c r="F82" s="10">
        <f t="shared" si="290"/>
        <v>30.036999999999999</v>
      </c>
      <c r="G82" s="39">
        <f t="shared" si="290"/>
        <v>31.204999999999998</v>
      </c>
      <c r="H82" s="10">
        <f t="shared" si="290"/>
        <v>33.805999999999997</v>
      </c>
      <c r="I82" s="10">
        <f t="shared" si="290"/>
        <v>34.783000000000001</v>
      </c>
      <c r="J82" s="10">
        <f t="shared" si="290"/>
        <v>37.594999999999999</v>
      </c>
      <c r="K82" s="10">
        <f t="shared" si="290"/>
        <v>39.122</v>
      </c>
      <c r="L82" s="10">
        <f t="shared" si="290"/>
        <v>40.579000000000001</v>
      </c>
      <c r="M82" s="10">
        <f t="shared" si="290"/>
        <v>41.966000000000001</v>
      </c>
      <c r="N82" s="10">
        <f t="shared" si="290"/>
        <v>45.448</v>
      </c>
      <c r="O82" s="10">
        <f t="shared" si="290"/>
        <v>47.655999999999999</v>
      </c>
      <c r="P82" s="10">
        <f t="shared" si="290"/>
        <v>49.332999999999998</v>
      </c>
      <c r="Q82" s="10">
        <f t="shared" si="290"/>
        <v>52.192999999999998</v>
      </c>
      <c r="R82" s="10">
        <f t="shared" si="290"/>
        <v>62.744</v>
      </c>
      <c r="S82" s="10">
        <f t="shared" si="290"/>
        <v>66.239999999999995</v>
      </c>
      <c r="T82" s="10">
        <f t="shared" ref="T82:U85" si="291">T14</f>
        <v>68.426000000000002</v>
      </c>
      <c r="U82" s="10">
        <f t="shared" si="291"/>
        <v>71.67</v>
      </c>
      <c r="V82" s="10">
        <f t="shared" ref="V82:W85" si="292">V14</f>
        <v>77.004999999999995</v>
      </c>
      <c r="W82" s="10">
        <f t="shared" si="292"/>
        <v>78.622</v>
      </c>
      <c r="X82" s="10">
        <f t="shared" ref="X82:Y85" si="293">X14</f>
        <v>79.117000000000004</v>
      </c>
      <c r="Y82" s="10">
        <f t="shared" si="293"/>
        <v>80.793000000000006</v>
      </c>
      <c r="Z82" s="10">
        <f t="shared" ref="Z82:AA82" si="294">Z14</f>
        <v>85.831000000000003</v>
      </c>
      <c r="AA82" s="10">
        <f t="shared" si="294"/>
        <v>90.078000000000003</v>
      </c>
      <c r="AB82" s="4">
        <f t="shared" ca="1" si="290"/>
        <v>91.040547103170368</v>
      </c>
      <c r="AC82" s="4">
        <f t="shared" ca="1" si="290"/>
        <v>92.43803035165692</v>
      </c>
      <c r="AD82" s="4">
        <f t="shared" ca="1" si="290"/>
        <v>93.667536969304919</v>
      </c>
      <c r="AE82" s="4">
        <f t="shared" ca="1" si="290"/>
        <v>94.831643443018564</v>
      </c>
      <c r="AF82" s="4">
        <f t="shared" ca="1" si="290"/>
        <v>97.053785780783116</v>
      </c>
      <c r="AG82" s="4">
        <f t="shared" ca="1" si="290"/>
        <v>99.460256451044302</v>
      </c>
      <c r="AH82" s="4">
        <f t="shared" ca="1" si="290"/>
        <v>101.74974525649372</v>
      </c>
      <c r="AI82" s="4">
        <f t="shared" ca="1" si="290"/>
        <v>104.02550218515169</v>
      </c>
      <c r="AJ82" s="4">
        <f t="shared" ca="1" si="290"/>
        <v>106.32798429875633</v>
      </c>
      <c r="AK82" s="4">
        <f t="shared" ca="1" si="290"/>
        <v>108.67245833479303</v>
      </c>
      <c r="AL82" s="4">
        <f t="shared" ca="1" si="290"/>
        <v>111.06565291357711</v>
      </c>
      <c r="AM82" s="4">
        <f t="shared" ca="1" si="290"/>
        <v>113.50936225548334</v>
      </c>
      <c r="AN82" s="4">
        <f t="shared" ref="AN82:AY82" ca="1" si="295">AN14</f>
        <v>116.00335688819777</v>
      </c>
      <c r="AO82" s="4">
        <f t="shared" ca="1" si="295"/>
        <v>118.54652412472581</v>
      </c>
      <c r="AP82" s="4">
        <f t="shared" ca="1" si="295"/>
        <v>121.13904463573198</v>
      </c>
      <c r="AQ82" s="4">
        <f t="shared" ca="1" si="295"/>
        <v>123.78000435836944</v>
      </c>
      <c r="AR82" s="4">
        <f t="shared" ca="1" si="295"/>
        <v>126.4679952116109</v>
      </c>
      <c r="AS82" s="4">
        <f t="shared" ca="1" si="295"/>
        <v>129.20133546645306</v>
      </c>
      <c r="AT82" s="4">
        <f t="shared" ca="1" si="295"/>
        <v>131.98002557149283</v>
      </c>
      <c r="AU82" s="4">
        <f t="shared" ca="1" si="295"/>
        <v>134.80299898558408</v>
      </c>
      <c r="AV82" s="4">
        <f t="shared" ca="1" si="295"/>
        <v>137.66870562504593</v>
      </c>
      <c r="AW82" s="4">
        <f t="shared" ca="1" si="295"/>
        <v>140.57532519362761</v>
      </c>
      <c r="AX82" s="4">
        <f t="shared" ca="1" si="295"/>
        <v>143.5228769661758</v>
      </c>
      <c r="AY82" s="4">
        <f t="shared" ca="1" si="295"/>
        <v>146.51023500982976</v>
      </c>
      <c r="AZ82" s="54"/>
      <c r="BA82" s="4">
        <f t="shared" ref="BA82:BC85" si="296">+BA14</f>
        <v>92.8</v>
      </c>
      <c r="BB82" s="4">
        <f t="shared" si="296"/>
        <v>104.051</v>
      </c>
      <c r="BC82" s="4">
        <f t="shared" si="296"/>
        <v>120.758</v>
      </c>
      <c r="BD82" s="4">
        <f>+SUM(H82:K82)</f>
        <v>145.30599999999998</v>
      </c>
      <c r="BE82" s="4">
        <f>+SUM(L82:O82)</f>
        <v>175.649</v>
      </c>
      <c r="BF82" s="4">
        <f>+SUM(P82:S82)</f>
        <v>230.51</v>
      </c>
      <c r="BG82" s="4">
        <f>+SUM(T82:W82)</f>
        <v>295.72300000000001</v>
      </c>
      <c r="BH82" s="4">
        <f>+SUM(X82:AA82)</f>
        <v>335.81900000000007</v>
      </c>
      <c r="BI82" s="4">
        <f ca="1">+SUM(AB82:AE82)</f>
        <v>371.97775786715079</v>
      </c>
      <c r="BJ82" s="4">
        <f ca="1">+SUM(AF82:AI82)</f>
        <v>402.28928967347287</v>
      </c>
      <c r="BK82" s="4">
        <f ca="1">+SUM(AJ82:AM82)</f>
        <v>439.57545780260978</v>
      </c>
      <c r="BL82" s="4">
        <f ca="1">+SUM(AN82:AQ82)</f>
        <v>479.46893000702494</v>
      </c>
      <c r="BM82" s="4">
        <f ca="1">+SUM(AR82:AU82)</f>
        <v>522.45235523514089</v>
      </c>
      <c r="BN82" s="4">
        <f ca="1">+SUM(AV82:AY82)</f>
        <v>568.27714279467909</v>
      </c>
      <c r="BO82" s="24"/>
    </row>
    <row r="83" spans="1:75">
      <c r="B83" t="s">
        <v>5</v>
      </c>
      <c r="C83" s="4"/>
      <c r="D83" s="10">
        <f t="shared" ref="D83:AM83" si="297">D15</f>
        <v>2.206</v>
      </c>
      <c r="E83" s="10">
        <f t="shared" si="297"/>
        <v>2.2829999999999999</v>
      </c>
      <c r="F83" s="10">
        <f t="shared" si="297"/>
        <v>2.2959999999999998</v>
      </c>
      <c r="G83" s="39">
        <f t="shared" si="297"/>
        <v>2.5090000000000017</v>
      </c>
      <c r="H83" s="10">
        <f t="shared" si="297"/>
        <v>2.8660000000000001</v>
      </c>
      <c r="I83" s="10">
        <f t="shared" si="297"/>
        <v>3.456</v>
      </c>
      <c r="J83" s="10">
        <f t="shared" si="297"/>
        <v>3.6030000000000002</v>
      </c>
      <c r="K83" s="10">
        <f t="shared" si="297"/>
        <v>3.173</v>
      </c>
      <c r="L83" s="10">
        <f t="shared" si="297"/>
        <v>3.6909999999999998</v>
      </c>
      <c r="M83" s="10">
        <f t="shared" si="297"/>
        <v>3.8519999999999999</v>
      </c>
      <c r="N83" s="10">
        <f t="shared" si="297"/>
        <v>6.1310000000000002</v>
      </c>
      <c r="O83" s="10">
        <f t="shared" si="297"/>
        <v>5.52</v>
      </c>
      <c r="P83" s="10">
        <f t="shared" si="297"/>
        <v>5.6639999999999997</v>
      </c>
      <c r="Q83" s="10">
        <f t="shared" si="297"/>
        <v>5.5819999999999999</v>
      </c>
      <c r="R83" s="10">
        <f t="shared" si="297"/>
        <v>6.1580000000000004</v>
      </c>
      <c r="S83" s="10">
        <f t="shared" si="297"/>
        <v>5.1769999999999996</v>
      </c>
      <c r="T83" s="10">
        <f t="shared" si="291"/>
        <v>5.4349999999999996</v>
      </c>
      <c r="U83" s="10">
        <f t="shared" si="291"/>
        <v>6.1680000000000001</v>
      </c>
      <c r="V83" s="10">
        <f t="shared" si="292"/>
        <v>8.7029999999999994</v>
      </c>
      <c r="W83" s="10">
        <f t="shared" si="292"/>
        <v>8.9649999999999999</v>
      </c>
      <c r="X83" s="10">
        <f t="shared" si="293"/>
        <v>8.3610000000000007</v>
      </c>
      <c r="Y83" s="10">
        <f t="shared" si="293"/>
        <v>8.7739999999999991</v>
      </c>
      <c r="Z83" s="10">
        <f t="shared" ref="Z83:AA83" si="298">Z15</f>
        <v>9.6980000000000004</v>
      </c>
      <c r="AA83" s="10">
        <f t="shared" si="298"/>
        <v>11.053000000000001</v>
      </c>
      <c r="AB83" s="4">
        <f t="shared" ca="1" si="297"/>
        <v>7.6231801370173073</v>
      </c>
      <c r="AC83" s="4">
        <f t="shared" ca="1" si="297"/>
        <v>7.8652446806786367</v>
      </c>
      <c r="AD83" s="4">
        <f t="shared" ca="1" si="297"/>
        <v>8.4891395754117092</v>
      </c>
      <c r="AE83" s="4">
        <f t="shared" ca="1" si="297"/>
        <v>8.5400945133014687</v>
      </c>
      <c r="AF83" s="4">
        <f t="shared" ca="1" si="297"/>
        <v>7.533227840991942</v>
      </c>
      <c r="AG83" s="4">
        <f t="shared" ca="1" si="297"/>
        <v>8.1949102913928211</v>
      </c>
      <c r="AH83" s="4">
        <f t="shared" ca="1" si="297"/>
        <v>8.8658435235112343</v>
      </c>
      <c r="AI83" s="4">
        <f t="shared" ca="1" si="297"/>
        <v>8.931343855361531</v>
      </c>
      <c r="AJ83" s="4">
        <f t="shared" ca="1" si="297"/>
        <v>8.0522848236638183</v>
      </c>
      <c r="AK83" s="4">
        <f t="shared" ca="1" si="297"/>
        <v>8.7167295520276102</v>
      </c>
      <c r="AL83" s="4">
        <f t="shared" ca="1" si="297"/>
        <v>9.4119293641707671</v>
      </c>
      <c r="AM83" s="4">
        <f t="shared" ca="1" si="297"/>
        <v>9.4730454492293106</v>
      </c>
      <c r="AN83" s="4">
        <f t="shared" ref="AN83:AY83" ca="1" si="299">AN15</f>
        <v>8.531624364817425</v>
      </c>
      <c r="AO83" s="4">
        <f t="shared" ca="1" si="299"/>
        <v>9.2389862006054013</v>
      </c>
      <c r="AP83" s="4">
        <f t="shared" ca="1" si="299"/>
        <v>9.9845084445392338</v>
      </c>
      <c r="AQ83" s="4">
        <f t="shared" ca="1" si="299"/>
        <v>10.045514645930389</v>
      </c>
      <c r="AR83" s="4">
        <f t="shared" ca="1" si="299"/>
        <v>9.0181267999953327</v>
      </c>
      <c r="AS83" s="4">
        <f t="shared" ca="1" si="299"/>
        <v>9.7757994925881988</v>
      </c>
      <c r="AT83" s="4">
        <f t="shared" ca="1" si="299"/>
        <v>10.575479866669161</v>
      </c>
      <c r="AU83" s="4">
        <f t="shared" ca="1" si="299"/>
        <v>10.632356260997399</v>
      </c>
      <c r="AV83" s="4">
        <f t="shared" ca="1" si="299"/>
        <v>9.5083275091224557</v>
      </c>
      <c r="AW83" s="4">
        <f t="shared" ca="1" si="299"/>
        <v>10.318483642180965</v>
      </c>
      <c r="AX83" s="4">
        <f t="shared" ca="1" si="299"/>
        <v>11.173226980916603</v>
      </c>
      <c r="AY83" s="4">
        <f t="shared" ca="1" si="299"/>
        <v>11.222639506880961</v>
      </c>
      <c r="AZ83" s="54"/>
      <c r="BA83" s="4">
        <f t="shared" si="296"/>
        <v>12.506</v>
      </c>
      <c r="BB83" s="4">
        <f t="shared" si="296"/>
        <v>12.154</v>
      </c>
      <c r="BC83" s="4">
        <f t="shared" si="296"/>
        <v>9.2940000000000023</v>
      </c>
      <c r="BD83" s="4">
        <f>+SUM(H83:K83)</f>
        <v>13.098000000000001</v>
      </c>
      <c r="BE83" s="4">
        <f>+SUM(L83:O83)</f>
        <v>19.193999999999999</v>
      </c>
      <c r="BF83" s="4">
        <f>+SUM(P83:S83)</f>
        <v>22.581</v>
      </c>
      <c r="BG83" s="4">
        <f>+SUM(T83:W83)</f>
        <v>29.270999999999997</v>
      </c>
      <c r="BH83" s="4">
        <f>+SUM(X83:AA83)</f>
        <v>37.885999999999996</v>
      </c>
      <c r="BI83" s="4">
        <f ca="1">+SUM(AB83:AE83)</f>
        <v>32.517658906409125</v>
      </c>
      <c r="BJ83" s="4">
        <f ca="1">+SUM(AF83:AI83)</f>
        <v>33.525325511257527</v>
      </c>
      <c r="BK83" s="4">
        <f ca="1">+SUM(AJ83:AM83)</f>
        <v>35.653989189091504</v>
      </c>
      <c r="BL83" s="4">
        <f ca="1">+SUM(AN83:AQ83)</f>
        <v>37.800633655892454</v>
      </c>
      <c r="BM83" s="4">
        <f ca="1">+SUM(AR83:AU83)</f>
        <v>40.001762420250088</v>
      </c>
      <c r="BN83" s="4">
        <f ca="1">+SUM(AV83:AY83)</f>
        <v>42.222677639100986</v>
      </c>
      <c r="BO83" s="24"/>
    </row>
    <row r="84" spans="1:75" s="22" customFormat="1">
      <c r="A84" s="393"/>
      <c r="B84" s="22" t="s">
        <v>6</v>
      </c>
      <c r="C84" s="24"/>
      <c r="D84" s="39">
        <f t="shared" ref="D84:S84" si="300">D16</f>
        <v>3.4239999999999999</v>
      </c>
      <c r="E84" s="39">
        <f t="shared" si="300"/>
        <v>3.4590000000000001</v>
      </c>
      <c r="F84" s="39">
        <f t="shared" si="300"/>
        <v>3.8420000000000001</v>
      </c>
      <c r="G84" s="39">
        <f t="shared" si="300"/>
        <v>3.7720000000000007</v>
      </c>
      <c r="H84" s="39">
        <f t="shared" si="300"/>
        <v>4.1100000000000003</v>
      </c>
      <c r="I84" s="39">
        <f t="shared" si="300"/>
        <v>4.3250000000000002</v>
      </c>
      <c r="J84" s="39">
        <f t="shared" si="300"/>
        <v>4.3929999999999998</v>
      </c>
      <c r="K84" s="39">
        <f t="shared" si="300"/>
        <v>4.7030000000000003</v>
      </c>
      <c r="L84" s="39">
        <f t="shared" si="300"/>
        <v>4.2309999999999999</v>
      </c>
      <c r="M84" s="39">
        <f t="shared" si="300"/>
        <v>4.97</v>
      </c>
      <c r="N84" s="39">
        <f t="shared" si="300"/>
        <v>5.242</v>
      </c>
      <c r="O84" s="39">
        <f t="shared" si="300"/>
        <v>5.7880000000000003</v>
      </c>
      <c r="P84" s="39">
        <f t="shared" si="300"/>
        <v>5.7949999999999999</v>
      </c>
      <c r="Q84" s="39">
        <f t="shared" si="300"/>
        <v>8.2200000000000006</v>
      </c>
      <c r="R84" s="39">
        <f t="shared" si="300"/>
        <v>18.573</v>
      </c>
      <c r="S84" s="39">
        <f t="shared" si="300"/>
        <v>19.405999999999999</v>
      </c>
      <c r="T84" s="39">
        <f t="shared" si="291"/>
        <v>18.89</v>
      </c>
      <c r="U84" s="39">
        <f t="shared" si="291"/>
        <v>17.015000000000001</v>
      </c>
      <c r="V84" s="39">
        <f t="shared" si="292"/>
        <v>16.242999999999999</v>
      </c>
      <c r="W84" s="39">
        <f t="shared" si="292"/>
        <v>16.34</v>
      </c>
      <c r="X84" s="39">
        <f t="shared" si="293"/>
        <v>16.965</v>
      </c>
      <c r="Y84" s="39">
        <f t="shared" si="293"/>
        <v>16.856000000000002</v>
      </c>
      <c r="Z84" s="39">
        <f t="shared" ref="Z84:AA84" si="301">Z16</f>
        <v>16.224</v>
      </c>
      <c r="AA84" s="39">
        <f t="shared" si="301"/>
        <v>15.420999999999999</v>
      </c>
      <c r="AB84" s="24"/>
      <c r="AC84" s="24"/>
      <c r="AD84" s="24"/>
      <c r="AE84" s="24"/>
      <c r="AF84" s="24"/>
      <c r="AG84" s="24"/>
      <c r="AH84" s="24"/>
      <c r="AI84" s="24"/>
      <c r="AJ84" s="24"/>
      <c r="AK84" s="24"/>
      <c r="AL84" s="24"/>
      <c r="AM84" s="24"/>
      <c r="AN84" s="24"/>
      <c r="AO84" s="24"/>
      <c r="AP84" s="24"/>
      <c r="AQ84" s="24"/>
      <c r="AR84" s="24"/>
      <c r="AS84" s="24"/>
      <c r="AT84" s="24"/>
      <c r="AU84" s="24"/>
      <c r="AV84" s="24"/>
      <c r="AW84" s="24"/>
      <c r="AX84" s="24"/>
      <c r="AY84" s="24"/>
      <c r="AZ84" s="54"/>
      <c r="BA84" s="24">
        <f t="shared" si="296"/>
        <v>9.0540000000000003</v>
      </c>
      <c r="BB84" s="24">
        <f t="shared" si="296"/>
        <v>12.173</v>
      </c>
      <c r="BC84" s="24">
        <f t="shared" si="296"/>
        <v>14.497</v>
      </c>
      <c r="BD84" s="24">
        <f>+SUM(H84:K84)</f>
        <v>17.530999999999999</v>
      </c>
      <c r="BE84" s="24">
        <f>+SUM(L84:O84)</f>
        <v>20.231000000000002</v>
      </c>
      <c r="BF84" s="24">
        <f>+SUM(P84:S84)</f>
        <v>51.994</v>
      </c>
      <c r="BG84" s="24">
        <f>+SUM(T84:W84)</f>
        <v>68.488</v>
      </c>
      <c r="BH84" s="24">
        <f>+SUM(X84:AA84)</f>
        <v>65.466000000000008</v>
      </c>
      <c r="BI84" s="24"/>
      <c r="BJ84" s="24"/>
      <c r="BK84" s="24"/>
      <c r="BL84" s="24"/>
      <c r="BM84" s="24"/>
      <c r="BN84" s="24"/>
      <c r="BR84"/>
      <c r="BS84"/>
      <c r="BT84"/>
      <c r="BU84"/>
      <c r="BV84"/>
      <c r="BW84"/>
    </row>
    <row r="85" spans="1:75">
      <c r="B85" t="s">
        <v>7</v>
      </c>
      <c r="C85" s="4"/>
      <c r="D85" s="10">
        <f t="shared" ref="D85:AM85" si="302">D17</f>
        <v>0.222</v>
      </c>
      <c r="E85" s="10">
        <f t="shared" si="302"/>
        <v>0.222</v>
      </c>
      <c r="F85" s="10">
        <f t="shared" si="302"/>
        <v>7.9000000000000001E-2</v>
      </c>
      <c r="G85" s="39">
        <f t="shared" si="302"/>
        <v>0.68700000000000006</v>
      </c>
      <c r="H85" s="10">
        <f t="shared" si="302"/>
        <v>0.71600000000000008</v>
      </c>
      <c r="I85" s="10">
        <f t="shared" si="302"/>
        <v>0.376</v>
      </c>
      <c r="J85" s="10">
        <f t="shared" si="302"/>
        <v>0.42899999999999999</v>
      </c>
      <c r="K85" s="10">
        <f t="shared" si="302"/>
        <v>0.43099999999999999</v>
      </c>
      <c r="L85" s="10">
        <f t="shared" si="302"/>
        <v>0.442</v>
      </c>
      <c r="M85" s="10">
        <f t="shared" si="302"/>
        <v>0.55000000000000004</v>
      </c>
      <c r="N85" s="10">
        <f t="shared" si="302"/>
        <v>1.1240000000000001</v>
      </c>
      <c r="O85" s="10">
        <f t="shared" si="302"/>
        <v>0.59899999999999998</v>
      </c>
      <c r="P85" s="10">
        <f t="shared" si="302"/>
        <v>0.59399999999999997</v>
      </c>
      <c r="Q85" s="10">
        <f t="shared" si="302"/>
        <v>2.1219999999999999</v>
      </c>
      <c r="R85" s="10">
        <f t="shared" si="302"/>
        <v>1.415</v>
      </c>
      <c r="S85" s="10">
        <f t="shared" si="302"/>
        <v>1.867</v>
      </c>
      <c r="T85" s="10">
        <f t="shared" si="291"/>
        <v>2.0169999999999999</v>
      </c>
      <c r="U85" s="10">
        <f t="shared" si="291"/>
        <v>3.8340000000000001</v>
      </c>
      <c r="V85" s="10">
        <f t="shared" si="292"/>
        <v>1.514</v>
      </c>
      <c r="W85" s="10">
        <f t="shared" si="292"/>
        <v>1.516</v>
      </c>
      <c r="X85" s="10">
        <f t="shared" si="293"/>
        <v>1.5209999999999999</v>
      </c>
      <c r="Y85" s="10">
        <f t="shared" si="293"/>
        <v>1.4450000000000001</v>
      </c>
      <c r="Z85" s="10">
        <f t="shared" ref="Z85:AA85" si="303">Z17</f>
        <v>2.0139999999999998</v>
      </c>
      <c r="AA85" s="10">
        <f t="shared" si="303"/>
        <v>2.359</v>
      </c>
      <c r="AB85" s="4">
        <f t="shared" ca="1" si="302"/>
        <v>2.3670967300734795</v>
      </c>
      <c r="AC85" s="4">
        <f t="shared" ca="1" si="302"/>
        <v>2.3964654775853629</v>
      </c>
      <c r="AD85" s="4">
        <f t="shared" ca="1" si="302"/>
        <v>2.4213222382196138</v>
      </c>
      <c r="AE85" s="4">
        <f t="shared" ca="1" si="302"/>
        <v>2.444349999106274</v>
      </c>
      <c r="AF85" s="4">
        <f t="shared" ca="1" si="302"/>
        <v>2.1701616191325739</v>
      </c>
      <c r="AG85" s="4">
        <f t="shared" ca="1" si="302"/>
        <v>2.2239712695666642</v>
      </c>
      <c r="AH85" s="4">
        <f t="shared" ca="1" si="302"/>
        <v>2.2751651585329595</v>
      </c>
      <c r="AI85" s="4">
        <f t="shared" ca="1" si="302"/>
        <v>2.3260519972205698</v>
      </c>
      <c r="AJ85" s="4">
        <f t="shared" ca="1" si="302"/>
        <v>2.3775364217742938</v>
      </c>
      <c r="AK85" s="4">
        <f t="shared" ca="1" si="302"/>
        <v>2.4299598025742122</v>
      </c>
      <c r="AL85" s="4">
        <f t="shared" ca="1" si="302"/>
        <v>2.4834725942722531</v>
      </c>
      <c r="AM85" s="4">
        <f t="shared" ca="1" si="302"/>
        <v>2.5381149163564132</v>
      </c>
      <c r="AN85" s="4">
        <f t="shared" ref="AN85:AY85" ca="1" si="304">AN17</f>
        <v>2.593881637733614</v>
      </c>
      <c r="AO85" s="4">
        <f t="shared" ca="1" si="304"/>
        <v>2.6507478782758906</v>
      </c>
      <c r="AP85" s="4">
        <f t="shared" ca="1" si="304"/>
        <v>2.7087176778518445</v>
      </c>
      <c r="AQ85" s="4">
        <f t="shared" ca="1" si="304"/>
        <v>2.7677705976492053</v>
      </c>
      <c r="AR85" s="4">
        <f t="shared" ca="1" si="304"/>
        <v>2.8278751524108299</v>
      </c>
      <c r="AS85" s="4">
        <f t="shared" ca="1" si="304"/>
        <v>2.8889937380009556</v>
      </c>
      <c r="AT85" s="4">
        <f t="shared" ca="1" si="304"/>
        <v>2.9511263644503893</v>
      </c>
      <c r="AU85" s="4">
        <f t="shared" ca="1" si="304"/>
        <v>3.014249183470866</v>
      </c>
      <c r="AV85" s="4">
        <f t="shared" ca="1" si="304"/>
        <v>3.0783275345688903</v>
      </c>
      <c r="AW85" s="4">
        <f t="shared" ca="1" si="304"/>
        <v>3.14332071518941</v>
      </c>
      <c r="AX85" s="4">
        <f t="shared" ca="1" si="304"/>
        <v>3.2092291563257351</v>
      </c>
      <c r="AY85" s="4">
        <f t="shared" ca="1" si="304"/>
        <v>3.2760276816670149</v>
      </c>
      <c r="AZ85" s="54"/>
      <c r="BA85" s="4">
        <f t="shared" si="296"/>
        <v>5.7949999999999999</v>
      </c>
      <c r="BB85" s="4">
        <f t="shared" si="296"/>
        <v>2.0179999999999998</v>
      </c>
      <c r="BC85" s="4">
        <f t="shared" si="296"/>
        <v>1.21</v>
      </c>
      <c r="BD85" s="4">
        <f>+SUM(H85:K85)</f>
        <v>1.9520000000000002</v>
      </c>
      <c r="BE85" s="4">
        <f>+SUM(L85:O85)</f>
        <v>2.7149999999999999</v>
      </c>
      <c r="BF85" s="4">
        <f>+SUM(P85:S85)</f>
        <v>5.9980000000000002</v>
      </c>
      <c r="BG85" s="4">
        <f>+SUM(T85:W85)</f>
        <v>8.8810000000000002</v>
      </c>
      <c r="BH85" s="4">
        <f>+SUM(X85:AA85)</f>
        <v>7.3390000000000004</v>
      </c>
      <c r="BI85" s="4">
        <f ca="1">+SUM(AB85:AE85)</f>
        <v>9.6292344449847302</v>
      </c>
      <c r="BJ85" s="4">
        <f ca="1">+SUM(AF85:AI85)</f>
        <v>8.995350044452767</v>
      </c>
      <c r="BK85" s="4">
        <f ca="1">+SUM(AJ85:AM85)</f>
        <v>9.8290837349771731</v>
      </c>
      <c r="BL85" s="4">
        <f ca="1">+SUM(AN85:AQ85)</f>
        <v>10.721117791510554</v>
      </c>
      <c r="BM85" s="4">
        <f ca="1">+SUM(AR85:AU85)</f>
        <v>11.68224443833304</v>
      </c>
      <c r="BN85" s="4">
        <f ca="1">+SUM(AV85:AY85)</f>
        <v>12.706905087751052</v>
      </c>
      <c r="BO85" s="24"/>
    </row>
    <row r="86" spans="1:75">
      <c r="B86" t="s">
        <v>8</v>
      </c>
      <c r="C86" s="4"/>
      <c r="D86" s="4">
        <f t="shared" ref="D86:L86" si="305">SUM(D82:D85)</f>
        <v>34.643000000000001</v>
      </c>
      <c r="E86" s="4">
        <f t="shared" si="305"/>
        <v>36.689000000000007</v>
      </c>
      <c r="F86" s="4">
        <f t="shared" si="305"/>
        <v>36.253999999999998</v>
      </c>
      <c r="G86" s="24">
        <f t="shared" si="305"/>
        <v>38.172999999999995</v>
      </c>
      <c r="H86" s="4">
        <f t="shared" si="305"/>
        <v>41.497999999999998</v>
      </c>
      <c r="I86" s="4">
        <f t="shared" si="305"/>
        <v>42.940000000000005</v>
      </c>
      <c r="J86" s="4">
        <f t="shared" si="305"/>
        <v>46.02</v>
      </c>
      <c r="K86" s="4">
        <f t="shared" si="305"/>
        <v>47.429000000000002</v>
      </c>
      <c r="L86" s="4">
        <f t="shared" si="305"/>
        <v>48.943000000000005</v>
      </c>
      <c r="M86" s="4">
        <f>SUM(M82:M85)</f>
        <v>51.337999999999994</v>
      </c>
      <c r="N86" s="4">
        <f>SUM(N82:N85)</f>
        <v>57.945</v>
      </c>
      <c r="O86" s="4">
        <f>SUM(O82:O85)</f>
        <v>59.562999999999995</v>
      </c>
      <c r="P86" s="4">
        <f t="shared" ref="P86:U86" si="306">SUM(P82:P85)</f>
        <v>61.386000000000003</v>
      </c>
      <c r="Q86" s="4">
        <f t="shared" si="306"/>
        <v>68.117000000000004</v>
      </c>
      <c r="R86" s="4">
        <f t="shared" si="306"/>
        <v>88.89</v>
      </c>
      <c r="S86" s="4">
        <f t="shared" si="306"/>
        <v>92.690000000000012</v>
      </c>
      <c r="T86" s="4">
        <f t="shared" si="306"/>
        <v>94.768000000000001</v>
      </c>
      <c r="U86" s="4">
        <f t="shared" si="306"/>
        <v>98.687000000000012</v>
      </c>
      <c r="V86" s="4">
        <f t="shared" ref="V86:AA86" si="307">SUM(V82:V85)</f>
        <v>103.46499999999999</v>
      </c>
      <c r="W86" s="4">
        <f t="shared" si="307"/>
        <v>105.44300000000001</v>
      </c>
      <c r="X86" s="4">
        <f t="shared" si="307"/>
        <v>105.96400000000001</v>
      </c>
      <c r="Y86" s="4">
        <f t="shared" si="307"/>
        <v>107.86799999999999</v>
      </c>
      <c r="Z86" s="4">
        <f t="shared" si="307"/>
        <v>113.767</v>
      </c>
      <c r="AA86" s="4">
        <f t="shared" si="307"/>
        <v>118.91099999999999</v>
      </c>
      <c r="AB86" s="4">
        <f t="shared" ref="AB86:AM86" ca="1" si="308">SUM(AB82:AB85)</f>
        <v>101.03082397026117</v>
      </c>
      <c r="AC86" s="4">
        <f t="shared" ca="1" si="308"/>
        <v>102.69974050992093</v>
      </c>
      <c r="AD86" s="4">
        <f t="shared" ca="1" si="308"/>
        <v>104.57799878293625</v>
      </c>
      <c r="AE86" s="4">
        <f t="shared" ca="1" si="308"/>
        <v>105.81608795542631</v>
      </c>
      <c r="AF86" s="4">
        <f t="shared" ca="1" si="308"/>
        <v>106.75717524090763</v>
      </c>
      <c r="AG86" s="4">
        <f t="shared" ca="1" si="308"/>
        <v>109.87913801200378</v>
      </c>
      <c r="AH86" s="4">
        <f t="shared" ca="1" si="308"/>
        <v>112.89075393853791</v>
      </c>
      <c r="AI86" s="4">
        <f t="shared" ca="1" si="308"/>
        <v>115.2828980377338</v>
      </c>
      <c r="AJ86" s="4">
        <f t="shared" ca="1" si="308"/>
        <v>116.75780554419444</v>
      </c>
      <c r="AK86" s="4">
        <f t="shared" ca="1" si="308"/>
        <v>119.81914768939487</v>
      </c>
      <c r="AL86" s="4">
        <f t="shared" ca="1" si="308"/>
        <v>122.96105487202013</v>
      </c>
      <c r="AM86" s="4">
        <f t="shared" ca="1" si="308"/>
        <v>125.52052262106906</v>
      </c>
      <c r="AN86" s="4">
        <f t="shared" ref="AN86:AY86" ca="1" si="309">SUM(AN82:AN85)</f>
        <v>127.12886289074881</v>
      </c>
      <c r="AO86" s="4">
        <f t="shared" ca="1" si="309"/>
        <v>130.43625820360708</v>
      </c>
      <c r="AP86" s="4">
        <f t="shared" ca="1" si="309"/>
        <v>133.83227075812306</v>
      </c>
      <c r="AQ86" s="4">
        <f t="shared" ca="1" si="309"/>
        <v>136.59328960194904</v>
      </c>
      <c r="AR86" s="4">
        <f t="shared" ca="1" si="309"/>
        <v>138.31399716401705</v>
      </c>
      <c r="AS86" s="4">
        <f t="shared" ca="1" si="309"/>
        <v>141.8661286970422</v>
      </c>
      <c r="AT86" s="4">
        <f t="shared" ca="1" si="309"/>
        <v>145.50663180261239</v>
      </c>
      <c r="AU86" s="4">
        <f t="shared" ca="1" si="309"/>
        <v>148.44960443005235</v>
      </c>
      <c r="AV86" s="4">
        <f t="shared" ca="1" si="309"/>
        <v>150.2553606687373</v>
      </c>
      <c r="AW86" s="4">
        <f t="shared" ca="1" si="309"/>
        <v>154.03712955099797</v>
      </c>
      <c r="AX86" s="4">
        <f t="shared" ca="1" si="309"/>
        <v>157.90533310341814</v>
      </c>
      <c r="AY86" s="4">
        <f t="shared" ca="1" si="309"/>
        <v>161.00890219837774</v>
      </c>
      <c r="AZ86" s="54"/>
      <c r="BA86" s="4">
        <f t="shared" ref="BA86:BG86" si="310">SUM(BA82:BA85)</f>
        <v>120.155</v>
      </c>
      <c r="BB86" s="4">
        <f t="shared" si="310"/>
        <v>130.39599999999999</v>
      </c>
      <c r="BC86" s="4">
        <f t="shared" si="310"/>
        <v>145.75899999999999</v>
      </c>
      <c r="BD86" s="4">
        <f t="shared" si="310"/>
        <v>177.887</v>
      </c>
      <c r="BE86" s="4">
        <f t="shared" si="310"/>
        <v>217.78899999999999</v>
      </c>
      <c r="BF86" s="4">
        <f t="shared" si="310"/>
        <v>311.08299999999997</v>
      </c>
      <c r="BG86" s="4">
        <f t="shared" si="310"/>
        <v>402.36300000000006</v>
      </c>
      <c r="BH86" s="4">
        <f>SUM(BH82:BH85)</f>
        <v>446.51000000000005</v>
      </c>
      <c r="BI86" s="394">
        <f ca="1">SUM(BI82:BI85)</f>
        <v>414.12465121854461</v>
      </c>
      <c r="BJ86" s="4">
        <f ca="1">SUM(BJ82:BJ85)</f>
        <v>444.80996522918315</v>
      </c>
      <c r="BK86" s="4">
        <f ca="1">SUM(BK82:BK85)</f>
        <v>485.05853072667844</v>
      </c>
      <c r="BL86" s="4">
        <f t="shared" ref="BL86:BN86" ca="1" si="311">SUM(BL82:BL85)</f>
        <v>527.99068145442789</v>
      </c>
      <c r="BM86" s="4">
        <f t="shared" ca="1" si="311"/>
        <v>574.13636209372396</v>
      </c>
      <c r="BN86" s="4">
        <f t="shared" ca="1" si="311"/>
        <v>623.2067255215311</v>
      </c>
      <c r="BO86" s="24"/>
    </row>
    <row r="87" spans="1:75" s="58" customFormat="1">
      <c r="B87" s="309" t="s">
        <v>104</v>
      </c>
      <c r="C87" s="10"/>
      <c r="D87" s="310"/>
      <c r="E87" s="310">
        <f>+E86/D86-1</f>
        <v>5.9059550269896066E-2</v>
      </c>
      <c r="F87" s="310">
        <f>+F86/E86-1</f>
        <v>-1.1856414729210618E-2</v>
      </c>
      <c r="G87" s="306">
        <f>+G86/F86-1</f>
        <v>5.2932090252109987E-2</v>
      </c>
      <c r="H87" s="306">
        <f>+H86/G86-1</f>
        <v>8.7103450082519185E-2</v>
      </c>
      <c r="I87" s="310">
        <f t="shared" ref="I87:AA87" si="312">+I86/H86-1</f>
        <v>3.4748662586148837E-2</v>
      </c>
      <c r="J87" s="310">
        <f t="shared" si="312"/>
        <v>7.1727992547740982E-2</v>
      </c>
      <c r="K87" s="310">
        <f t="shared" si="312"/>
        <v>3.0617122990004297E-2</v>
      </c>
      <c r="L87" s="310">
        <f t="shared" si="312"/>
        <v>3.1921398300617909E-2</v>
      </c>
      <c r="M87" s="310">
        <f t="shared" si="312"/>
        <v>4.8934474797212912E-2</v>
      </c>
      <c r="N87" s="310">
        <f t="shared" si="312"/>
        <v>0.12869609256301384</v>
      </c>
      <c r="O87" s="310">
        <f t="shared" si="312"/>
        <v>2.792303045991873E-2</v>
      </c>
      <c r="P87" s="310">
        <f t="shared" si="312"/>
        <v>3.0606248845760131E-2</v>
      </c>
      <c r="Q87" s="310">
        <f t="shared" si="312"/>
        <v>0.10965040888802013</v>
      </c>
      <c r="R87" s="310">
        <f t="shared" si="312"/>
        <v>0.30496058252712244</v>
      </c>
      <c r="S87" s="310">
        <f t="shared" si="312"/>
        <v>4.2749465631679806E-2</v>
      </c>
      <c r="T87" s="310">
        <f t="shared" si="312"/>
        <v>2.2418815406192616E-2</v>
      </c>
      <c r="U87" s="310">
        <f t="shared" si="312"/>
        <v>4.1353621475603619E-2</v>
      </c>
      <c r="V87" s="310">
        <f t="shared" si="312"/>
        <v>4.8415698116266448E-2</v>
      </c>
      <c r="W87" s="310">
        <f t="shared" si="312"/>
        <v>1.9117575991881575E-2</v>
      </c>
      <c r="X87" s="310">
        <f t="shared" si="312"/>
        <v>4.9410582020616989E-3</v>
      </c>
      <c r="Y87" s="310">
        <f t="shared" si="312"/>
        <v>1.7968366615076725E-2</v>
      </c>
      <c r="Z87" s="310">
        <f t="shared" si="312"/>
        <v>5.4687210294063204E-2</v>
      </c>
      <c r="AA87" s="310">
        <f t="shared" si="312"/>
        <v>4.5215220582418336E-2</v>
      </c>
      <c r="AB87" s="310">
        <f t="shared" ref="AB87:AM87" ca="1" si="313">+AB86/AA86-1</f>
        <v>-0.15036603871583643</v>
      </c>
      <c r="AC87" s="310">
        <f t="shared" ca="1" si="313"/>
        <v>1.6518884772740439E-2</v>
      </c>
      <c r="AD87" s="310">
        <f t="shared" ca="1" si="313"/>
        <v>1.828883173111695E-2</v>
      </c>
      <c r="AE87" s="310">
        <f t="shared" ca="1" si="313"/>
        <v>1.1838906719374709E-2</v>
      </c>
      <c r="AF87" s="310">
        <f t="shared" ca="1" si="313"/>
        <v>8.8936125277825351E-3</v>
      </c>
      <c r="AG87" s="310">
        <f t="shared" ca="1" si="313"/>
        <v>2.9243587272247851E-2</v>
      </c>
      <c r="AH87" s="310">
        <f t="shared" ca="1" si="313"/>
        <v>2.7408441502381642E-2</v>
      </c>
      <c r="AI87" s="310">
        <f t="shared" ca="1" si="313"/>
        <v>2.1189902766512336E-2</v>
      </c>
      <c r="AJ87" s="310">
        <f t="shared" ca="1" si="313"/>
        <v>1.2793810110306891E-2</v>
      </c>
      <c r="AK87" s="310">
        <f t="shared" ca="1" si="313"/>
        <v>2.6219593036473032E-2</v>
      </c>
      <c r="AL87" s="310">
        <f t="shared" ca="1" si="313"/>
        <v>2.6222079218673588E-2</v>
      </c>
      <c r="AM87" s="310">
        <f t="shared" ca="1" si="313"/>
        <v>2.0815271564747606E-2</v>
      </c>
      <c r="AN87" s="310">
        <f t="shared" ref="AN87" ca="1" si="314">+AN86/AM86-1</f>
        <v>1.2813364986816733E-2</v>
      </c>
      <c r="AO87" s="310">
        <f t="shared" ref="AO87" ca="1" si="315">+AO86/AN86-1</f>
        <v>2.6016085078182094E-2</v>
      </c>
      <c r="AP87" s="310">
        <f t="shared" ref="AP87" ca="1" si="316">+AP86/AO86-1</f>
        <v>2.6035801711015827E-2</v>
      </c>
      <c r="AQ87" s="310">
        <f t="shared" ref="AQ87" ca="1" si="317">+AQ86/AP86-1</f>
        <v>2.0630441583226355E-2</v>
      </c>
      <c r="AR87" s="310">
        <f t="shared" ref="AR87" ca="1" si="318">+AR86/AQ86-1</f>
        <v>1.2597306698465038E-2</v>
      </c>
      <c r="AS87" s="310">
        <f t="shared" ref="AS87" ca="1" si="319">+AS86/AR86-1</f>
        <v>2.5681649043899135E-2</v>
      </c>
      <c r="AT87" s="310">
        <f t="shared" ref="AT87" ca="1" si="320">+AT86/AS86-1</f>
        <v>2.5661538374283532E-2</v>
      </c>
      <c r="AU87" s="310">
        <f t="shared" ref="AU87" ca="1" si="321">+AU86/AT86-1</f>
        <v>2.0225694121160487E-2</v>
      </c>
      <c r="AV87" s="310">
        <f t="shared" ref="AV87" ca="1" si="322">+AV86/AU86-1</f>
        <v>1.2164102731144766E-2</v>
      </c>
      <c r="AW87" s="310">
        <f t="shared" ref="AW87" ca="1" si="323">+AW86/AV86-1</f>
        <v>2.5168944824525807E-2</v>
      </c>
      <c r="AX87" s="310">
        <f t="shared" ref="AX87" ca="1" si="324">+AX86/AW86-1</f>
        <v>2.5112150321780158E-2</v>
      </c>
      <c r="AY87" s="310">
        <f t="shared" ref="AY87" ca="1" si="325">+AY86/AX86-1</f>
        <v>1.9654618586738559E-2</v>
      </c>
      <c r="AZ87" s="311"/>
      <c r="BA87" s="310"/>
      <c r="BB87" s="310"/>
      <c r="BC87" s="310">
        <f t="shared" ref="BC87:BK87" si="326">+BC86/BB86-1</f>
        <v>0.11781803122795176</v>
      </c>
      <c r="BD87" s="310">
        <f t="shared" si="326"/>
        <v>0.22041863624201596</v>
      </c>
      <c r="BE87" s="310">
        <f t="shared" si="326"/>
        <v>0.22431093896687226</v>
      </c>
      <c r="BF87" s="310">
        <f t="shared" si="326"/>
        <v>0.42836874222297716</v>
      </c>
      <c r="BG87" s="310">
        <f t="shared" si="326"/>
        <v>0.29342651318136981</v>
      </c>
      <c r="BH87" s="310">
        <f t="shared" si="326"/>
        <v>0.10971933304006587</v>
      </c>
      <c r="BI87" s="310">
        <f t="shared" ca="1" si="326"/>
        <v>-7.2529951807250526E-2</v>
      </c>
      <c r="BJ87" s="310">
        <f t="shared" ca="1" si="326"/>
        <v>7.4096806167776474E-2</v>
      </c>
      <c r="BK87" s="310">
        <f t="shared" ca="1" si="326"/>
        <v>9.0484855654611174E-2</v>
      </c>
      <c r="BL87" s="310">
        <f t="shared" ref="BL87" ca="1" si="327">+BL86/BK86-1</f>
        <v>8.8509216946317082E-2</v>
      </c>
      <c r="BM87" s="310">
        <f t="shared" ref="BM87" ca="1" si="328">+BM86/BL86-1</f>
        <v>8.7398664901018774E-2</v>
      </c>
      <c r="BN87" s="310">
        <f t="shared" ref="BN87" ca="1" si="329">+BN86/BM86-1</f>
        <v>8.5468133822530268E-2</v>
      </c>
      <c r="BO87" s="306"/>
      <c r="BQ87" s="312"/>
      <c r="BR87"/>
      <c r="BS87"/>
      <c r="BT87"/>
      <c r="BU87"/>
      <c r="BV87"/>
      <c r="BW87"/>
    </row>
    <row r="88" spans="1:75">
      <c r="C88" s="4"/>
      <c r="D88" s="4"/>
      <c r="E88" s="4"/>
      <c r="F88" s="4"/>
      <c r="G88" s="2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54"/>
      <c r="BA88" s="4"/>
      <c r="BB88" s="4"/>
      <c r="BC88" s="4"/>
      <c r="BD88" s="4"/>
      <c r="BE88" s="4"/>
      <c r="BF88" s="4"/>
      <c r="BG88" s="4"/>
      <c r="BH88" s="4"/>
      <c r="BI88" s="4"/>
      <c r="BJ88" s="4"/>
      <c r="BK88" s="4"/>
      <c r="BL88" s="4"/>
      <c r="BM88" s="4"/>
      <c r="BN88" s="4"/>
      <c r="BO88" s="24"/>
    </row>
    <row r="89" spans="1:75">
      <c r="B89" t="s">
        <v>9</v>
      </c>
      <c r="C89" s="4"/>
      <c r="D89" s="4"/>
      <c r="E89" s="4"/>
      <c r="F89" s="4"/>
      <c r="G89" s="2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54"/>
      <c r="BA89" s="4"/>
      <c r="BB89" s="4"/>
      <c r="BC89" s="4"/>
      <c r="BD89" s="4"/>
      <c r="BE89" s="4"/>
      <c r="BF89" s="4"/>
      <c r="BG89" s="4"/>
      <c r="BH89" s="4"/>
      <c r="BI89" s="4"/>
      <c r="BJ89" s="4"/>
      <c r="BK89" s="4"/>
      <c r="BL89" s="4"/>
      <c r="BM89" s="4"/>
      <c r="BN89" s="4"/>
      <c r="BO89" s="24"/>
    </row>
    <row r="90" spans="1:75">
      <c r="B90" s="13" t="s">
        <v>193</v>
      </c>
      <c r="C90" s="4"/>
      <c r="D90" s="7">
        <f>5.752-E90</f>
        <v>2.9139999999999997</v>
      </c>
      <c r="E90" s="7">
        <v>2.8380000000000001</v>
      </c>
      <c r="F90" s="7">
        <v>3.0049999999999999</v>
      </c>
      <c r="G90" s="28">
        <f>11.737-D90-E90-F90</f>
        <v>2.9800000000000004</v>
      </c>
      <c r="H90" s="7">
        <f>5.771-I90</f>
        <v>3.0139999999999998</v>
      </c>
      <c r="I90" s="7">
        <v>2.7570000000000001</v>
      </c>
      <c r="J90" s="7">
        <v>2.6429999999999998</v>
      </c>
      <c r="K90" s="28">
        <f>11.157-SUM(H90:J90)</f>
        <v>2.7430000000000003</v>
      </c>
      <c r="L90" s="28">
        <v>2.9409999999999998</v>
      </c>
      <c r="M90" s="28">
        <v>2.85</v>
      </c>
      <c r="N90" s="28">
        <v>2.8260000000000001</v>
      </c>
      <c r="O90" s="28">
        <f>11.839-SUM(L90:N90)</f>
        <v>3.2219999999999995</v>
      </c>
      <c r="P90" s="28">
        <v>3.6019999999999999</v>
      </c>
      <c r="Q90" s="28">
        <v>3.9220000000000002</v>
      </c>
      <c r="R90" s="28">
        <v>4.6890000000000001</v>
      </c>
      <c r="S90" s="28">
        <f>17.309-SUM(P90:R90)</f>
        <v>5.0960000000000001</v>
      </c>
      <c r="T90" s="28">
        <v>4.9610000000000003</v>
      </c>
      <c r="U90" s="28">
        <v>4.9640000000000004</v>
      </c>
      <c r="V90" s="28">
        <v>5.3949999999999996</v>
      </c>
      <c r="W90" s="28">
        <f>21.118-SUM(T90:V90)</f>
        <v>5.7979999999999983</v>
      </c>
      <c r="X90" s="28">
        <v>5.7439999999999998</v>
      </c>
      <c r="Y90" s="28">
        <v>5.7969999999999997</v>
      </c>
      <c r="Z90" s="28">
        <v>5.6829999999999998</v>
      </c>
      <c r="AA90" s="28">
        <f>23.107-SUM(X90:Z90)</f>
        <v>5.8829999999999991</v>
      </c>
      <c r="AB90" s="4">
        <f ca="1">+AB135*AB86</f>
        <v>4.041232958810447</v>
      </c>
      <c r="AC90" s="4">
        <f t="shared" ref="AC90:AM90" ca="1" si="330">+AC135*AC86</f>
        <v>3.3377415665724302</v>
      </c>
      <c r="AD90" s="4">
        <f t="shared" ca="1" si="330"/>
        <v>3.367411560810547</v>
      </c>
      <c r="AE90" s="4">
        <f t="shared" ca="1" si="330"/>
        <v>3.3755332057780989</v>
      </c>
      <c r="AF90" s="4">
        <f t="shared" ca="1" si="330"/>
        <v>3.3735267376126807</v>
      </c>
      <c r="AG90" s="4">
        <f t="shared" ca="1" si="330"/>
        <v>3.4392170197757177</v>
      </c>
      <c r="AH90" s="4">
        <f t="shared" ca="1" si="330"/>
        <v>3.4996133720946743</v>
      </c>
      <c r="AI90" s="4">
        <f t="shared" ca="1" si="330"/>
        <v>3.5391849697584266</v>
      </c>
      <c r="AJ90" s="4">
        <f t="shared" ca="1" si="330"/>
        <v>3.5494372885435097</v>
      </c>
      <c r="AK90" s="4">
        <f t="shared" ca="1" si="330"/>
        <v>3.6065563454507839</v>
      </c>
      <c r="AL90" s="4">
        <f t="shared" ca="1" si="330"/>
        <v>3.664239435186198</v>
      </c>
      <c r="AM90" s="4">
        <f t="shared" ca="1" si="330"/>
        <v>3.7028554173215356</v>
      </c>
      <c r="AN90" s="4">
        <f t="shared" ref="AN90:AY90" ca="1" si="331">+AN135*AN86</f>
        <v>3.7121627964098631</v>
      </c>
      <c r="AO90" s="4">
        <f t="shared" ca="1" si="331"/>
        <v>3.7696078620842424</v>
      </c>
      <c r="AP90" s="4">
        <f t="shared" ca="1" si="331"/>
        <v>3.8276029436823169</v>
      </c>
      <c r="AQ90" s="4">
        <f t="shared" ca="1" si="331"/>
        <v>3.865590095735155</v>
      </c>
      <c r="AR90" s="4">
        <f t="shared" ca="1" si="331"/>
        <v>3.8727919205924741</v>
      </c>
      <c r="AS90" s="4">
        <f t="shared" ca="1" si="331"/>
        <v>3.9296917649080654</v>
      </c>
      <c r="AT90" s="4">
        <f t="shared" ca="1" si="331"/>
        <v>3.9868817113915753</v>
      </c>
      <c r="AU90" s="4">
        <f t="shared" ca="1" si="331"/>
        <v>4.0229842800544144</v>
      </c>
      <c r="AV90" s="4">
        <f t="shared" ca="1" si="331"/>
        <v>4.0268436659221551</v>
      </c>
      <c r="AW90" s="4">
        <f t="shared" ca="1" si="331"/>
        <v>4.0819839331014416</v>
      </c>
      <c r="AX90" s="4">
        <f t="shared" ca="1" si="331"/>
        <v>4.1371197273095497</v>
      </c>
      <c r="AY90" s="4">
        <f t="shared" ca="1" si="331"/>
        <v>4.1701305669379778</v>
      </c>
      <c r="AZ90" s="54"/>
      <c r="BA90" s="7">
        <v>9.92</v>
      </c>
      <c r="BB90" s="28">
        <v>11.279</v>
      </c>
      <c r="BC90" s="10">
        <f>+SUM(D90:G90)</f>
        <v>11.737</v>
      </c>
      <c r="BD90" s="4">
        <f t="shared" ref="BD90:BD99" si="332">+SUM(H90:K90)</f>
        <v>11.157</v>
      </c>
      <c r="BE90" s="4">
        <f t="shared" ref="BE90:BE99" si="333">+SUM(L90:O90)</f>
        <v>11.839</v>
      </c>
      <c r="BF90" s="4">
        <f t="shared" ref="BF90:BF99" si="334">+SUM(P90:S90)</f>
        <v>17.309000000000001</v>
      </c>
      <c r="BG90" s="4">
        <f t="shared" ref="BG90:BG99" si="335">+SUM(T90:W90)</f>
        <v>21.117999999999999</v>
      </c>
      <c r="BH90" s="4">
        <f t="shared" ref="BH90:BH99" si="336">+SUM(X90:AA90)</f>
        <v>23.106999999999999</v>
      </c>
      <c r="BI90" s="4">
        <f t="shared" ref="BI90:BI99" ca="1" si="337">+SUM(AB90:AE90)</f>
        <v>14.121919291971524</v>
      </c>
      <c r="BJ90" s="4">
        <f t="shared" ref="BJ90:BJ99" ca="1" si="338">+SUM(AF90:AI90)</f>
        <v>13.851542099241499</v>
      </c>
      <c r="BK90" s="4">
        <f t="shared" ref="BK90:BK99" ca="1" si="339">+SUM(AJ90:AM90)</f>
        <v>14.523088486502028</v>
      </c>
      <c r="BL90" s="4">
        <f t="shared" ref="BL90:BL99" ca="1" si="340">+SUM(AN90:AQ90)</f>
        <v>15.174963697911576</v>
      </c>
      <c r="BM90" s="4">
        <f t="shared" ref="BM90:BM99" ca="1" si="341">+SUM(AR90:AU90)</f>
        <v>15.81234967694653</v>
      </c>
      <c r="BN90" s="4">
        <f t="shared" ref="BN90:BN99" ca="1" si="342">+SUM(AV90:AY90)</f>
        <v>16.416077893271122</v>
      </c>
      <c r="BO90" s="24"/>
    </row>
    <row r="91" spans="1:75">
      <c r="B91" s="13" t="s">
        <v>194</v>
      </c>
      <c r="C91" s="4"/>
      <c r="D91" s="7">
        <f>2.969-E91</f>
        <v>1.4809999999999999</v>
      </c>
      <c r="E91" s="7">
        <v>1.488</v>
      </c>
      <c r="F91" s="7">
        <v>1.488</v>
      </c>
      <c r="G91" s="28">
        <f>5.561-D91-E91-F91</f>
        <v>1.1040000000000001</v>
      </c>
      <c r="H91" s="7">
        <f>2.213-I91</f>
        <v>1.105</v>
      </c>
      <c r="I91" s="7">
        <v>1.1080000000000001</v>
      </c>
      <c r="J91" s="7">
        <v>1.1120000000000001</v>
      </c>
      <c r="K91" s="28">
        <f>4.437-SUM(H91:J91)</f>
        <v>1.1120000000000001</v>
      </c>
      <c r="L91" s="28">
        <v>1.2190000000000001</v>
      </c>
      <c r="M91" s="28">
        <v>1.2250000000000001</v>
      </c>
      <c r="N91" s="28">
        <v>1.226</v>
      </c>
      <c r="O91" s="28">
        <f>4.896-SUM(L91:N91)</f>
        <v>1.226</v>
      </c>
      <c r="P91" s="28">
        <v>1.228</v>
      </c>
      <c r="Q91" s="28">
        <v>1.823</v>
      </c>
      <c r="R91" s="28">
        <v>4.9320000000000004</v>
      </c>
      <c r="S91" s="28">
        <f>12.912-SUM(P91:R91)</f>
        <v>4.9290000000000003</v>
      </c>
      <c r="T91" s="28">
        <v>4.7969999999999997</v>
      </c>
      <c r="U91" s="28">
        <v>4.7789999999999999</v>
      </c>
      <c r="V91" s="28">
        <v>4.1050000000000004</v>
      </c>
      <c r="W91" s="28">
        <f>17.705-SUM(T91:V91)</f>
        <v>4.0239999999999974</v>
      </c>
      <c r="X91" s="28">
        <v>3.9569999999999999</v>
      </c>
      <c r="Y91" s="28">
        <v>3.9159999999999999</v>
      </c>
      <c r="Z91" s="28">
        <v>3.8</v>
      </c>
      <c r="AA91" s="28">
        <f>15.452-SUM(X91:Z91)</f>
        <v>3.7790000000000017</v>
      </c>
      <c r="AB91" s="4">
        <f t="shared" ref="AB91:AM91" ca="1" si="343">+AB136*AB86</f>
        <v>3.1602513277077255</v>
      </c>
      <c r="AC91" s="4">
        <f t="shared" ca="1" si="343"/>
        <v>3.1611052849880688</v>
      </c>
      <c r="AD91" s="4">
        <f t="shared" ca="1" si="343"/>
        <v>3.1666292082380916</v>
      </c>
      <c r="AE91" s="4">
        <f t="shared" ca="1" si="343"/>
        <v>3.1512105920715565</v>
      </c>
      <c r="AF91" s="4">
        <f t="shared" ca="1" si="343"/>
        <v>3.1792362380708852</v>
      </c>
      <c r="AG91" s="4">
        <f t="shared" ca="1" si="343"/>
        <v>3.2722085104580043</v>
      </c>
      <c r="AH91" s="4">
        <f t="shared" ca="1" si="343"/>
        <v>3.3618946460004882</v>
      </c>
      <c r="AI91" s="4">
        <f t="shared" ca="1" si="343"/>
        <v>3.4331328666604972</v>
      </c>
      <c r="AJ91" s="4">
        <f t="shared" ca="1" si="343"/>
        <v>3.4770557166400051</v>
      </c>
      <c r="AK91" s="4">
        <f t="shared" ca="1" si="343"/>
        <v>3.568222702495448</v>
      </c>
      <c r="AL91" s="4">
        <f t="shared" ca="1" si="343"/>
        <v>3.6617889208701531</v>
      </c>
      <c r="AM91" s="4">
        <f t="shared" ca="1" si="343"/>
        <v>3.7380100516708494</v>
      </c>
      <c r="AN91" s="4">
        <f t="shared" ref="AN91:AY91" ca="1" si="344">+AN136*AN86</f>
        <v>3.7859065387872977</v>
      </c>
      <c r="AO91" s="4">
        <f t="shared" ca="1" si="344"/>
        <v>3.8844010053984341</v>
      </c>
      <c r="AP91" s="4">
        <f t="shared" ca="1" si="344"/>
        <v>3.9855344997410582</v>
      </c>
      <c r="AQ91" s="4">
        <f t="shared" ca="1" si="344"/>
        <v>4.0677578364158995</v>
      </c>
      <c r="AR91" s="4">
        <f t="shared" ca="1" si="344"/>
        <v>4.1190006294563153</v>
      </c>
      <c r="AS91" s="4">
        <f t="shared" ca="1" si="344"/>
        <v>4.224783358033612</v>
      </c>
      <c r="AT91" s="4">
        <f t="shared" ca="1" si="344"/>
        <v>4.3331977982988255</v>
      </c>
      <c r="AU91" s="4">
        <f t="shared" ca="1" si="344"/>
        <v>4.4208397315337038</v>
      </c>
      <c r="AV91" s="4">
        <f t="shared" ca="1" si="344"/>
        <v>4.474615280186006</v>
      </c>
      <c r="AW91" s="4">
        <f t="shared" ca="1" si="344"/>
        <v>4.587236625283988</v>
      </c>
      <c r="AX91" s="4">
        <f t="shared" ca="1" si="344"/>
        <v>4.7024320009796945</v>
      </c>
      <c r="AY91" s="4">
        <f t="shared" ca="1" si="344"/>
        <v>4.7948565083890244</v>
      </c>
      <c r="AZ91" s="54"/>
      <c r="BA91" s="7">
        <v>9.5530000000000008</v>
      </c>
      <c r="BB91" s="28">
        <v>6.2089999999999996</v>
      </c>
      <c r="BC91" s="10">
        <f t="shared" ref="BC91:BC97" si="345">+SUM(D91:G91)</f>
        <v>5.5609999999999999</v>
      </c>
      <c r="BD91" s="4">
        <f t="shared" si="332"/>
        <v>4.4370000000000003</v>
      </c>
      <c r="BE91" s="4">
        <f t="shared" si="333"/>
        <v>4.8959999999999999</v>
      </c>
      <c r="BF91" s="4">
        <f t="shared" si="334"/>
        <v>12.912000000000001</v>
      </c>
      <c r="BG91" s="4">
        <f t="shared" si="335"/>
        <v>17.704999999999998</v>
      </c>
      <c r="BH91" s="4">
        <f t="shared" si="336"/>
        <v>15.452</v>
      </c>
      <c r="BI91" s="4">
        <f t="shared" ca="1" si="337"/>
        <v>12.639196413005443</v>
      </c>
      <c r="BJ91" s="4">
        <f t="shared" ca="1" si="338"/>
        <v>13.246472261189874</v>
      </c>
      <c r="BK91" s="4">
        <f t="shared" ca="1" si="339"/>
        <v>14.445077391676456</v>
      </c>
      <c r="BL91" s="4">
        <f t="shared" ca="1" si="340"/>
        <v>15.72359988034269</v>
      </c>
      <c r="BM91" s="4">
        <f t="shared" ca="1" si="341"/>
        <v>17.097821517322458</v>
      </c>
      <c r="BN91" s="4">
        <f t="shared" ca="1" si="342"/>
        <v>18.559140414838712</v>
      </c>
      <c r="BO91" s="24"/>
    </row>
    <row r="92" spans="1:75">
      <c r="B92" s="13" t="s">
        <v>14</v>
      </c>
      <c r="C92" s="4"/>
      <c r="D92" s="7">
        <f>1.416-E92</f>
        <v>0.65899999999999992</v>
      </c>
      <c r="E92" s="7">
        <v>0.75700000000000001</v>
      </c>
      <c r="F92" s="7">
        <v>0.76600000000000001</v>
      </c>
      <c r="G92" s="28">
        <f>2.826-D92-E92-F92</f>
        <v>0.64400000000000013</v>
      </c>
      <c r="H92" s="7">
        <f>2.143-I92</f>
        <v>1.1779999999999999</v>
      </c>
      <c r="I92" s="7">
        <v>0.96499999999999997</v>
      </c>
      <c r="J92" s="7">
        <v>0.90700000000000003</v>
      </c>
      <c r="K92" s="28">
        <f>4.211-SUM(H92:J92)</f>
        <v>1.1610000000000005</v>
      </c>
      <c r="L92" s="28">
        <v>1.1519999999999999</v>
      </c>
      <c r="M92" s="28">
        <v>1.179</v>
      </c>
      <c r="N92" s="28">
        <v>1.897</v>
      </c>
      <c r="O92" s="28">
        <f>5.63-SUM(L92:N92)</f>
        <v>1.4020000000000001</v>
      </c>
      <c r="P92" s="28">
        <v>2.1429999999999998</v>
      </c>
      <c r="Q92" s="28">
        <v>1.996</v>
      </c>
      <c r="R92" s="28">
        <v>2.4420000000000002</v>
      </c>
      <c r="S92" s="28">
        <f>9.695-SUM(P92:R92)</f>
        <v>3.1140000000000008</v>
      </c>
      <c r="T92" s="28">
        <v>3.2530000000000001</v>
      </c>
      <c r="U92" s="28">
        <v>3.1019999999999999</v>
      </c>
      <c r="V92" s="28">
        <v>3.3079999999999998</v>
      </c>
      <c r="W92" s="28">
        <f>14.081-SUM(T92:V92)</f>
        <v>4.4179999999999993</v>
      </c>
      <c r="X92" s="28">
        <v>4.4829999999999997</v>
      </c>
      <c r="Y92" s="28">
        <v>3.6230000000000002</v>
      </c>
      <c r="Z92" s="28">
        <v>3.528</v>
      </c>
      <c r="AA92" s="28">
        <f>15.734-SUM(X92:Z92)</f>
        <v>4.0999999999999996</v>
      </c>
      <c r="AB92" s="4">
        <f t="shared" ref="AB92:AM92" ca="1" si="346">+AB137*AB86</f>
        <v>4.041232958810447</v>
      </c>
      <c r="AC92" s="4">
        <f t="shared" ca="1" si="346"/>
        <v>3.3377415665724302</v>
      </c>
      <c r="AD92" s="4">
        <f t="shared" ca="1" si="346"/>
        <v>3.3987849604454281</v>
      </c>
      <c r="AE92" s="4">
        <f t="shared" ca="1" si="346"/>
        <v>3.4390228585513554</v>
      </c>
      <c r="AF92" s="4">
        <f t="shared" ca="1" si="346"/>
        <v>3.2027152572272288</v>
      </c>
      <c r="AG92" s="4">
        <f t="shared" ca="1" si="346"/>
        <v>3.2963741403601134</v>
      </c>
      <c r="AH92" s="4">
        <f t="shared" ca="1" si="346"/>
        <v>3.3867226181561372</v>
      </c>
      <c r="AI92" s="4">
        <f t="shared" ca="1" si="346"/>
        <v>3.4584869411320138</v>
      </c>
      <c r="AJ92" s="4">
        <f t="shared" ca="1" si="346"/>
        <v>3.5027341663258329</v>
      </c>
      <c r="AK92" s="4">
        <f t="shared" ca="1" si="346"/>
        <v>3.5945744306818459</v>
      </c>
      <c r="AL92" s="4">
        <f t="shared" ca="1" si="346"/>
        <v>3.6888316461606037</v>
      </c>
      <c r="AM92" s="4">
        <f t="shared" ca="1" si="346"/>
        <v>3.7656156786320718</v>
      </c>
      <c r="AN92" s="4">
        <f t="shared" ref="AN92:AY92" ca="1" si="347">+AN137*AN86</f>
        <v>3.8138658867224642</v>
      </c>
      <c r="AO92" s="4">
        <f t="shared" ca="1" si="347"/>
        <v>3.9130877461082125</v>
      </c>
      <c r="AP92" s="4">
        <f t="shared" ca="1" si="347"/>
        <v>4.0149681227436913</v>
      </c>
      <c r="AQ92" s="4">
        <f t="shared" ca="1" si="347"/>
        <v>4.0977986880584707</v>
      </c>
      <c r="AR92" s="4">
        <f t="shared" ca="1" si="347"/>
        <v>4.1494199149205118</v>
      </c>
      <c r="AS92" s="4">
        <f t="shared" ca="1" si="347"/>
        <v>4.2559838609112655</v>
      </c>
      <c r="AT92" s="4">
        <f t="shared" ca="1" si="347"/>
        <v>4.3651989540783713</v>
      </c>
      <c r="AU92" s="4">
        <f t="shared" ca="1" si="347"/>
        <v>4.4534881329015699</v>
      </c>
      <c r="AV92" s="4">
        <f t="shared" ca="1" si="347"/>
        <v>4.5076608200621191</v>
      </c>
      <c r="AW92" s="4">
        <f t="shared" ca="1" si="347"/>
        <v>4.6211138865299395</v>
      </c>
      <c r="AX92" s="4">
        <f t="shared" ca="1" si="347"/>
        <v>4.7371599931025443</v>
      </c>
      <c r="AY92" s="4">
        <f t="shared" ca="1" si="347"/>
        <v>4.8302670659513316</v>
      </c>
      <c r="AZ92" s="54"/>
      <c r="BA92" s="7">
        <v>3.9489999999999998</v>
      </c>
      <c r="BB92" s="28">
        <v>2.855</v>
      </c>
      <c r="BC92" s="10">
        <f t="shared" si="345"/>
        <v>2.8260000000000001</v>
      </c>
      <c r="BD92" s="4">
        <f t="shared" si="332"/>
        <v>4.2110000000000003</v>
      </c>
      <c r="BE92" s="4">
        <f t="shared" si="333"/>
        <v>5.63</v>
      </c>
      <c r="BF92" s="4">
        <f t="shared" si="334"/>
        <v>9.6950000000000003</v>
      </c>
      <c r="BG92" s="4">
        <f t="shared" si="335"/>
        <v>14.081</v>
      </c>
      <c r="BH92" s="4">
        <f t="shared" si="336"/>
        <v>15.734</v>
      </c>
      <c r="BI92" s="4">
        <f t="shared" ca="1" si="337"/>
        <v>14.216782344379661</v>
      </c>
      <c r="BJ92" s="4">
        <f t="shared" ca="1" si="338"/>
        <v>13.344298956875493</v>
      </c>
      <c r="BK92" s="4">
        <f t="shared" ca="1" si="339"/>
        <v>14.551755921800355</v>
      </c>
      <c r="BL92" s="4">
        <f t="shared" ca="1" si="340"/>
        <v>15.839720443632839</v>
      </c>
      <c r="BM92" s="4">
        <f t="shared" ca="1" si="341"/>
        <v>17.224090862811718</v>
      </c>
      <c r="BN92" s="4">
        <f t="shared" ca="1" si="342"/>
        <v>18.696201765645935</v>
      </c>
      <c r="BO92" s="24"/>
    </row>
    <row r="93" spans="1:75">
      <c r="B93" s="13" t="s">
        <v>13</v>
      </c>
      <c r="C93" s="4"/>
      <c r="D93" s="7">
        <f>9.609-E93</f>
        <v>4.6449999999999996</v>
      </c>
      <c r="E93" s="7">
        <v>4.9640000000000004</v>
      </c>
      <c r="F93" s="7">
        <v>5.7220000000000004</v>
      </c>
      <c r="G93" s="28">
        <f>20.34-D93-E93-F93</f>
        <v>5.0089999999999995</v>
      </c>
      <c r="H93" s="7">
        <f>11.796-I93</f>
        <v>5.5469999999999997</v>
      </c>
      <c r="I93" s="7">
        <v>6.2489999999999997</v>
      </c>
      <c r="J93" s="7">
        <v>6.9960000000000004</v>
      </c>
      <c r="K93" s="28">
        <f>24.945-SUM(H93:J93)</f>
        <v>6.1529999999999987</v>
      </c>
      <c r="L93" s="28">
        <v>6.6319999999999997</v>
      </c>
      <c r="M93" s="28">
        <v>7.0620000000000003</v>
      </c>
      <c r="N93" s="28">
        <v>8.8339999999999996</v>
      </c>
      <c r="O93" s="28">
        <f>29.996-SUM(L93:N93)</f>
        <v>7.468</v>
      </c>
      <c r="P93" s="28">
        <v>7.3959999999999999</v>
      </c>
      <c r="Q93" s="28">
        <v>8.1969999999999992</v>
      </c>
      <c r="R93" s="28">
        <v>9.6300000000000008</v>
      </c>
      <c r="S93" s="28">
        <f>33.097-SUM(P93:R93)</f>
        <v>7.8740000000000023</v>
      </c>
      <c r="T93" s="28">
        <v>7.9390000000000001</v>
      </c>
      <c r="U93" s="28">
        <v>8.9369999999999994</v>
      </c>
      <c r="V93" s="28">
        <v>11.64</v>
      </c>
      <c r="W93" s="28">
        <f>38.753-SUM(T93:V93)</f>
        <v>10.237000000000002</v>
      </c>
      <c r="X93" s="28">
        <v>10.95</v>
      </c>
      <c r="Y93" s="28">
        <v>11.494999999999999</v>
      </c>
      <c r="Z93" s="28">
        <v>13.534000000000001</v>
      </c>
      <c r="AA93" s="28">
        <f>48.311-SUM(X93:Z93)</f>
        <v>12.332000000000001</v>
      </c>
      <c r="AB93" s="4">
        <f t="shared" ref="AB93:AM93" ca="1" si="348">+AB138*AB86</f>
        <v>10.389705063594873</v>
      </c>
      <c r="AC93" s="4">
        <f t="shared" ca="1" si="348"/>
        <v>10.790192584895935</v>
      </c>
      <c r="AD93" s="4">
        <f t="shared" ca="1" si="348"/>
        <v>12.283986988730932</v>
      </c>
      <c r="AE93" s="4">
        <f t="shared" ca="1" si="348"/>
        <v>10.81523115114679</v>
      </c>
      <c r="AF93" s="4">
        <f t="shared" ca="1" si="348"/>
        <v>10.818449985405262</v>
      </c>
      <c r="AG93" s="4">
        <f t="shared" ca="1" si="348"/>
        <v>11.379680376670995</v>
      </c>
      <c r="AH93" s="4">
        <f t="shared" ca="1" si="348"/>
        <v>13.091087367990676</v>
      </c>
      <c r="AI93" s="4">
        <f t="shared" ca="1" si="348"/>
        <v>11.609888778461526</v>
      </c>
      <c r="AJ93" s="4">
        <f t="shared" ca="1" si="348"/>
        <v>11.656746973835748</v>
      </c>
      <c r="AK93" s="4">
        <f t="shared" ca="1" si="348"/>
        <v>12.229393049711456</v>
      </c>
      <c r="AL93" s="4">
        <f t="shared" ca="1" si="348"/>
        <v>14.074422461299037</v>
      </c>
      <c r="AM93" s="4">
        <f t="shared" ca="1" si="348"/>
        <v>12.452616798014912</v>
      </c>
      <c r="AN93" s="4">
        <f t="shared" ref="AN93:AY93" ca="1" si="349">+AN138*AN86</f>
        <v>12.501468748980054</v>
      </c>
      <c r="AO93" s="4">
        <f t="shared" ca="1" si="349"/>
        <v>13.11737863176311</v>
      </c>
      <c r="AP93" s="4">
        <f t="shared" ca="1" si="349"/>
        <v>15.118019959710647</v>
      </c>
      <c r="AQ93" s="4">
        <f t="shared" ca="1" si="349"/>
        <v>13.346231882770237</v>
      </c>
      <c r="AR93" s="4">
        <f t="shared" ca="1" si="349"/>
        <v>13.39391010508583</v>
      </c>
      <c r="AS93" s="4">
        <f t="shared" ca="1" si="349"/>
        <v>14.054029300583174</v>
      </c>
      <c r="AT93" s="4">
        <f t="shared" ca="1" si="349"/>
        <v>16.218524330116797</v>
      </c>
      <c r="AU93" s="4">
        <f t="shared" ca="1" si="349"/>
        <v>14.282012092981651</v>
      </c>
      <c r="AV93" s="4">
        <f t="shared" ca="1" si="349"/>
        <v>14.324892671279455</v>
      </c>
      <c r="AW93" s="4">
        <f t="shared" ca="1" si="349"/>
        <v>15.028699061585067</v>
      </c>
      <c r="AX93" s="4">
        <f t="shared" ca="1" si="349"/>
        <v>17.363655839927855</v>
      </c>
      <c r="AY93" s="4">
        <f t="shared" ca="1" si="349"/>
        <v>15.248801337021746</v>
      </c>
      <c r="AZ93" s="54"/>
      <c r="BA93" s="7">
        <v>23.597999999999999</v>
      </c>
      <c r="BB93" s="28">
        <v>24.181000000000001</v>
      </c>
      <c r="BC93" s="10">
        <f t="shared" si="345"/>
        <v>20.34</v>
      </c>
      <c r="BD93" s="4">
        <f t="shared" si="332"/>
        <v>24.945</v>
      </c>
      <c r="BE93" s="4">
        <f t="shared" si="333"/>
        <v>29.995999999999999</v>
      </c>
      <c r="BF93" s="4">
        <f t="shared" si="334"/>
        <v>33.097000000000001</v>
      </c>
      <c r="BG93" s="4">
        <f t="shared" si="335"/>
        <v>38.753</v>
      </c>
      <c r="BH93" s="4">
        <f t="shared" si="336"/>
        <v>48.311</v>
      </c>
      <c r="BI93" s="4">
        <f t="shared" ca="1" si="337"/>
        <v>44.279115788368529</v>
      </c>
      <c r="BJ93" s="4">
        <f t="shared" ca="1" si="338"/>
        <v>46.899106508528455</v>
      </c>
      <c r="BK93" s="4">
        <f t="shared" ca="1" si="339"/>
        <v>50.413179282861151</v>
      </c>
      <c r="BL93" s="4">
        <f t="shared" ca="1" si="340"/>
        <v>54.083099223224053</v>
      </c>
      <c r="BM93" s="4">
        <f t="shared" ca="1" si="341"/>
        <v>57.94847582876745</v>
      </c>
      <c r="BN93" s="4">
        <f t="shared" ca="1" si="342"/>
        <v>61.96604890981412</v>
      </c>
      <c r="BO93" s="24"/>
    </row>
    <row r="94" spans="1:75">
      <c r="B94" s="13" t="s">
        <v>195</v>
      </c>
      <c r="C94" s="4"/>
      <c r="D94" s="7">
        <f>2.852-E94</f>
        <v>1.3709999999999998</v>
      </c>
      <c r="E94" s="7">
        <v>1.4810000000000001</v>
      </c>
      <c r="F94" s="7">
        <v>1.45</v>
      </c>
      <c r="G94" s="28">
        <f>5.83-D94-E94-F94</f>
        <v>1.5280000000000007</v>
      </c>
      <c r="H94" s="7">
        <f>3.369-I94</f>
        <v>1.6510000000000002</v>
      </c>
      <c r="I94" s="7">
        <v>1.718</v>
      </c>
      <c r="J94" s="7">
        <v>1.837</v>
      </c>
      <c r="K94" s="28">
        <f>7.088-SUM(H94:J94)</f>
        <v>1.8819999999999997</v>
      </c>
      <c r="L94" s="28">
        <v>1.9510000000000001</v>
      </c>
      <c r="M94" s="28">
        <v>2.0449999999999999</v>
      </c>
      <c r="N94" s="28">
        <v>2.2789999999999999</v>
      </c>
      <c r="O94" s="28">
        <f>8.646-SUM(L94:N94)</f>
        <v>2.3710000000000004</v>
      </c>
      <c r="P94" s="28">
        <v>2.4380000000000002</v>
      </c>
      <c r="Q94" s="28">
        <v>2.669</v>
      </c>
      <c r="R94" s="28">
        <v>4.8659999999999997</v>
      </c>
      <c r="S94" s="28">
        <f>15.185-SUM(P94:R94)</f>
        <v>5.2120000000000015</v>
      </c>
      <c r="T94" s="28">
        <v>5.0389999999999997</v>
      </c>
      <c r="U94" s="28">
        <v>5.077</v>
      </c>
      <c r="V94" s="28">
        <v>5.2149999999999999</v>
      </c>
      <c r="W94" s="28">
        <f>20.643-SUM(T94:V94)</f>
        <v>5.3120000000000012</v>
      </c>
      <c r="X94" s="28">
        <v>5.2270000000000003</v>
      </c>
      <c r="Y94" s="28">
        <v>5.258</v>
      </c>
      <c r="Z94" s="28">
        <v>5.5019999999999998</v>
      </c>
      <c r="AA94" s="28">
        <f>21.616-SUM(X94:Z94)</f>
        <v>5.6290000000000013</v>
      </c>
      <c r="AB94" s="4">
        <f t="shared" ref="AB94:AM94" ca="1" si="350">+AB142*AB86</f>
        <v>4.7825895680685582</v>
      </c>
      <c r="AC94" s="4">
        <f t="shared" ca="1" si="350"/>
        <v>4.8615926140587922</v>
      </c>
      <c r="AD94" s="4">
        <f t="shared" ca="1" si="350"/>
        <v>4.9505054633225551</v>
      </c>
      <c r="AE94" s="4">
        <f t="shared" ca="1" si="350"/>
        <v>5.0091140357165855</v>
      </c>
      <c r="AF94" s="4">
        <f t="shared" ca="1" si="350"/>
        <v>5.053663155057726</v>
      </c>
      <c r="AG94" s="4">
        <f t="shared" ca="1" si="350"/>
        <v>5.2014503945771997</v>
      </c>
      <c r="AH94" s="4">
        <f t="shared" ca="1" si="350"/>
        <v>5.3440140434445098</v>
      </c>
      <c r="AI94" s="4">
        <f t="shared" ca="1" si="350"/>
        <v>5.4572531814079754</v>
      </c>
      <c r="AJ94" s="4">
        <f t="shared" ca="1" si="350"/>
        <v>5.5270722423347776</v>
      </c>
      <c r="AK94" s="4">
        <f t="shared" ca="1" si="350"/>
        <v>5.6719898272119815</v>
      </c>
      <c r="AL94" s="4">
        <f t="shared" ca="1" si="350"/>
        <v>5.8207211937886445</v>
      </c>
      <c r="AM94" s="4">
        <f t="shared" ca="1" si="350"/>
        <v>5.9418810861400368</v>
      </c>
      <c r="AN94" s="4">
        <f t="shared" ref="AN94:AY94" ca="1" si="351">+AN142*AN86</f>
        <v>6.018016577205012</v>
      </c>
      <c r="AO94" s="4">
        <f t="shared" ca="1" si="351"/>
        <v>6.1745818084794886</v>
      </c>
      <c r="AP94" s="4">
        <f t="shared" ca="1" si="351"/>
        <v>6.335341996093506</v>
      </c>
      <c r="AQ94" s="4">
        <f t="shared" ca="1" si="351"/>
        <v>6.4660428990536731</v>
      </c>
      <c r="AR94" s="4">
        <f t="shared" ca="1" si="351"/>
        <v>6.5474976245784848</v>
      </c>
      <c r="AS94" s="4">
        <f t="shared" ca="1" si="351"/>
        <v>6.7156481606886729</v>
      </c>
      <c r="AT94" s="4">
        <f t="shared" ca="1" si="351"/>
        <v>6.8879820236723717</v>
      </c>
      <c r="AU94" s="4">
        <f t="shared" ca="1" si="351"/>
        <v>7.0272962411952209</v>
      </c>
      <c r="AV94" s="4">
        <f t="shared" ca="1" si="351"/>
        <v>7.1127769945953068</v>
      </c>
      <c r="AW94" s="4">
        <f t="shared" ca="1" si="351"/>
        <v>7.2917980863214327</v>
      </c>
      <c r="AX94" s="4">
        <f t="shared" ca="1" si="351"/>
        <v>7.4749108159812039</v>
      </c>
      <c r="AY94" s="4">
        <f t="shared" ca="1" si="351"/>
        <v>7.6218273370392025</v>
      </c>
      <c r="AZ94" s="54"/>
      <c r="BA94" s="7">
        <v>4.6150000000000002</v>
      </c>
      <c r="BB94" s="28">
        <v>5.1580000000000004</v>
      </c>
      <c r="BC94" s="10">
        <f t="shared" si="345"/>
        <v>5.83</v>
      </c>
      <c r="BD94" s="4">
        <f t="shared" si="332"/>
        <v>7.0880000000000001</v>
      </c>
      <c r="BE94" s="4">
        <f t="shared" si="333"/>
        <v>8.6460000000000008</v>
      </c>
      <c r="BF94" s="4">
        <f t="shared" si="334"/>
        <v>15.185</v>
      </c>
      <c r="BG94" s="4">
        <f t="shared" si="335"/>
        <v>20.643000000000001</v>
      </c>
      <c r="BH94" s="4">
        <f t="shared" si="336"/>
        <v>21.616</v>
      </c>
      <c r="BI94" s="4">
        <f t="shared" ca="1" si="337"/>
        <v>19.603801681166491</v>
      </c>
      <c r="BJ94" s="4">
        <f t="shared" ca="1" si="338"/>
        <v>21.056380774487412</v>
      </c>
      <c r="BK94" s="4">
        <f t="shared" ca="1" si="339"/>
        <v>22.961664349475441</v>
      </c>
      <c r="BL94" s="4">
        <f t="shared" ca="1" si="340"/>
        <v>24.993983280831682</v>
      </c>
      <c r="BM94" s="4">
        <f t="shared" ca="1" si="341"/>
        <v>27.178424050134748</v>
      </c>
      <c r="BN94" s="4">
        <f t="shared" ca="1" si="342"/>
        <v>29.501313233937147</v>
      </c>
      <c r="BO94" s="24"/>
    </row>
    <row r="95" spans="1:75">
      <c r="B95" s="13" t="s">
        <v>7</v>
      </c>
      <c r="C95" s="4"/>
      <c r="D95" s="7">
        <f>2.958-E95</f>
        <v>2.0449999999999999</v>
      </c>
      <c r="E95" s="7">
        <v>0.91300000000000003</v>
      </c>
      <c r="F95" s="7">
        <v>0.65100000000000002</v>
      </c>
      <c r="G95" s="28">
        <f>5.212-D95-E95-F95</f>
        <v>1.6029999999999995</v>
      </c>
      <c r="H95" s="7">
        <f>4-I95</f>
        <v>1.9129999999999998</v>
      </c>
      <c r="I95" s="7">
        <v>2.0870000000000002</v>
      </c>
      <c r="J95" s="7">
        <v>2.1429999999999998</v>
      </c>
      <c r="K95" s="28">
        <f>8.912-SUM(H95:J95)</f>
        <v>2.769000000000001</v>
      </c>
      <c r="L95" s="28">
        <v>2.3279999999999998</v>
      </c>
      <c r="M95" s="28">
        <v>2.1680000000000001</v>
      </c>
      <c r="N95" s="28">
        <v>3.3069999999999999</v>
      </c>
      <c r="O95" s="28">
        <f>10.511-SUM(L95:N95)</f>
        <v>2.7079999999999984</v>
      </c>
      <c r="P95" s="28">
        <v>2.5289999999999999</v>
      </c>
      <c r="Q95" s="28">
        <v>3.4239999999999999</v>
      </c>
      <c r="R95" s="28">
        <v>4.3659999999999997</v>
      </c>
      <c r="S95" s="28">
        <f>16.157-SUM(P95:R95)</f>
        <v>5.838000000000001</v>
      </c>
      <c r="T95" s="28">
        <v>5.7919999999999998</v>
      </c>
      <c r="U95" s="28">
        <v>5.7869999999999999</v>
      </c>
      <c r="V95" s="28">
        <v>6.625</v>
      </c>
      <c r="W95" s="28">
        <f>24.188-SUM(T95:V95)</f>
        <v>5.9839999999999982</v>
      </c>
      <c r="X95" s="28">
        <v>5.0599999999999996</v>
      </c>
      <c r="Y95" s="28">
        <v>6.7569999999999997</v>
      </c>
      <c r="Z95" s="28">
        <v>7.6959999999999997</v>
      </c>
      <c r="AA95" s="28">
        <f>28.989-SUM(X95:Z95)</f>
        <v>9.4760000000000026</v>
      </c>
      <c r="AB95" s="4">
        <f t="shared" ref="AB95:AM95" ca="1" si="352">+AB143*AB86</f>
        <v>4.6728844130340894</v>
      </c>
      <c r="AC95" s="4">
        <f t="shared" ca="1" si="352"/>
        <v>6.279203500681847</v>
      </c>
      <c r="AD95" s="4">
        <f t="shared" ca="1" si="352"/>
        <v>6.9175243335252734</v>
      </c>
      <c r="AE95" s="4">
        <f t="shared" ca="1" si="352"/>
        <v>8.2737442643095971</v>
      </c>
      <c r="AF95" s="4">
        <f t="shared" ca="1" si="352"/>
        <v>4.7776042313173326</v>
      </c>
      <c r="AG95" s="4">
        <f t="shared" ca="1" si="352"/>
        <v>6.5533430393617476</v>
      </c>
      <c r="AH95" s="4">
        <f t="shared" ca="1" si="352"/>
        <v>7.2980522919740407</v>
      </c>
      <c r="AI95" s="4">
        <f t="shared" ca="1" si="352"/>
        <v>8.8410283972035462</v>
      </c>
      <c r="AJ95" s="4">
        <f t="shared" ca="1" si="352"/>
        <v>5.0500163977722723</v>
      </c>
      <c r="AK95" s="4">
        <f t="shared" ca="1" si="352"/>
        <v>6.9664501773827512</v>
      </c>
      <c r="AL95" s="4">
        <f t="shared" ca="1" si="352"/>
        <v>7.7646257861396863</v>
      </c>
      <c r="AM95" s="4">
        <f t="shared" ca="1" si="352"/>
        <v>9.4378695281595313</v>
      </c>
      <c r="AN95" s="4">
        <f t="shared" ref="AN95:AY95" ca="1" si="353">+AN143*AN86</f>
        <v>5.3078927679500287</v>
      </c>
      <c r="AO95" s="4">
        <f t="shared" ca="1" si="353"/>
        <v>7.3880892097965365</v>
      </c>
      <c r="AP95" s="4">
        <f t="shared" ca="1" si="353"/>
        <v>8.2503624079959792</v>
      </c>
      <c r="AQ95" s="4">
        <f t="shared" ca="1" si="353"/>
        <v>10.065539305101506</v>
      </c>
      <c r="AR95" s="4">
        <f t="shared" ca="1" si="353"/>
        <v>5.5674242448734166</v>
      </c>
      <c r="AS95" s="4">
        <f t="shared" ca="1" si="353"/>
        <v>7.8226936146838719</v>
      </c>
      <c r="AT95" s="4">
        <f t="shared" ca="1" si="353"/>
        <v>8.7517921805158458</v>
      </c>
      <c r="AU95" s="4">
        <f t="shared" ca="1" si="353"/>
        <v>10.716554984284985</v>
      </c>
      <c r="AV95" s="4">
        <f t="shared" ca="1" si="353"/>
        <v>5.8227057646246996</v>
      </c>
      <c r="AW95" s="4">
        <f t="shared" ca="1" si="353"/>
        <v>8.2627636607930963</v>
      </c>
      <c r="AX95" s="4">
        <f t="shared" ca="1" si="353"/>
        <v>9.2606792767965818</v>
      </c>
      <c r="AY95" s="4">
        <f t="shared" ca="1" si="353"/>
        <v>11.381695479039164</v>
      </c>
      <c r="AZ95" s="54"/>
      <c r="BA95" s="7">
        <v>8.7729999999999997</v>
      </c>
      <c r="BB95" s="28">
        <v>8.218</v>
      </c>
      <c r="BC95" s="10">
        <f t="shared" si="345"/>
        <v>5.2119999999999997</v>
      </c>
      <c r="BD95" s="4">
        <f t="shared" si="332"/>
        <v>8.9120000000000008</v>
      </c>
      <c r="BE95" s="4">
        <f t="shared" si="333"/>
        <v>10.510999999999999</v>
      </c>
      <c r="BF95" s="4">
        <f t="shared" si="334"/>
        <v>16.157</v>
      </c>
      <c r="BG95" s="4">
        <f t="shared" si="335"/>
        <v>24.187999999999999</v>
      </c>
      <c r="BH95" s="4">
        <f t="shared" si="336"/>
        <v>28.989000000000001</v>
      </c>
      <c r="BI95" s="4">
        <f t="shared" ca="1" si="337"/>
        <v>26.143356511550806</v>
      </c>
      <c r="BJ95" s="4">
        <f t="shared" ca="1" si="338"/>
        <v>27.470027959856665</v>
      </c>
      <c r="BK95" s="4">
        <f t="shared" ca="1" si="339"/>
        <v>29.218961889454242</v>
      </c>
      <c r="BL95" s="4">
        <f t="shared" ca="1" si="340"/>
        <v>31.011883690844051</v>
      </c>
      <c r="BM95" s="4">
        <f t="shared" ca="1" si="341"/>
        <v>32.858465024358118</v>
      </c>
      <c r="BN95" s="4">
        <f t="shared" ca="1" si="342"/>
        <v>34.727844181253545</v>
      </c>
      <c r="BO95" s="24"/>
    </row>
    <row r="96" spans="1:75">
      <c r="B96" t="s">
        <v>189</v>
      </c>
      <c r="C96" s="4"/>
      <c r="D96" s="10">
        <f t="shared" ref="D96:K96" si="354">+SUM(D90:D95)</f>
        <v>13.114999999999998</v>
      </c>
      <c r="E96" s="10">
        <f t="shared" si="354"/>
        <v>12.441000000000001</v>
      </c>
      <c r="F96" s="10">
        <f t="shared" si="354"/>
        <v>13.082000000000001</v>
      </c>
      <c r="G96" s="39">
        <f t="shared" si="354"/>
        <v>12.868</v>
      </c>
      <c r="H96" s="10">
        <f t="shared" si="354"/>
        <v>14.407999999999999</v>
      </c>
      <c r="I96" s="10">
        <f t="shared" si="354"/>
        <v>14.884</v>
      </c>
      <c r="J96" s="10">
        <f t="shared" si="354"/>
        <v>15.638000000000002</v>
      </c>
      <c r="K96" s="10">
        <f t="shared" si="354"/>
        <v>15.82</v>
      </c>
      <c r="L96" s="10">
        <f t="shared" ref="L96:Q96" si="355">+SUM(L90:L95)</f>
        <v>16.222999999999999</v>
      </c>
      <c r="M96" s="10">
        <f t="shared" si="355"/>
        <v>16.529</v>
      </c>
      <c r="N96" s="10">
        <f t="shared" si="355"/>
        <v>20.368999999999996</v>
      </c>
      <c r="O96" s="10">
        <f t="shared" si="355"/>
        <v>18.396999999999998</v>
      </c>
      <c r="P96" s="10">
        <f t="shared" si="355"/>
        <v>19.335999999999999</v>
      </c>
      <c r="Q96" s="10">
        <f t="shared" si="355"/>
        <v>22.030999999999999</v>
      </c>
      <c r="R96" s="10">
        <f t="shared" ref="R96:W96" si="356">+SUM(R90:R95)</f>
        <v>30.925000000000001</v>
      </c>
      <c r="S96" s="10">
        <f t="shared" si="356"/>
        <v>32.063000000000009</v>
      </c>
      <c r="T96" s="10">
        <f t="shared" si="356"/>
        <v>31.780999999999999</v>
      </c>
      <c r="U96" s="10">
        <f t="shared" si="356"/>
        <v>32.646000000000001</v>
      </c>
      <c r="V96" s="10">
        <f t="shared" si="356"/>
        <v>36.287999999999997</v>
      </c>
      <c r="W96" s="10">
        <f t="shared" si="356"/>
        <v>35.772999999999996</v>
      </c>
      <c r="X96" s="10">
        <f>+SUM(X90:X95)</f>
        <v>35.420999999999999</v>
      </c>
      <c r="Y96" s="10">
        <f>+SUM(Y90:Y95)</f>
        <v>36.845999999999997</v>
      </c>
      <c r="Z96" s="10">
        <f>+SUM(Z90:Z95)</f>
        <v>39.743000000000002</v>
      </c>
      <c r="AA96" s="10">
        <f>+SUM(AA90:AA95)</f>
        <v>41.199000000000005</v>
      </c>
      <c r="AB96" s="4">
        <f t="shared" ref="AB96:AM96" ca="1" si="357">+SUM(AB90:AB95)</f>
        <v>31.087896290026144</v>
      </c>
      <c r="AC96" s="4">
        <f t="shared" ca="1" si="357"/>
        <v>31.767577117769505</v>
      </c>
      <c r="AD96" s="4">
        <f t="shared" ca="1" si="357"/>
        <v>34.084842515072829</v>
      </c>
      <c r="AE96" s="4">
        <f t="shared" ca="1" si="357"/>
        <v>34.063856107573983</v>
      </c>
      <c r="AF96" s="4">
        <f t="shared" ca="1" si="357"/>
        <v>30.405195604691116</v>
      </c>
      <c r="AG96" s="4">
        <f t="shared" ca="1" si="357"/>
        <v>33.14227348120378</v>
      </c>
      <c r="AH96" s="4">
        <f t="shared" ca="1" si="357"/>
        <v>35.981384339660522</v>
      </c>
      <c r="AI96" s="4">
        <f t="shared" ca="1" si="357"/>
        <v>36.338975134623986</v>
      </c>
      <c r="AJ96" s="4">
        <f t="shared" ca="1" si="357"/>
        <v>32.763062785452149</v>
      </c>
      <c r="AK96" s="4">
        <f t="shared" ca="1" si="357"/>
        <v>35.637186532934265</v>
      </c>
      <c r="AL96" s="4">
        <f t="shared" ca="1" si="357"/>
        <v>38.674629443444324</v>
      </c>
      <c r="AM96" s="4">
        <f t="shared" ca="1" si="357"/>
        <v>39.038848559938934</v>
      </c>
      <c r="AN96" s="4">
        <f t="shared" ref="AN96:AY96" ca="1" si="358">+SUM(AN90:AN95)</f>
        <v>35.139313316054718</v>
      </c>
      <c r="AO96" s="4">
        <f t="shared" ca="1" si="358"/>
        <v>38.247146263630029</v>
      </c>
      <c r="AP96" s="4">
        <f t="shared" ca="1" si="358"/>
        <v>41.531829929967202</v>
      </c>
      <c r="AQ96" s="4">
        <f t="shared" ca="1" si="358"/>
        <v>41.908960707134938</v>
      </c>
      <c r="AR96" s="4">
        <f t="shared" ca="1" si="358"/>
        <v>37.650044439507028</v>
      </c>
      <c r="AS96" s="4">
        <f t="shared" ca="1" si="358"/>
        <v>41.002830059808659</v>
      </c>
      <c r="AT96" s="4">
        <f t="shared" ca="1" si="358"/>
        <v>44.543576998073789</v>
      </c>
      <c r="AU96" s="4">
        <f t="shared" ca="1" si="358"/>
        <v>44.923175462951548</v>
      </c>
      <c r="AV96" s="4">
        <f t="shared" ca="1" si="358"/>
        <v>40.269495196669745</v>
      </c>
      <c r="AW96" s="4">
        <f t="shared" ca="1" si="358"/>
        <v>43.873595253614972</v>
      </c>
      <c r="AX96" s="4">
        <f t="shared" ca="1" si="358"/>
        <v>47.675957654097431</v>
      </c>
      <c r="AY96" s="4">
        <f t="shared" ca="1" si="358"/>
        <v>48.047578294378447</v>
      </c>
      <c r="AZ96" s="54"/>
      <c r="BA96" s="10">
        <f>+SUM(BA90:BA95)</f>
        <v>60.408000000000001</v>
      </c>
      <c r="BB96" s="39">
        <f>+SUM(BB90:BB95)</f>
        <v>57.900000000000006</v>
      </c>
      <c r="BC96" s="10">
        <f>+SUM(BC90:BC95)</f>
        <v>51.506</v>
      </c>
      <c r="BD96" s="4">
        <f t="shared" si="332"/>
        <v>60.750000000000007</v>
      </c>
      <c r="BE96" s="4">
        <f t="shared" si="333"/>
        <v>71.518000000000001</v>
      </c>
      <c r="BF96" s="4">
        <f t="shared" si="334"/>
        <v>104.35500000000002</v>
      </c>
      <c r="BG96" s="4">
        <f t="shared" si="335"/>
        <v>136.488</v>
      </c>
      <c r="BH96" s="4">
        <f t="shared" si="336"/>
        <v>153.209</v>
      </c>
      <c r="BI96" s="4">
        <f t="shared" ca="1" si="337"/>
        <v>131.00417203044248</v>
      </c>
      <c r="BJ96" s="4">
        <f t="shared" ca="1" si="338"/>
        <v>135.86782856017939</v>
      </c>
      <c r="BK96" s="4">
        <f t="shared" ca="1" si="339"/>
        <v>146.11372732176969</v>
      </c>
      <c r="BL96" s="4">
        <f t="shared" ca="1" si="340"/>
        <v>156.82725021678689</v>
      </c>
      <c r="BM96" s="4">
        <f t="shared" ca="1" si="341"/>
        <v>168.11962696034101</v>
      </c>
      <c r="BN96" s="4">
        <f t="shared" ca="1" si="342"/>
        <v>179.86662639876059</v>
      </c>
      <c r="BO96" s="24"/>
    </row>
    <row r="97" spans="2:75">
      <c r="B97" t="s">
        <v>190</v>
      </c>
      <c r="C97" s="4"/>
      <c r="D97" s="28">
        <f>1.525-E97</f>
        <v>0.7629999999999999</v>
      </c>
      <c r="E97" s="28">
        <v>0.76200000000000001</v>
      </c>
      <c r="F97" s="7">
        <v>1.2609999999999999</v>
      </c>
      <c r="G97" s="28">
        <f>3.632-D97-E97-F97</f>
        <v>0.84600000000000031</v>
      </c>
      <c r="H97" s="7">
        <f>2.203-I97</f>
        <v>1.1129999999999998</v>
      </c>
      <c r="I97" s="7">
        <v>1.0900000000000001</v>
      </c>
      <c r="J97" s="7">
        <v>1.101</v>
      </c>
      <c r="K97" s="7">
        <v>1.1879999999999999</v>
      </c>
      <c r="L97" s="7">
        <v>1.218</v>
      </c>
      <c r="M97" s="7">
        <v>1.1180000000000001</v>
      </c>
      <c r="N97" s="7">
        <v>1.377</v>
      </c>
      <c r="O97" s="7">
        <v>1.403</v>
      </c>
      <c r="P97" s="7">
        <v>1.4850000000000001</v>
      </c>
      <c r="Q97" s="7">
        <v>1.474</v>
      </c>
      <c r="R97" s="7">
        <v>1.462</v>
      </c>
      <c r="S97" s="7">
        <v>1.448</v>
      </c>
      <c r="T97" s="7">
        <v>1.74</v>
      </c>
      <c r="U97" s="7">
        <v>2.02</v>
      </c>
      <c r="V97" s="7">
        <v>2.5659999999999998</v>
      </c>
      <c r="W97" s="7">
        <v>2.5139999999999998</v>
      </c>
      <c r="X97" s="7">
        <v>3.1469999999999998</v>
      </c>
      <c r="Y97" s="7">
        <v>2.9460000000000002</v>
      </c>
      <c r="Z97" s="7">
        <v>3.1160000000000001</v>
      </c>
      <c r="AA97" s="28">
        <v>2.75</v>
      </c>
      <c r="AB97" s="4">
        <f t="shared" ref="AB97:AM97" ca="1" si="359">+AB144*AB86</f>
        <v>2.2354625695611885</v>
      </c>
      <c r="AC97" s="4">
        <f t="shared" ca="1" si="359"/>
        <v>2.1696901776516229</v>
      </c>
      <c r="AD97" s="4">
        <f t="shared" ca="1" si="359"/>
        <v>2.1047932774364146</v>
      </c>
      <c r="AE97" s="4">
        <f t="shared" ca="1" si="359"/>
        <v>2.0238956407561246</v>
      </c>
      <c r="AF97" s="4">
        <f t="shared" ca="1" si="359"/>
        <v>1.9351382091407701</v>
      </c>
      <c r="AG97" s="4">
        <f t="shared" ca="1" si="359"/>
        <v>1.881849454231636</v>
      </c>
      <c r="AH97" s="4">
        <f t="shared" ca="1" si="359"/>
        <v>1.8205372609756947</v>
      </c>
      <c r="AI97" s="4">
        <f t="shared" ca="1" si="359"/>
        <v>1.7438313704808484</v>
      </c>
      <c r="AJ97" s="4">
        <f t="shared" ca="1" si="359"/>
        <v>1.6493838123549822</v>
      </c>
      <c r="AK97" s="4">
        <f t="shared" ca="1" si="359"/>
        <v>1.5728108369864811</v>
      </c>
      <c r="AL97" s="4">
        <f t="shared" ca="1" si="359"/>
        <v>1.4910921524779086</v>
      </c>
      <c r="AM97" s="4">
        <f t="shared" ca="1" si="359"/>
        <v>1.3966091179387312</v>
      </c>
      <c r="AN97" s="4">
        <f t="shared" ref="AN97:AY97" ca="1" si="360">+AN144*AN86</f>
        <v>1.2873755174200474</v>
      </c>
      <c r="AO97" s="4">
        <f t="shared" ca="1" si="360"/>
        <v>1.190431730205209</v>
      </c>
      <c r="AP97" s="4">
        <f t="shared" ca="1" si="360"/>
        <v>1.0875933039252101</v>
      </c>
      <c r="AQ97" s="4">
        <f t="shared" ca="1" si="360"/>
        <v>0.97343754444619823</v>
      </c>
      <c r="AR97" s="4">
        <f t="shared" ca="1" si="360"/>
        <v>0.84738623858137063</v>
      </c>
      <c r="AS97" s="4">
        <f t="shared" ca="1" si="360"/>
        <v>0.72728238586820504</v>
      </c>
      <c r="AT97" s="4">
        <f t="shared" ca="1" si="360"/>
        <v>0.60043893891949007</v>
      </c>
      <c r="AU97" s="4">
        <f t="shared" ca="1" si="360"/>
        <v>0.46413362880645742</v>
      </c>
      <c r="AV97" s="4">
        <f t="shared" ca="1" si="360"/>
        <v>0.31952403727950085</v>
      </c>
      <c r="AW97" s="4">
        <f t="shared" ca="1" si="360"/>
        <v>0.17352899059290039</v>
      </c>
      <c r="AX97" s="4">
        <f t="shared" ca="1" si="360"/>
        <v>1.99813435864379E-2</v>
      </c>
      <c r="AY97" s="4">
        <f t="shared" ca="1" si="360"/>
        <v>-0.14063483292489784</v>
      </c>
      <c r="AZ97" s="54"/>
      <c r="BA97" s="7">
        <v>2.3780000000000001</v>
      </c>
      <c r="BB97" s="28">
        <v>2.621</v>
      </c>
      <c r="BC97" s="10">
        <f t="shared" si="345"/>
        <v>3.6319999999999997</v>
      </c>
      <c r="BD97" s="4">
        <f t="shared" si="332"/>
        <v>4.492</v>
      </c>
      <c r="BE97" s="4">
        <f t="shared" si="333"/>
        <v>5.1159999999999997</v>
      </c>
      <c r="BF97" s="4">
        <f t="shared" si="334"/>
        <v>5.8689999999999998</v>
      </c>
      <c r="BG97" s="4">
        <f t="shared" si="335"/>
        <v>8.84</v>
      </c>
      <c r="BH97" s="4">
        <f t="shared" si="336"/>
        <v>11.959</v>
      </c>
      <c r="BI97" s="4">
        <f t="shared" ca="1" si="337"/>
        <v>8.5338416654053511</v>
      </c>
      <c r="BJ97" s="4">
        <f t="shared" ca="1" si="338"/>
        <v>7.3813562948289491</v>
      </c>
      <c r="BK97" s="4">
        <f t="shared" ca="1" si="339"/>
        <v>6.1098959197581033</v>
      </c>
      <c r="BL97" s="4">
        <f t="shared" ca="1" si="340"/>
        <v>4.538838095996665</v>
      </c>
      <c r="BM97" s="4">
        <f t="shared" ca="1" si="341"/>
        <v>2.6392411921755232</v>
      </c>
      <c r="BN97" s="4">
        <f t="shared" ca="1" si="342"/>
        <v>0.37239953853394125</v>
      </c>
      <c r="BO97" s="24"/>
    </row>
    <row r="98" spans="2:75">
      <c r="B98" t="s">
        <v>191</v>
      </c>
      <c r="C98" s="4"/>
      <c r="D98" s="4"/>
      <c r="E98" s="4"/>
      <c r="F98" s="4"/>
      <c r="G98" s="28">
        <v>0.89700000000000002</v>
      </c>
      <c r="H98" s="4"/>
      <c r="I98" s="4"/>
      <c r="J98" s="4"/>
      <c r="K98" s="7"/>
      <c r="L98" s="7"/>
      <c r="M98" s="7"/>
      <c r="N98" s="7"/>
      <c r="O98" s="7"/>
      <c r="P98" s="7"/>
      <c r="Q98" s="7"/>
      <c r="R98" s="7"/>
      <c r="S98" s="7"/>
      <c r="T98" s="7"/>
      <c r="U98" s="7"/>
      <c r="V98" s="7"/>
      <c r="W98" s="7"/>
      <c r="X98" s="7"/>
      <c r="Y98" s="7"/>
      <c r="Z98" s="7"/>
      <c r="AA98" s="7"/>
      <c r="AB98" s="4"/>
      <c r="AC98" s="4"/>
      <c r="AD98" s="4"/>
      <c r="AE98" s="4"/>
      <c r="AF98" s="4"/>
      <c r="AG98" s="4"/>
      <c r="AH98" s="4"/>
      <c r="AI98" s="4"/>
      <c r="AJ98" s="4"/>
      <c r="AK98" s="4"/>
      <c r="AL98" s="4"/>
      <c r="AM98" s="4"/>
      <c r="AN98" s="4"/>
      <c r="AO98" s="4"/>
      <c r="AP98" s="4"/>
      <c r="AQ98" s="4"/>
      <c r="AR98" s="4"/>
      <c r="AS98" s="4"/>
      <c r="AT98" s="4"/>
      <c r="AU98" s="4"/>
      <c r="AV98" s="4"/>
      <c r="AW98" s="4"/>
      <c r="AX98" s="4"/>
      <c r="AY98" s="4"/>
      <c r="AZ98" s="54"/>
      <c r="BA98" s="4"/>
      <c r="BB98" s="24"/>
      <c r="BC98" s="7">
        <v>0.89700000000000002</v>
      </c>
      <c r="BD98" s="4">
        <f t="shared" si="332"/>
        <v>0</v>
      </c>
      <c r="BE98" s="4">
        <f t="shared" si="333"/>
        <v>0</v>
      </c>
      <c r="BF98" s="4">
        <f t="shared" si="334"/>
        <v>0</v>
      </c>
      <c r="BG98" s="4">
        <f t="shared" si="335"/>
        <v>0</v>
      </c>
      <c r="BH98" s="4">
        <f t="shared" si="336"/>
        <v>0</v>
      </c>
      <c r="BI98" s="24">
        <f t="shared" si="337"/>
        <v>0</v>
      </c>
      <c r="BJ98" s="4">
        <f t="shared" si="338"/>
        <v>0</v>
      </c>
      <c r="BK98" s="4">
        <f t="shared" si="339"/>
        <v>0</v>
      </c>
      <c r="BL98" s="4">
        <f t="shared" si="340"/>
        <v>0</v>
      </c>
      <c r="BM98" s="4">
        <f t="shared" si="341"/>
        <v>0</v>
      </c>
      <c r="BN98" s="4">
        <f t="shared" si="342"/>
        <v>0</v>
      </c>
      <c r="BO98" s="24"/>
    </row>
    <row r="99" spans="2:75">
      <c r="B99" t="s">
        <v>192</v>
      </c>
      <c r="C99" s="4"/>
      <c r="D99" s="7">
        <f>3.291-E99</f>
        <v>3.2909999999999999</v>
      </c>
      <c r="E99" s="4"/>
      <c r="F99" s="4"/>
      <c r="G99" s="24"/>
      <c r="H99" s="4"/>
      <c r="I99" s="4"/>
      <c r="J99" s="4"/>
      <c r="K99" s="7"/>
      <c r="L99" s="7"/>
      <c r="M99" s="7"/>
      <c r="N99" s="7"/>
      <c r="O99" s="7"/>
      <c r="P99" s="7"/>
      <c r="Q99" s="7"/>
      <c r="R99" s="7"/>
      <c r="S99" s="7"/>
      <c r="T99" s="7"/>
      <c r="U99" s="7"/>
      <c r="V99" s="7"/>
      <c r="W99" s="7"/>
      <c r="X99" s="7"/>
      <c r="Y99" s="7"/>
      <c r="Z99" s="7"/>
      <c r="AA99" s="7"/>
      <c r="AB99" s="4"/>
      <c r="AC99" s="4"/>
      <c r="AD99" s="4"/>
      <c r="AE99" s="4"/>
      <c r="AF99" s="4"/>
      <c r="AG99" s="4"/>
      <c r="AH99" s="4"/>
      <c r="AI99" s="4"/>
      <c r="AJ99" s="4"/>
      <c r="AK99" s="4"/>
      <c r="AL99" s="4"/>
      <c r="AM99" s="4"/>
      <c r="AN99" s="4"/>
      <c r="AO99" s="4"/>
      <c r="AP99" s="4"/>
      <c r="AQ99" s="4"/>
      <c r="AR99" s="4"/>
      <c r="AS99" s="4"/>
      <c r="AT99" s="4"/>
      <c r="AU99" s="4"/>
      <c r="AV99" s="4"/>
      <c r="AW99" s="4"/>
      <c r="AX99" s="4"/>
      <c r="AY99" s="4"/>
      <c r="AZ99" s="54"/>
      <c r="BA99" s="7"/>
      <c r="BB99" s="28">
        <v>-3.3570000000000002</v>
      </c>
      <c r="BC99" s="7">
        <v>3.2909999999999999</v>
      </c>
      <c r="BD99" s="4">
        <f t="shared" si="332"/>
        <v>0</v>
      </c>
      <c r="BE99" s="4">
        <f t="shared" si="333"/>
        <v>0</v>
      </c>
      <c r="BF99" s="4">
        <f t="shared" si="334"/>
        <v>0</v>
      </c>
      <c r="BG99" s="4">
        <f t="shared" si="335"/>
        <v>0</v>
      </c>
      <c r="BH99" s="4">
        <f t="shared" si="336"/>
        <v>0</v>
      </c>
      <c r="BI99" s="24">
        <f t="shared" si="337"/>
        <v>0</v>
      </c>
      <c r="BJ99" s="4">
        <f t="shared" si="338"/>
        <v>0</v>
      </c>
      <c r="BK99" s="4">
        <f t="shared" si="339"/>
        <v>0</v>
      </c>
      <c r="BL99" s="4">
        <f t="shared" si="340"/>
        <v>0</v>
      </c>
      <c r="BM99" s="4">
        <f t="shared" si="341"/>
        <v>0</v>
      </c>
      <c r="BN99" s="4">
        <f t="shared" si="342"/>
        <v>0</v>
      </c>
      <c r="BO99" s="24"/>
    </row>
    <row r="100" spans="2:75">
      <c r="B100" t="s">
        <v>12</v>
      </c>
      <c r="C100" s="4"/>
      <c r="D100" s="4">
        <f t="shared" ref="D100:L100" si="361">SUM(D96:D99)</f>
        <v>17.168999999999997</v>
      </c>
      <c r="E100" s="4">
        <f t="shared" si="361"/>
        <v>13.203000000000001</v>
      </c>
      <c r="F100" s="4">
        <f t="shared" si="361"/>
        <v>14.343</v>
      </c>
      <c r="G100" s="24">
        <f t="shared" si="361"/>
        <v>14.611000000000001</v>
      </c>
      <c r="H100" s="4">
        <f t="shared" si="361"/>
        <v>15.520999999999999</v>
      </c>
      <c r="I100" s="4">
        <f t="shared" si="361"/>
        <v>15.974</v>
      </c>
      <c r="J100" s="4">
        <f t="shared" si="361"/>
        <v>16.739000000000001</v>
      </c>
      <c r="K100" s="4">
        <f t="shared" si="361"/>
        <v>17.007999999999999</v>
      </c>
      <c r="L100" s="4">
        <f t="shared" si="361"/>
        <v>17.440999999999999</v>
      </c>
      <c r="M100" s="4">
        <f>SUM(M96:M99)</f>
        <v>17.646999999999998</v>
      </c>
      <c r="N100" s="4">
        <f>SUM(N96:N99)</f>
        <v>21.745999999999995</v>
      </c>
      <c r="O100" s="4">
        <f>SUM(O96:O99)</f>
        <v>19.799999999999997</v>
      </c>
      <c r="P100" s="4">
        <f t="shared" ref="P100:U100" si="362">SUM(P96:P99)</f>
        <v>20.820999999999998</v>
      </c>
      <c r="Q100" s="4">
        <f t="shared" si="362"/>
        <v>23.504999999999999</v>
      </c>
      <c r="R100" s="4">
        <f t="shared" si="362"/>
        <v>32.387</v>
      </c>
      <c r="S100" s="4">
        <f t="shared" si="362"/>
        <v>33.51100000000001</v>
      </c>
      <c r="T100" s="4">
        <f t="shared" si="362"/>
        <v>33.521000000000001</v>
      </c>
      <c r="U100" s="4">
        <f t="shared" si="362"/>
        <v>34.666000000000004</v>
      </c>
      <c r="V100" s="4">
        <f t="shared" ref="V100:AA100" si="363">SUM(V96:V99)</f>
        <v>38.853999999999999</v>
      </c>
      <c r="W100" s="4">
        <f t="shared" si="363"/>
        <v>38.286999999999999</v>
      </c>
      <c r="X100" s="4">
        <f t="shared" si="363"/>
        <v>38.567999999999998</v>
      </c>
      <c r="Y100" s="4">
        <f t="shared" si="363"/>
        <v>39.791999999999994</v>
      </c>
      <c r="Z100" s="4">
        <f t="shared" si="363"/>
        <v>42.859000000000002</v>
      </c>
      <c r="AA100" s="4">
        <f t="shared" si="363"/>
        <v>43.949000000000005</v>
      </c>
      <c r="AB100" s="4">
        <f t="shared" ref="AB100:AM100" ca="1" si="364">SUM(AB96:AB99)</f>
        <v>33.32335885958733</v>
      </c>
      <c r="AC100" s="4">
        <f t="shared" ca="1" si="364"/>
        <v>33.93726729542113</v>
      </c>
      <c r="AD100" s="4">
        <f t="shared" ca="1" si="364"/>
        <v>36.189635792509243</v>
      </c>
      <c r="AE100" s="4">
        <f t="shared" ca="1" si="364"/>
        <v>36.087751748330106</v>
      </c>
      <c r="AF100" s="4">
        <f t="shared" ca="1" si="364"/>
        <v>32.340333813831883</v>
      </c>
      <c r="AG100" s="4">
        <f t="shared" ca="1" si="364"/>
        <v>35.024122935435415</v>
      </c>
      <c r="AH100" s="4">
        <f t="shared" ca="1" si="364"/>
        <v>37.80192160063622</v>
      </c>
      <c r="AI100" s="4">
        <f t="shared" ca="1" si="364"/>
        <v>38.082806505104834</v>
      </c>
      <c r="AJ100" s="4">
        <f t="shared" ca="1" si="364"/>
        <v>34.412446597807133</v>
      </c>
      <c r="AK100" s="4">
        <f t="shared" ca="1" si="364"/>
        <v>37.20999736992075</v>
      </c>
      <c r="AL100" s="4">
        <f t="shared" ca="1" si="364"/>
        <v>40.165721595922236</v>
      </c>
      <c r="AM100" s="4">
        <f t="shared" ca="1" si="364"/>
        <v>40.435457677877665</v>
      </c>
      <c r="AN100" s="4">
        <f t="shared" ref="AN100:AY100" ca="1" si="365">SUM(AN96:AN99)</f>
        <v>36.426688833474763</v>
      </c>
      <c r="AO100" s="4">
        <f t="shared" ca="1" si="365"/>
        <v>39.437577993835241</v>
      </c>
      <c r="AP100" s="4">
        <f t="shared" ca="1" si="365"/>
        <v>42.619423233892412</v>
      </c>
      <c r="AQ100" s="4">
        <f t="shared" ca="1" si="365"/>
        <v>42.882398251581137</v>
      </c>
      <c r="AR100" s="4">
        <f t="shared" ca="1" si="365"/>
        <v>38.497430678088399</v>
      </c>
      <c r="AS100" s="4">
        <f t="shared" ca="1" si="365"/>
        <v>41.730112445676866</v>
      </c>
      <c r="AT100" s="4">
        <f t="shared" ca="1" si="365"/>
        <v>45.144015936993277</v>
      </c>
      <c r="AU100" s="4">
        <f t="shared" ca="1" si="365"/>
        <v>45.387309091758006</v>
      </c>
      <c r="AV100" s="4">
        <f t="shared" ca="1" si="365"/>
        <v>40.589019233949244</v>
      </c>
      <c r="AW100" s="4">
        <f t="shared" ca="1" si="365"/>
        <v>44.047124244207872</v>
      </c>
      <c r="AX100" s="4">
        <f t="shared" ca="1" si="365"/>
        <v>47.695938997683868</v>
      </c>
      <c r="AY100" s="4">
        <f t="shared" ca="1" si="365"/>
        <v>47.906943461453551</v>
      </c>
      <c r="AZ100" s="54"/>
      <c r="BA100" s="4">
        <f t="shared" ref="BA100:BG100" si="366">SUM(BA96:BA99)</f>
        <v>62.786000000000001</v>
      </c>
      <c r="BB100" s="24">
        <f t="shared" si="366"/>
        <v>57.164000000000009</v>
      </c>
      <c r="BC100" s="4">
        <f t="shared" si="366"/>
        <v>59.325999999999993</v>
      </c>
      <c r="BD100" s="4">
        <f t="shared" si="366"/>
        <v>65.242000000000004</v>
      </c>
      <c r="BE100" s="4">
        <f t="shared" si="366"/>
        <v>76.634</v>
      </c>
      <c r="BF100" s="4">
        <f t="shared" si="366"/>
        <v>110.22400000000002</v>
      </c>
      <c r="BG100" s="4">
        <f t="shared" si="366"/>
        <v>145.328</v>
      </c>
      <c r="BH100" s="4">
        <f>SUM(BH96:BH99)</f>
        <v>165.16800000000001</v>
      </c>
      <c r="BI100" s="24">
        <f ca="1">SUM(BI96:BI99)</f>
        <v>139.53801369584784</v>
      </c>
      <c r="BJ100" s="4">
        <f ca="1">SUM(BJ96:BJ99)</f>
        <v>143.24918485500834</v>
      </c>
      <c r="BK100" s="4">
        <f ca="1">SUM(BK96:BK99)</f>
        <v>152.2236232415278</v>
      </c>
      <c r="BL100" s="4">
        <f t="shared" ref="BL100:BN100" ca="1" si="367">SUM(BL96:BL99)</f>
        <v>161.36608831278355</v>
      </c>
      <c r="BM100" s="4">
        <f t="shared" ca="1" si="367"/>
        <v>170.75886815251653</v>
      </c>
      <c r="BN100" s="4">
        <f t="shared" ca="1" si="367"/>
        <v>180.23902593729454</v>
      </c>
      <c r="BO100" s="24"/>
    </row>
    <row r="101" spans="2:75">
      <c r="C101" s="4"/>
      <c r="D101" s="4"/>
      <c r="E101" s="4"/>
      <c r="F101" s="4"/>
      <c r="G101" s="2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54"/>
      <c r="BA101" s="4"/>
      <c r="BB101" s="24"/>
      <c r="BC101" s="4"/>
      <c r="BD101" s="4"/>
      <c r="BE101" s="4"/>
      <c r="BF101" s="4"/>
      <c r="BG101" s="4"/>
      <c r="BH101" s="4"/>
      <c r="BI101" s="24"/>
      <c r="BJ101" s="4"/>
      <c r="BK101" s="4"/>
      <c r="BL101" s="4"/>
      <c r="BM101" s="4"/>
      <c r="BN101" s="4"/>
      <c r="BO101" s="24"/>
    </row>
    <row r="102" spans="2:75">
      <c r="B102" t="s">
        <v>15</v>
      </c>
      <c r="C102" s="54"/>
      <c r="D102" s="4">
        <f t="shared" ref="D102:J102" si="368">+D86-D100</f>
        <v>17.474000000000004</v>
      </c>
      <c r="E102" s="4">
        <f t="shared" si="368"/>
        <v>23.486000000000004</v>
      </c>
      <c r="F102" s="4">
        <f t="shared" si="368"/>
        <v>21.910999999999998</v>
      </c>
      <c r="G102" s="24">
        <f t="shared" si="368"/>
        <v>23.561999999999994</v>
      </c>
      <c r="H102" s="4">
        <f t="shared" si="368"/>
        <v>25.976999999999997</v>
      </c>
      <c r="I102" s="4">
        <f t="shared" si="368"/>
        <v>26.966000000000005</v>
      </c>
      <c r="J102" s="4">
        <f t="shared" si="368"/>
        <v>29.281000000000002</v>
      </c>
      <c r="K102" s="4">
        <f>+K86-K100</f>
        <v>30.421000000000003</v>
      </c>
      <c r="L102" s="4">
        <f>+L86-L100</f>
        <v>31.502000000000006</v>
      </c>
      <c r="M102" s="4">
        <f>+M86-M100</f>
        <v>33.690999999999995</v>
      </c>
      <c r="N102" s="4">
        <f>+N86-N100</f>
        <v>36.199000000000005</v>
      </c>
      <c r="O102" s="4">
        <f>+O86-O100</f>
        <v>39.762999999999998</v>
      </c>
      <c r="P102" s="4">
        <f t="shared" ref="P102:U102" si="369">+P86-P100</f>
        <v>40.565000000000005</v>
      </c>
      <c r="Q102" s="4">
        <f t="shared" si="369"/>
        <v>44.612000000000009</v>
      </c>
      <c r="R102" s="4">
        <f t="shared" si="369"/>
        <v>56.503</v>
      </c>
      <c r="S102" s="4">
        <f t="shared" si="369"/>
        <v>59.179000000000002</v>
      </c>
      <c r="T102" s="4">
        <f t="shared" si="369"/>
        <v>61.247</v>
      </c>
      <c r="U102" s="4">
        <f t="shared" si="369"/>
        <v>64.021000000000015</v>
      </c>
      <c r="V102" s="4">
        <f t="shared" ref="V102:AA102" si="370">+V86-V100</f>
        <v>64.61099999999999</v>
      </c>
      <c r="W102" s="4">
        <f t="shared" si="370"/>
        <v>67.156000000000006</v>
      </c>
      <c r="X102" s="4">
        <f t="shared" si="370"/>
        <v>67.396000000000015</v>
      </c>
      <c r="Y102" s="4">
        <f t="shared" si="370"/>
        <v>68.075999999999993</v>
      </c>
      <c r="Z102" s="4">
        <f t="shared" si="370"/>
        <v>70.907999999999987</v>
      </c>
      <c r="AA102" s="4">
        <f t="shared" si="370"/>
        <v>74.961999999999989</v>
      </c>
      <c r="AB102" s="4">
        <f t="shared" ref="AB102:AM102" ca="1" si="371">+AB86-AB100</f>
        <v>67.707465110673837</v>
      </c>
      <c r="AC102" s="4">
        <f t="shared" ca="1" si="371"/>
        <v>68.762473214499806</v>
      </c>
      <c r="AD102" s="4">
        <f t="shared" ca="1" si="371"/>
        <v>68.388362990426998</v>
      </c>
      <c r="AE102" s="4">
        <f t="shared" ca="1" si="371"/>
        <v>69.728336207096206</v>
      </c>
      <c r="AF102" s="4">
        <f t="shared" ca="1" si="371"/>
        <v>74.416841427075752</v>
      </c>
      <c r="AG102" s="4">
        <f t="shared" ca="1" si="371"/>
        <v>74.855015076568364</v>
      </c>
      <c r="AH102" s="4">
        <f t="shared" ca="1" si="371"/>
        <v>75.088832337901692</v>
      </c>
      <c r="AI102" s="4">
        <f t="shared" ca="1" si="371"/>
        <v>77.20009153262896</v>
      </c>
      <c r="AJ102" s="4">
        <f t="shared" ca="1" si="371"/>
        <v>82.345358946387307</v>
      </c>
      <c r="AK102" s="4">
        <f t="shared" ca="1" si="371"/>
        <v>82.609150319474111</v>
      </c>
      <c r="AL102" s="4">
        <f t="shared" ca="1" si="371"/>
        <v>82.795333276097892</v>
      </c>
      <c r="AM102" s="4">
        <f t="shared" ca="1" si="371"/>
        <v>85.085064943191398</v>
      </c>
      <c r="AN102" s="4">
        <f t="shared" ref="AN102:AY102" ca="1" si="372">+AN86-AN100</f>
        <v>90.70217405727405</v>
      </c>
      <c r="AO102" s="4">
        <f t="shared" ca="1" si="372"/>
        <v>90.998680209771834</v>
      </c>
      <c r="AP102" s="4">
        <f t="shared" ca="1" si="372"/>
        <v>91.212847524230654</v>
      </c>
      <c r="AQ102" s="4">
        <f t="shared" ca="1" si="372"/>
        <v>93.710891350367902</v>
      </c>
      <c r="AR102" s="4">
        <f t="shared" ca="1" si="372"/>
        <v>99.816566485928661</v>
      </c>
      <c r="AS102" s="4">
        <f t="shared" ca="1" si="372"/>
        <v>100.13601625136533</v>
      </c>
      <c r="AT102" s="4">
        <f t="shared" ca="1" si="372"/>
        <v>100.36261586561912</v>
      </c>
      <c r="AU102" s="4">
        <f t="shared" ca="1" si="372"/>
        <v>103.06229533829435</v>
      </c>
      <c r="AV102" s="4">
        <f t="shared" ca="1" si="372"/>
        <v>109.66634143478805</v>
      </c>
      <c r="AW102" s="4">
        <f t="shared" ca="1" si="372"/>
        <v>109.9900053067901</v>
      </c>
      <c r="AX102" s="4">
        <f t="shared" ca="1" si="372"/>
        <v>110.20939410573428</v>
      </c>
      <c r="AY102" s="4">
        <f t="shared" ca="1" si="372"/>
        <v>113.10195873692419</v>
      </c>
      <c r="AZ102" s="54"/>
      <c r="BA102" s="4">
        <f t="shared" ref="BA102:BF102" si="373">+BA86-BA100</f>
        <v>57.369</v>
      </c>
      <c r="BB102" s="24">
        <f t="shared" si="373"/>
        <v>73.231999999999971</v>
      </c>
      <c r="BC102" s="4">
        <f t="shared" si="373"/>
        <v>86.432999999999993</v>
      </c>
      <c r="BD102" s="4">
        <f t="shared" si="373"/>
        <v>112.645</v>
      </c>
      <c r="BE102" s="4">
        <f t="shared" si="373"/>
        <v>141.15499999999997</v>
      </c>
      <c r="BF102" s="4">
        <f t="shared" si="373"/>
        <v>200.85899999999995</v>
      </c>
      <c r="BG102" s="4">
        <f>+BG86-BG100</f>
        <v>257.03500000000008</v>
      </c>
      <c r="BH102" s="4">
        <f>+BH86-BH100</f>
        <v>281.34200000000004</v>
      </c>
      <c r="BI102" s="24">
        <f ca="1">+BI86-BI100</f>
        <v>274.58663752269678</v>
      </c>
      <c r="BJ102" s="4">
        <f ca="1">+BJ86-BJ100</f>
        <v>301.56078037417478</v>
      </c>
      <c r="BK102" s="4">
        <f ca="1">+BK86-BK100</f>
        <v>332.83490748515067</v>
      </c>
      <c r="BL102" s="4">
        <f t="shared" ref="BL102:BN102" ca="1" si="374">+BL86-BL100</f>
        <v>366.62459314164437</v>
      </c>
      <c r="BM102" s="4">
        <f t="shared" ca="1" si="374"/>
        <v>403.37749394120743</v>
      </c>
      <c r="BN102" s="4">
        <f t="shared" ca="1" si="374"/>
        <v>442.96769958423658</v>
      </c>
      <c r="BO102" s="24"/>
    </row>
    <row r="103" spans="2:75" s="58" customFormat="1">
      <c r="B103" s="309" t="s">
        <v>16</v>
      </c>
      <c r="C103" s="10"/>
      <c r="D103" s="310">
        <f t="shared" ref="D103:L103" si="375">+D102/D86</f>
        <v>0.50440204370291264</v>
      </c>
      <c r="E103" s="310">
        <f t="shared" si="375"/>
        <v>0.64013737087410394</v>
      </c>
      <c r="F103" s="310">
        <f t="shared" si="375"/>
        <v>0.60437468968941355</v>
      </c>
      <c r="G103" s="306">
        <f t="shared" si="375"/>
        <v>0.61724255363738756</v>
      </c>
      <c r="H103" s="306">
        <f t="shared" si="375"/>
        <v>0.62598197503494135</v>
      </c>
      <c r="I103" s="310">
        <f t="shared" si="375"/>
        <v>0.62799254774103408</v>
      </c>
      <c r="J103" s="310">
        <f t="shared" si="375"/>
        <v>0.63626684050412863</v>
      </c>
      <c r="K103" s="310">
        <f t="shared" si="375"/>
        <v>0.64140083071538512</v>
      </c>
      <c r="L103" s="310">
        <f t="shared" si="375"/>
        <v>0.64364669104877104</v>
      </c>
      <c r="M103" s="310">
        <f t="shared" ref="M103:R103" si="376">+M102/M86</f>
        <v>0.65625852195254974</v>
      </c>
      <c r="N103" s="310">
        <f t="shared" si="376"/>
        <v>0.62471308999913722</v>
      </c>
      <c r="O103" s="310">
        <f t="shared" si="376"/>
        <v>0.6675788660745765</v>
      </c>
      <c r="P103" s="310">
        <f t="shared" si="376"/>
        <v>0.66081842765451415</v>
      </c>
      <c r="Q103" s="310">
        <f t="shared" si="376"/>
        <v>0.65493195531218351</v>
      </c>
      <c r="R103" s="310">
        <f t="shared" si="376"/>
        <v>0.63565080436494548</v>
      </c>
      <c r="S103" s="310">
        <f t="shared" ref="S103:X103" si="377">+S102/S86</f>
        <v>0.63846153846153841</v>
      </c>
      <c r="T103" s="310">
        <f t="shared" si="377"/>
        <v>0.64628355563059259</v>
      </c>
      <c r="U103" s="310">
        <f t="shared" si="377"/>
        <v>0.64872779596096752</v>
      </c>
      <c r="V103" s="310">
        <f t="shared" si="377"/>
        <v>0.62447204368627074</v>
      </c>
      <c r="W103" s="310">
        <f t="shared" si="377"/>
        <v>0.63689386682852345</v>
      </c>
      <c r="X103" s="310">
        <f t="shared" si="377"/>
        <v>0.63602733003661627</v>
      </c>
      <c r="Y103" s="310">
        <f>+Y102/Y86</f>
        <v>0.63110468350205806</v>
      </c>
      <c r="Z103" s="310">
        <f>+Z102/Z86</f>
        <v>0.6232738843425597</v>
      </c>
      <c r="AA103" s="310">
        <f>+AA102/AA86</f>
        <v>0.63040425191950278</v>
      </c>
      <c r="AB103" s="310">
        <f t="shared" ref="AB103:AM103" ca="1" si="378">+AB102/AB86</f>
        <v>0.67016641505966346</v>
      </c>
      <c r="AC103" s="310">
        <f t="shared" ca="1" si="378"/>
        <v>0.66954865584940071</v>
      </c>
      <c r="AD103" s="310">
        <f t="shared" ca="1" si="378"/>
        <v>0.65394599042170398</v>
      </c>
      <c r="AE103" s="310">
        <f t="shared" ca="1" si="378"/>
        <v>0.65895779700784618</v>
      </c>
      <c r="AF103" s="310">
        <f t="shared" ca="1" si="378"/>
        <v>0.69706641505966349</v>
      </c>
      <c r="AG103" s="310">
        <f t="shared" ca="1" si="378"/>
        <v>0.68124865584940064</v>
      </c>
      <c r="AH103" s="310">
        <f t="shared" ca="1" si="378"/>
        <v>0.66514599042170408</v>
      </c>
      <c r="AI103" s="310">
        <f t="shared" ca="1" si="378"/>
        <v>0.66965779700784611</v>
      </c>
      <c r="AJ103" s="310">
        <f t="shared" ca="1" si="378"/>
        <v>0.70526641505966348</v>
      </c>
      <c r="AK103" s="310">
        <f t="shared" ca="1" si="378"/>
        <v>0.68944865584940063</v>
      </c>
      <c r="AL103" s="310">
        <f t="shared" ca="1" si="378"/>
        <v>0.67334599042170407</v>
      </c>
      <c r="AM103" s="310">
        <f t="shared" ca="1" si="378"/>
        <v>0.67785779700784621</v>
      </c>
      <c r="AN103" s="310">
        <f t="shared" ref="AN103:AY103" ca="1" si="379">+AN102/AN86</f>
        <v>0.71346641505966357</v>
      </c>
      <c r="AO103" s="310">
        <f t="shared" ca="1" si="379"/>
        <v>0.69764865584940061</v>
      </c>
      <c r="AP103" s="310">
        <f t="shared" ca="1" si="379"/>
        <v>0.68154599042170416</v>
      </c>
      <c r="AQ103" s="310">
        <f t="shared" ca="1" si="379"/>
        <v>0.68605779700784619</v>
      </c>
      <c r="AR103" s="310">
        <f t="shared" ca="1" si="379"/>
        <v>0.72166641505966356</v>
      </c>
      <c r="AS103" s="310">
        <f t="shared" ca="1" si="379"/>
        <v>0.70584865584940071</v>
      </c>
      <c r="AT103" s="310">
        <f t="shared" ca="1" si="379"/>
        <v>0.68974599042170415</v>
      </c>
      <c r="AU103" s="310">
        <f t="shared" ca="1" si="379"/>
        <v>0.69425779700784618</v>
      </c>
      <c r="AV103" s="310">
        <f t="shared" ca="1" si="379"/>
        <v>0.72986641505966354</v>
      </c>
      <c r="AW103" s="310">
        <f t="shared" ca="1" si="379"/>
        <v>0.71404865584940069</v>
      </c>
      <c r="AX103" s="310">
        <f t="shared" ca="1" si="379"/>
        <v>0.69794599042170413</v>
      </c>
      <c r="AY103" s="310">
        <f t="shared" ca="1" si="379"/>
        <v>0.70245779700784616</v>
      </c>
      <c r="AZ103" s="311"/>
      <c r="BA103" s="310">
        <f t="shared" ref="BA103:BG103" si="380">+BA102/BA86</f>
        <v>0.47745828305105903</v>
      </c>
      <c r="BB103" s="306">
        <f t="shared" si="380"/>
        <v>0.5616123193963003</v>
      </c>
      <c r="BC103" s="310">
        <f t="shared" si="380"/>
        <v>0.59298568184468881</v>
      </c>
      <c r="BD103" s="310">
        <f t="shared" si="380"/>
        <v>0.6332390787409985</v>
      </c>
      <c r="BE103" s="310">
        <f t="shared" si="380"/>
        <v>0.64812731588831385</v>
      </c>
      <c r="BF103" s="310">
        <f t="shared" si="380"/>
        <v>0.64567655577450378</v>
      </c>
      <c r="BG103" s="310">
        <f t="shared" si="380"/>
        <v>0.63881370801987269</v>
      </c>
      <c r="BH103" s="310">
        <f>+BH102/BH86</f>
        <v>0.63009115137398941</v>
      </c>
      <c r="BI103" s="306">
        <f ca="1">+BI102/BI86</f>
        <v>0.6630531090451558</v>
      </c>
      <c r="BJ103" s="310">
        <f ca="1">+BJ102/BJ86</f>
        <v>0.67795419155863357</v>
      </c>
      <c r="BK103" s="310">
        <f ca="1">+BK102/BK86</f>
        <v>0.68617473232874038</v>
      </c>
      <c r="BL103" s="310">
        <f t="shared" ref="BL103:BN103" ca="1" si="381">+BL102/BL86</f>
        <v>0.69437701463162771</v>
      </c>
      <c r="BM103" s="310">
        <f t="shared" ca="1" si="381"/>
        <v>0.7025813388133022</v>
      </c>
      <c r="BN103" s="310">
        <f t="shared" ca="1" si="381"/>
        <v>0.71078773935492856</v>
      </c>
      <c r="BO103" s="306"/>
      <c r="BQ103" s="312"/>
      <c r="BR103"/>
      <c r="BS103"/>
      <c r="BT103"/>
      <c r="BU103"/>
      <c r="BV103"/>
      <c r="BW103"/>
    </row>
    <row r="104" spans="2:75">
      <c r="C104" s="4"/>
      <c r="D104" s="4"/>
      <c r="E104" s="4"/>
      <c r="F104" s="4"/>
      <c r="G104" s="2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54"/>
      <c r="BA104" s="4"/>
      <c r="BB104" s="24"/>
      <c r="BC104" s="4"/>
      <c r="BD104" s="4"/>
      <c r="BE104" s="4"/>
      <c r="BF104" s="4"/>
      <c r="BG104" s="4"/>
      <c r="BH104" s="4"/>
      <c r="BI104" s="24"/>
      <c r="BJ104" s="4"/>
      <c r="BK104" s="4"/>
      <c r="BL104" s="4"/>
      <c r="BM104" s="4"/>
      <c r="BN104" s="4"/>
      <c r="BO104" s="24"/>
    </row>
    <row r="105" spans="2:75">
      <c r="B105" t="s">
        <v>11</v>
      </c>
      <c r="C105" s="4"/>
      <c r="D105" s="7">
        <f>17.187-E105</f>
        <v>8.3580000000000005</v>
      </c>
      <c r="E105" s="7">
        <v>8.8290000000000006</v>
      </c>
      <c r="F105" s="7">
        <v>8.6720000000000006</v>
      </c>
      <c r="G105" s="28">
        <f>35.986-D105-E105-F105</f>
        <v>10.126999999999995</v>
      </c>
      <c r="H105" s="7">
        <f>19.29-I105</f>
        <v>9.5939999999999994</v>
      </c>
      <c r="I105" s="7">
        <v>9.6959999999999997</v>
      </c>
      <c r="J105" s="7">
        <v>10.097</v>
      </c>
      <c r="K105" s="7">
        <v>9.8480000000000008</v>
      </c>
      <c r="L105" s="7">
        <v>10.778</v>
      </c>
      <c r="M105" s="7">
        <v>11.473000000000001</v>
      </c>
      <c r="N105" s="7">
        <v>11.045</v>
      </c>
      <c r="O105" s="7">
        <v>11.987</v>
      </c>
      <c r="P105" s="7">
        <v>13.837999999999999</v>
      </c>
      <c r="Q105" s="7">
        <v>14.615</v>
      </c>
      <c r="R105" s="7">
        <v>19.440000000000001</v>
      </c>
      <c r="S105" s="7">
        <v>19.89</v>
      </c>
      <c r="T105" s="7">
        <v>20.286000000000001</v>
      </c>
      <c r="U105" s="7">
        <v>21.608000000000001</v>
      </c>
      <c r="V105" s="7">
        <v>19.942</v>
      </c>
      <c r="W105" s="7">
        <v>21.45</v>
      </c>
      <c r="X105" s="7">
        <v>22.196999999999999</v>
      </c>
      <c r="Y105" s="7">
        <v>22.562000000000001</v>
      </c>
      <c r="Z105" s="7">
        <v>21.652000000000001</v>
      </c>
      <c r="AA105" s="28">
        <v>20.82</v>
      </c>
      <c r="AB105" s="4">
        <f t="shared" ref="AB105:AM105" ca="1" si="382">+AB86*AB145</f>
        <v>17.122381095659811</v>
      </c>
      <c r="AC105" s="4">
        <f t="shared" ca="1" si="382"/>
        <v>17.373001455592672</v>
      </c>
      <c r="AD105" s="4">
        <f t="shared" ca="1" si="382"/>
        <v>15.720040276588144</v>
      </c>
      <c r="AE105" s="4">
        <f t="shared" ca="1" si="382"/>
        <v>14.294582316499465</v>
      </c>
      <c r="AF105" s="4">
        <f t="shared" ca="1" si="382"/>
        <v>17.825971866296626</v>
      </c>
      <c r="AG105" s="4">
        <f t="shared" ca="1" si="382"/>
        <v>18.312792397337294</v>
      </c>
      <c r="AH105" s="4">
        <f t="shared" ca="1" si="382"/>
        <v>16.687376850368587</v>
      </c>
      <c r="AI105" s="4">
        <f t="shared" ca="1" si="382"/>
        <v>15.285236335424029</v>
      </c>
      <c r="AJ105" s="4">
        <f t="shared" ca="1" si="382"/>
        <v>19.203950632890958</v>
      </c>
      <c r="AK105" s="4">
        <f t="shared" ca="1" si="382"/>
        <v>19.669876869274884</v>
      </c>
      <c r="AL105" s="4">
        <f t="shared" ca="1" si="382"/>
        <v>17.868554108448404</v>
      </c>
      <c r="AM105" s="4">
        <f t="shared" ca="1" si="382"/>
        <v>16.328830739190909</v>
      </c>
      <c r="AN105" s="4">
        <f t="shared" ref="AN105:AY105" ca="1" si="383">+AN86*AN145</f>
        <v>20.591926836346055</v>
      </c>
      <c r="AO105" s="4">
        <f t="shared" ca="1" si="383"/>
        <v>21.086723480033147</v>
      </c>
      <c r="AP105" s="4">
        <f t="shared" ca="1" si="383"/>
        <v>19.113765581902129</v>
      </c>
      <c r="AQ105" s="4">
        <f t="shared" ca="1" si="383"/>
        <v>17.427791946660562</v>
      </c>
      <c r="AR105" s="4">
        <f t="shared" ca="1" si="383"/>
        <v>22.057874139097152</v>
      </c>
      <c r="AS105" s="4">
        <f t="shared" ca="1" si="383"/>
        <v>22.579845896355163</v>
      </c>
      <c r="AT105" s="4">
        <f t="shared" ca="1" si="383"/>
        <v>20.417317348403078</v>
      </c>
      <c r="AU105" s="4">
        <f t="shared" ca="1" si="383"/>
        <v>18.569402482651665</v>
      </c>
      <c r="AV105" s="4">
        <f t="shared" ca="1" si="383"/>
        <v>23.586606217905153</v>
      </c>
      <c r="AW105" s="4">
        <f t="shared" ca="1" si="383"/>
        <v>24.131926703779122</v>
      </c>
      <c r="AX105" s="4">
        <f t="shared" ca="1" si="383"/>
        <v>21.762325021477576</v>
      </c>
      <c r="AY105" s="4">
        <f t="shared" ca="1" si="383"/>
        <v>19.737909372399368</v>
      </c>
      <c r="AZ105" s="54"/>
      <c r="BA105" s="7">
        <v>22.844000000000001</v>
      </c>
      <c r="BB105" s="28">
        <v>28.47</v>
      </c>
      <c r="BC105" s="7">
        <v>35.985999999999997</v>
      </c>
      <c r="BD105" s="4">
        <f>+SUM(H105:K105)</f>
        <v>39.234999999999999</v>
      </c>
      <c r="BE105" s="4">
        <f>+SUM(L105:O105)</f>
        <v>45.283000000000001</v>
      </c>
      <c r="BF105" s="4">
        <f>+SUM(P105:S105)</f>
        <v>67.783000000000001</v>
      </c>
      <c r="BG105" s="4">
        <f>+SUM(T105:W105)</f>
        <v>83.286000000000001</v>
      </c>
      <c r="BH105" s="4">
        <f>+SUM(X105:AA105)</f>
        <v>87.230999999999995</v>
      </c>
      <c r="BI105" s="24">
        <f ca="1">+SUM(AB105:AE105)</f>
        <v>64.510005144340084</v>
      </c>
      <c r="BJ105" s="4">
        <f ca="1">+SUM(AF105:AI105)</f>
        <v>68.111377449426527</v>
      </c>
      <c r="BK105" s="4">
        <f ca="1">+SUM(AJ105:AM105)</f>
        <v>73.071212349805151</v>
      </c>
      <c r="BL105" s="4">
        <f ca="1">+SUM(AN105:AQ105)</f>
        <v>78.220207844941896</v>
      </c>
      <c r="BM105" s="4">
        <f ca="1">+SUM(AR105:AU105)</f>
        <v>83.624439866507061</v>
      </c>
      <c r="BN105" s="4">
        <f ca="1">+SUM(AV105:AY105)</f>
        <v>89.218767315561223</v>
      </c>
      <c r="BO105" s="24"/>
    </row>
    <row r="106" spans="2:75" s="58" customFormat="1">
      <c r="B106" s="309" t="s">
        <v>16</v>
      </c>
      <c r="C106" s="10"/>
      <c r="D106" s="310">
        <f t="shared" ref="D106:L106" si="384">+D105/D86</f>
        <v>0.24126086077995557</v>
      </c>
      <c r="E106" s="310">
        <f t="shared" si="384"/>
        <v>0.24064433481424946</v>
      </c>
      <c r="F106" s="310">
        <f t="shared" si="384"/>
        <v>0.23920119159265188</v>
      </c>
      <c r="G106" s="306">
        <f t="shared" si="384"/>
        <v>0.26529222225132937</v>
      </c>
      <c r="H106" s="310">
        <f t="shared" si="384"/>
        <v>0.23119186466817679</v>
      </c>
      <c r="I106" s="310">
        <f t="shared" si="384"/>
        <v>0.22580344666977173</v>
      </c>
      <c r="J106" s="310">
        <f t="shared" si="384"/>
        <v>0.21940460669274225</v>
      </c>
      <c r="K106" s="310">
        <f t="shared" si="384"/>
        <v>0.20763667798182547</v>
      </c>
      <c r="L106" s="310">
        <f t="shared" si="384"/>
        <v>0.22021535255296976</v>
      </c>
      <c r="M106" s="310">
        <f t="shared" ref="M106:R106" si="385">+M105/M86</f>
        <v>0.22347968366512139</v>
      </c>
      <c r="N106" s="310">
        <f t="shared" si="385"/>
        <v>0.19061178703943393</v>
      </c>
      <c r="O106" s="310">
        <f t="shared" si="385"/>
        <v>0.20124909759414403</v>
      </c>
      <c r="P106" s="310">
        <f t="shared" si="385"/>
        <v>0.22542599289740328</v>
      </c>
      <c r="Q106" s="310">
        <f t="shared" si="385"/>
        <v>0.21455730581205865</v>
      </c>
      <c r="R106" s="310">
        <f t="shared" si="385"/>
        <v>0.21869726628417147</v>
      </c>
      <c r="S106" s="310">
        <f t="shared" ref="S106:X106" si="386">+S105/S86</f>
        <v>0.21458625525946701</v>
      </c>
      <c r="T106" s="310">
        <f t="shared" si="386"/>
        <v>0.2140595981765997</v>
      </c>
      <c r="U106" s="310">
        <f t="shared" si="386"/>
        <v>0.21895487754212811</v>
      </c>
      <c r="V106" s="310">
        <f t="shared" si="386"/>
        <v>0.19274150678973567</v>
      </c>
      <c r="W106" s="310">
        <f t="shared" si="386"/>
        <v>0.2034274442115645</v>
      </c>
      <c r="X106" s="310">
        <f t="shared" si="386"/>
        <v>0.20947680344267861</v>
      </c>
      <c r="Y106" s="310">
        <f>+Y105/Y86</f>
        <v>0.20916305113657435</v>
      </c>
      <c r="Z106" s="310">
        <f>+Z105/Z86</f>
        <v>0.19031880949660271</v>
      </c>
      <c r="AA106" s="310">
        <f>+AA105/AA86</f>
        <v>0.17508893205843026</v>
      </c>
      <c r="AB106" s="310">
        <f t="shared" ref="AB106:AM106" ca="1" si="387">+AB105/AB86</f>
        <v>0.16947680344267857</v>
      </c>
      <c r="AC106" s="310">
        <f t="shared" ca="1" si="387"/>
        <v>0.16916305113657437</v>
      </c>
      <c r="AD106" s="310">
        <f t="shared" ca="1" si="387"/>
        <v>0.1503188094966027</v>
      </c>
      <c r="AE106" s="310">
        <f t="shared" ca="1" si="387"/>
        <v>0.13508893205843026</v>
      </c>
      <c r="AF106" s="310">
        <f t="shared" ca="1" si="387"/>
        <v>0.1669768034426786</v>
      </c>
      <c r="AG106" s="310">
        <f t="shared" ca="1" si="387"/>
        <v>0.16666305113657431</v>
      </c>
      <c r="AH106" s="310">
        <f t="shared" ca="1" si="387"/>
        <v>0.1478188094966027</v>
      </c>
      <c r="AI106" s="310">
        <f t="shared" ca="1" si="387"/>
        <v>0.13258893205843025</v>
      </c>
      <c r="AJ106" s="310">
        <f t="shared" ca="1" si="387"/>
        <v>0.16447680344267859</v>
      </c>
      <c r="AK106" s="310">
        <f t="shared" ca="1" si="387"/>
        <v>0.16416305113657434</v>
      </c>
      <c r="AL106" s="310">
        <f t="shared" ca="1" si="387"/>
        <v>0.1453188094966027</v>
      </c>
      <c r="AM106" s="310">
        <f t="shared" ca="1" si="387"/>
        <v>0.13008893205843025</v>
      </c>
      <c r="AN106" s="310">
        <f t="shared" ref="AN106:AY106" ca="1" si="388">+AN105/AN86</f>
        <v>0.16197680344267859</v>
      </c>
      <c r="AO106" s="310">
        <f t="shared" ca="1" si="388"/>
        <v>0.16166305113657434</v>
      </c>
      <c r="AP106" s="310">
        <f t="shared" ca="1" si="388"/>
        <v>0.14281880949660269</v>
      </c>
      <c r="AQ106" s="310">
        <f t="shared" ca="1" si="388"/>
        <v>0.12758893205843025</v>
      </c>
      <c r="AR106" s="310">
        <f t="shared" ca="1" si="388"/>
        <v>0.15947680344267859</v>
      </c>
      <c r="AS106" s="310">
        <f t="shared" ca="1" si="388"/>
        <v>0.15916305113657434</v>
      </c>
      <c r="AT106" s="310">
        <f t="shared" ca="1" si="388"/>
        <v>0.14031880949660269</v>
      </c>
      <c r="AU106" s="310">
        <f t="shared" ca="1" si="388"/>
        <v>0.12508893205843025</v>
      </c>
      <c r="AV106" s="310">
        <f t="shared" ca="1" si="388"/>
        <v>0.15697680344267859</v>
      </c>
      <c r="AW106" s="310">
        <f t="shared" ca="1" si="388"/>
        <v>0.15666305113657433</v>
      </c>
      <c r="AX106" s="310">
        <f t="shared" ca="1" si="388"/>
        <v>0.13781880949660269</v>
      </c>
      <c r="AY106" s="310">
        <f t="shared" ca="1" si="388"/>
        <v>0.12258893205843024</v>
      </c>
      <c r="AZ106" s="311"/>
      <c r="BA106" s="310">
        <f t="shared" ref="BA106:BG106" si="389">+BA105/BA86</f>
        <v>0.19012109358744955</v>
      </c>
      <c r="BB106" s="306">
        <f t="shared" si="389"/>
        <v>0.21833491824902607</v>
      </c>
      <c r="BC106" s="310">
        <f t="shared" si="389"/>
        <v>0.24688698468019127</v>
      </c>
      <c r="BD106" s="310">
        <f t="shared" si="389"/>
        <v>0.22056136760977474</v>
      </c>
      <c r="BE106" s="310">
        <f t="shared" si="389"/>
        <v>0.20792142853863144</v>
      </c>
      <c r="BF106" s="310">
        <f t="shared" si="389"/>
        <v>0.2178936168160909</v>
      </c>
      <c r="BG106" s="310">
        <f t="shared" si="389"/>
        <v>0.20699219361621221</v>
      </c>
      <c r="BH106" s="310">
        <f>+BH105/BH86</f>
        <v>0.19536180600658437</v>
      </c>
      <c r="BI106" s="306">
        <f ca="1">+BI105/BI86</f>
        <v>0.15577436637621564</v>
      </c>
      <c r="BJ106" s="310">
        <f ca="1">+BJ105/BJ86</f>
        <v>0.15312466620286472</v>
      </c>
      <c r="BK106" s="310">
        <f ca="1">+BK105/BK86</f>
        <v>0.15064411348530521</v>
      </c>
      <c r="BL106" s="310">
        <f t="shared" ref="BL106:BN106" ca="1" si="390">+BL105/BL86</f>
        <v>0.14814694764966846</v>
      </c>
      <c r="BM106" s="310">
        <f t="shared" ca="1" si="390"/>
        <v>0.14565257556854747</v>
      </c>
      <c r="BN106" s="310">
        <f t="shared" ca="1" si="390"/>
        <v>0.143160790251258</v>
      </c>
      <c r="BO106" s="306"/>
      <c r="BQ106" s="312"/>
      <c r="BR106"/>
      <c r="BS106"/>
      <c r="BT106"/>
      <c r="BU106"/>
      <c r="BV106"/>
      <c r="BW106"/>
    </row>
    <row r="107" spans="2:75">
      <c r="C107" s="4"/>
      <c r="D107" s="4"/>
      <c r="E107" s="4"/>
      <c r="F107" s="4"/>
      <c r="G107" s="2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54"/>
      <c r="BA107" s="4"/>
      <c r="BB107" s="24"/>
      <c r="BC107" s="4"/>
      <c r="BD107" s="4"/>
      <c r="BE107" s="4"/>
      <c r="BF107" s="4"/>
      <c r="BG107" s="4"/>
      <c r="BH107" s="4"/>
      <c r="BI107" s="24"/>
      <c r="BJ107" s="4"/>
      <c r="BK107" s="4"/>
      <c r="BL107" s="4"/>
      <c r="BM107" s="4"/>
      <c r="BN107" s="4"/>
      <c r="BO107" s="24"/>
    </row>
    <row r="108" spans="2:75">
      <c r="B108" t="s">
        <v>17</v>
      </c>
      <c r="C108" s="54"/>
      <c r="D108" s="39">
        <f t="shared" ref="D108:I108" si="391">+D102-D105-D119</f>
        <v>7.682000000000003</v>
      </c>
      <c r="E108" s="39">
        <f t="shared" si="391"/>
        <v>14.657000000000004</v>
      </c>
      <c r="F108" s="39">
        <f t="shared" si="391"/>
        <v>13.782999999999998</v>
      </c>
      <c r="G108" s="39">
        <f t="shared" si="391"/>
        <v>14.121999999999998</v>
      </c>
      <c r="H108" s="39">
        <f t="shared" si="391"/>
        <v>15.284999999999995</v>
      </c>
      <c r="I108" s="39">
        <f t="shared" si="391"/>
        <v>15.091000000000003</v>
      </c>
      <c r="J108" s="24">
        <f t="shared" ref="J108:P108" si="392">+J102-J105-J119</f>
        <v>19.184000000000005</v>
      </c>
      <c r="K108" s="24">
        <f t="shared" si="392"/>
        <v>20.353999999999999</v>
      </c>
      <c r="L108" s="24">
        <f t="shared" si="392"/>
        <v>20.660000000000004</v>
      </c>
      <c r="M108" s="24">
        <f t="shared" si="392"/>
        <v>19.972999999999995</v>
      </c>
      <c r="N108" s="24">
        <f t="shared" si="392"/>
        <v>24.653000000000002</v>
      </c>
      <c r="O108" s="24">
        <f t="shared" si="392"/>
        <v>27.398999999999997</v>
      </c>
      <c r="P108" s="24">
        <f t="shared" si="392"/>
        <v>26.622000000000003</v>
      </c>
      <c r="Q108" s="24">
        <f t="shared" ref="Q108:V108" si="393">+Q102-Q105-Q119</f>
        <v>25.245000000000008</v>
      </c>
      <c r="R108" s="24">
        <f t="shared" si="393"/>
        <v>35.581000000000003</v>
      </c>
      <c r="S108" s="24">
        <f t="shared" si="393"/>
        <v>33.878</v>
      </c>
      <c r="T108" s="24">
        <f t="shared" si="393"/>
        <v>38.873999999999995</v>
      </c>
      <c r="U108" s="24">
        <f t="shared" si="393"/>
        <v>38.580000000000013</v>
      </c>
      <c r="V108" s="24">
        <f t="shared" si="393"/>
        <v>41.204999999999991</v>
      </c>
      <c r="W108" s="24">
        <f>+W102-W105-W119</f>
        <v>43.992000000000004</v>
      </c>
      <c r="X108" s="24">
        <f>+X102-X105-X119</f>
        <v>44.863000000000014</v>
      </c>
      <c r="Y108" s="24">
        <f>+Y102-Y105-Y119</f>
        <v>45.352999999999994</v>
      </c>
      <c r="Z108" s="24">
        <f>+Z102-Z105-Z119</f>
        <v>48.141999999999989</v>
      </c>
      <c r="AA108" s="24">
        <f>+AA102-AA105-AA119</f>
        <v>24.700999999999986</v>
      </c>
      <c r="AB108" s="24">
        <f t="shared" ref="AB108:AM108" ca="1" si="394">+AB102-AB105-AB119</f>
        <v>50.585084015014026</v>
      </c>
      <c r="AC108" s="24">
        <f t="shared" ca="1" si="394"/>
        <v>51.389471758907135</v>
      </c>
      <c r="AD108" s="24">
        <f t="shared" ca="1" si="394"/>
        <v>52.668322713838855</v>
      </c>
      <c r="AE108" s="24">
        <f t="shared" ca="1" si="394"/>
        <v>55.433753890596741</v>
      </c>
      <c r="AF108" s="24">
        <f t="shared" ca="1" si="394"/>
        <v>56.590869560779126</v>
      </c>
      <c r="AG108" s="24">
        <f t="shared" ca="1" si="394"/>
        <v>56.542222679231074</v>
      </c>
      <c r="AH108" s="24">
        <f t="shared" ca="1" si="394"/>
        <v>58.401455487533106</v>
      </c>
      <c r="AI108" s="24">
        <f t="shared" ca="1" si="394"/>
        <v>61.914855197204929</v>
      </c>
      <c r="AJ108" s="24">
        <f t="shared" ca="1" si="394"/>
        <v>63.141408313496349</v>
      </c>
      <c r="AK108" s="24">
        <f t="shared" ca="1" si="394"/>
        <v>62.939273450199224</v>
      </c>
      <c r="AL108" s="24">
        <f t="shared" ca="1" si="394"/>
        <v>64.926779167649485</v>
      </c>
      <c r="AM108" s="24">
        <f t="shared" ca="1" si="394"/>
        <v>68.756234204000492</v>
      </c>
      <c r="AN108" s="24">
        <f t="shared" ref="AN108:AY108" ca="1" si="395">+AN102-AN105-AN119</f>
        <v>70.110247220927988</v>
      </c>
      <c r="AO108" s="24">
        <f t="shared" ca="1" si="395"/>
        <v>69.911956729738691</v>
      </c>
      <c r="AP108" s="24">
        <f t="shared" ca="1" si="395"/>
        <v>72.099081942328525</v>
      </c>
      <c r="AQ108" s="24">
        <f t="shared" ca="1" si="395"/>
        <v>76.28309940370734</v>
      </c>
      <c r="AR108" s="24">
        <f t="shared" ca="1" si="395"/>
        <v>77.758692346831509</v>
      </c>
      <c r="AS108" s="24">
        <f t="shared" ca="1" si="395"/>
        <v>77.556170355010167</v>
      </c>
      <c r="AT108" s="24">
        <f t="shared" ca="1" si="395"/>
        <v>79.945298517216045</v>
      </c>
      <c r="AU108" s="24">
        <f t="shared" ca="1" si="395"/>
        <v>84.49289285564268</v>
      </c>
      <c r="AV108" s="24">
        <f t="shared" ca="1" si="395"/>
        <v>86.079735216882895</v>
      </c>
      <c r="AW108" s="24">
        <f t="shared" ca="1" si="395"/>
        <v>85.858078603010966</v>
      </c>
      <c r="AX108" s="24">
        <f t="shared" ca="1" si="395"/>
        <v>88.447069084256697</v>
      </c>
      <c r="AY108" s="24">
        <f t="shared" ca="1" si="395"/>
        <v>93.364049364524817</v>
      </c>
      <c r="AZ108" s="54"/>
      <c r="BA108" s="39">
        <f t="shared" ref="BA108:BF108" si="396">+BA102-BA105-BA119</f>
        <v>56.738999999999997</v>
      </c>
      <c r="BB108" s="39">
        <f t="shared" si="396"/>
        <v>44.897999999999975</v>
      </c>
      <c r="BC108" s="39">
        <f t="shared" si="396"/>
        <v>50.243999999999993</v>
      </c>
      <c r="BD108" s="39">
        <f t="shared" si="396"/>
        <v>69.914000000000001</v>
      </c>
      <c r="BE108" s="24">
        <f t="shared" si="396"/>
        <v>92.684999999999974</v>
      </c>
      <c r="BF108" s="24">
        <f t="shared" si="396"/>
        <v>121.32599999999996</v>
      </c>
      <c r="BG108" s="24">
        <f>+BG102-BG105-BG119</f>
        <v>162.65100000000007</v>
      </c>
      <c r="BH108" s="24">
        <f>+BH102-BH105-BH119</f>
        <v>163.05900000000005</v>
      </c>
      <c r="BI108" s="24">
        <f ca="1">+BI102-BI105-BI119</f>
        <v>210.07663237835669</v>
      </c>
      <c r="BJ108" s="24">
        <f ca="1">+BJ102-BJ105-BJ119</f>
        <v>233.44940292474826</v>
      </c>
      <c r="BK108" s="24">
        <f ca="1">+BK102-BK105-BK119</f>
        <v>259.76369513534553</v>
      </c>
      <c r="BL108" s="24">
        <f t="shared" ref="BL108:BN108" ca="1" si="397">+BL102-BL105-BL119</f>
        <v>288.40438529670246</v>
      </c>
      <c r="BM108" s="24">
        <f t="shared" ca="1" si="397"/>
        <v>319.75305407470034</v>
      </c>
      <c r="BN108" s="24">
        <f t="shared" ca="1" si="397"/>
        <v>353.74893226867539</v>
      </c>
      <c r="BO108" s="24"/>
    </row>
    <row r="109" spans="2:75">
      <c r="C109" s="24"/>
      <c r="D109" s="4"/>
      <c r="E109" s="4"/>
      <c r="F109" s="4"/>
      <c r="G109" s="2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54"/>
      <c r="BA109" s="4"/>
      <c r="BB109" s="24"/>
      <c r="BC109" s="4"/>
      <c r="BD109" s="4"/>
      <c r="BE109" s="4"/>
      <c r="BF109" s="4"/>
      <c r="BG109" s="4"/>
      <c r="BH109" s="4"/>
      <c r="BI109" s="24"/>
      <c r="BJ109" s="4"/>
      <c r="BK109" s="4"/>
      <c r="BL109" s="4"/>
      <c r="BM109" s="4"/>
      <c r="BN109" s="4"/>
      <c r="BO109" s="24"/>
    </row>
    <row r="110" spans="2:75">
      <c r="B110" t="s">
        <v>18</v>
      </c>
      <c r="C110" s="24"/>
      <c r="D110" s="28">
        <f>0.189-E110</f>
        <v>9.5000000000000001E-2</v>
      </c>
      <c r="E110" s="28">
        <v>9.4E-2</v>
      </c>
      <c r="F110" s="28">
        <v>0.152</v>
      </c>
      <c r="G110" s="28">
        <f>0.412-D110-E110-F110</f>
        <v>7.0999999999999952E-2</v>
      </c>
      <c r="H110" s="7">
        <v>0.375</v>
      </c>
      <c r="I110" s="7">
        <v>0.42</v>
      </c>
      <c r="J110" s="7">
        <v>0.51</v>
      </c>
      <c r="K110" s="7">
        <v>0.65500000000000003</v>
      </c>
      <c r="L110" s="7">
        <v>0.91100000000000003</v>
      </c>
      <c r="M110" s="28">
        <v>1.0649999999999999</v>
      </c>
      <c r="N110" s="28">
        <v>0.92500000000000004</v>
      </c>
      <c r="O110" s="28">
        <v>1.252</v>
      </c>
      <c r="P110" s="28">
        <v>1.3069999999999999</v>
      </c>
      <c r="Q110" s="28">
        <v>1.831</v>
      </c>
      <c r="R110" s="28">
        <v>2.0680000000000001</v>
      </c>
      <c r="S110" s="28">
        <v>1.758</v>
      </c>
      <c r="T110" s="28">
        <v>2.0499999999999998</v>
      </c>
      <c r="U110" s="28">
        <v>3.2</v>
      </c>
      <c r="V110" s="28">
        <v>2.637</v>
      </c>
      <c r="W110" s="28">
        <v>2.698</v>
      </c>
      <c r="X110" s="28">
        <v>3.0819999999999999</v>
      </c>
      <c r="Y110" s="28">
        <v>3.7320000000000002</v>
      </c>
      <c r="Z110" s="28">
        <v>3.6930000000000001</v>
      </c>
      <c r="AA110" s="28">
        <v>3.3559999999999999</v>
      </c>
      <c r="AB110" s="10">
        <f t="shared" ref="AB110:AY110" ca="1" si="398">+AB196*AB86</f>
        <v>2.851371574069653</v>
      </c>
      <c r="AC110" s="10">
        <f t="shared" ca="1" si="398"/>
        <v>2.898473052545977</v>
      </c>
      <c r="AD110" s="10">
        <f t="shared" ca="1" si="398"/>
        <v>2.9514827384811673</v>
      </c>
      <c r="AE110" s="10">
        <f t="shared" ca="1" si="398"/>
        <v>2.9864250673058903</v>
      </c>
      <c r="AF110" s="10">
        <f t="shared" ca="1" si="398"/>
        <v>3.0129851746977656</v>
      </c>
      <c r="AG110" s="10">
        <f t="shared" ca="1" si="398"/>
        <v>3.101095669604029</v>
      </c>
      <c r="AH110" s="10">
        <f t="shared" ca="1" si="398"/>
        <v>3.1860918688576603</v>
      </c>
      <c r="AI110" s="10">
        <f t="shared" ca="1" si="398"/>
        <v>3.2536048457639297</v>
      </c>
      <c r="AJ110" s="10">
        <f t="shared" ca="1" si="398"/>
        <v>3.295230848334608</v>
      </c>
      <c r="AK110" s="10">
        <f t="shared" ca="1" si="398"/>
        <v>3.3816304601391729</v>
      </c>
      <c r="AL110" s="10">
        <f t="shared" ca="1" si="398"/>
        <v>3.4703038419532217</v>
      </c>
      <c r="AM110" s="10">
        <f t="shared" ca="1" si="398"/>
        <v>3.5425391588356652</v>
      </c>
      <c r="AN110" s="10">
        <f t="shared" ca="1" si="398"/>
        <v>3.5879310060579175</v>
      </c>
      <c r="AO110" s="10">
        <f t="shared" ca="1" si="398"/>
        <v>3.6812749243661678</v>
      </c>
      <c r="AP110" s="10">
        <f t="shared" ca="1" si="398"/>
        <v>3.7771198683407001</v>
      </c>
      <c r="AQ110" s="10">
        <f t="shared" ca="1" si="398"/>
        <v>3.8550435191373462</v>
      </c>
      <c r="AR110" s="10">
        <f t="shared" ca="1" si="398"/>
        <v>3.9036066846838495</v>
      </c>
      <c r="AS110" s="10">
        <f t="shared" ca="1" si="398"/>
        <v>4.0038577415653185</v>
      </c>
      <c r="AT110" s="10">
        <f t="shared" ca="1" si="398"/>
        <v>4.1066028906456697</v>
      </c>
      <c r="AU110" s="10">
        <f t="shared" ca="1" si="398"/>
        <v>4.1896617845889423</v>
      </c>
      <c r="AV110" s="10">
        <f t="shared" ca="1" si="398"/>
        <v>4.2406252609454329</v>
      </c>
      <c r="AW110" s="10">
        <f t="shared" ca="1" si="398"/>
        <v>4.3473573241596588</v>
      </c>
      <c r="AX110" s="10">
        <f t="shared" ca="1" si="398"/>
        <v>4.4565288147864477</v>
      </c>
      <c r="AY110" s="10">
        <f t="shared" ca="1" si="398"/>
        <v>4.5441201888618856</v>
      </c>
      <c r="AZ110" s="54"/>
      <c r="BA110" s="28">
        <v>0.33200000000000002</v>
      </c>
      <c r="BB110" s="28">
        <v>0.76500000000000001</v>
      </c>
      <c r="BC110" s="39">
        <f>+SUM(D110:G110)</f>
        <v>0.41199999999999992</v>
      </c>
      <c r="BD110" s="4">
        <f>+SUM(H110:K110)</f>
        <v>1.96</v>
      </c>
      <c r="BE110" s="4">
        <f>+SUM(L110:O110)</f>
        <v>4.1529999999999996</v>
      </c>
      <c r="BF110" s="4">
        <f>+SUM(P110:S110)</f>
        <v>6.9639999999999995</v>
      </c>
      <c r="BG110" s="4">
        <f>+SUM(T110:W110)</f>
        <v>10.585000000000001</v>
      </c>
      <c r="BH110" s="4">
        <f>+SUM(X110:AA110)</f>
        <v>13.863</v>
      </c>
      <c r="BI110" s="24">
        <f ca="1">+SUM(AB110:AE110)</f>
        <v>11.687752432402689</v>
      </c>
      <c r="BJ110" s="4">
        <f ca="1">+SUM(AF110:AI110)</f>
        <v>12.553777558923384</v>
      </c>
      <c r="BK110" s="4">
        <f ca="1">+SUM(AJ110:AM110)</f>
        <v>13.689704309262666</v>
      </c>
      <c r="BL110" s="4">
        <f ca="1">+SUM(AN110:AQ110)</f>
        <v>14.901369317902132</v>
      </c>
      <c r="BM110" s="4">
        <f ca="1">+SUM(AR110:AU110)</f>
        <v>16.203729101483781</v>
      </c>
      <c r="BN110" s="4">
        <f ca="1">+SUM(AV110:AY110)</f>
        <v>17.588631588753426</v>
      </c>
      <c r="BO110" s="24"/>
    </row>
    <row r="111" spans="2:75" s="22" customFormat="1">
      <c r="B111" s="22" t="s">
        <v>249</v>
      </c>
      <c r="C111" s="24"/>
      <c r="D111" s="39">
        <f t="shared" ref="D111:I111" si="399">+D119</f>
        <v>1.4339999999999999</v>
      </c>
      <c r="E111" s="39">
        <f t="shared" si="399"/>
        <v>0</v>
      </c>
      <c r="F111" s="39">
        <f t="shared" si="399"/>
        <v>-0.54399999999999993</v>
      </c>
      <c r="G111" s="39">
        <f t="shared" si="399"/>
        <v>-0.68699999999999994</v>
      </c>
      <c r="H111" s="39">
        <f t="shared" si="399"/>
        <v>1.0980000000000003</v>
      </c>
      <c r="I111" s="39">
        <f t="shared" si="399"/>
        <v>2.1789999999999998</v>
      </c>
      <c r="J111" s="39"/>
      <c r="K111" s="39"/>
      <c r="L111" s="39"/>
      <c r="M111" s="39"/>
      <c r="N111" s="39"/>
      <c r="O111" s="39"/>
      <c r="P111" s="39"/>
      <c r="Q111" s="39"/>
      <c r="R111" s="39"/>
      <c r="S111" s="39"/>
      <c r="T111" s="39"/>
      <c r="U111" s="39"/>
      <c r="V111" s="39"/>
      <c r="W111" s="39"/>
      <c r="X111" s="39"/>
      <c r="Y111" s="39"/>
      <c r="Z111" s="39"/>
      <c r="AA111" s="39"/>
      <c r="AB111" s="39"/>
      <c r="AC111" s="39"/>
      <c r="AD111" s="39"/>
      <c r="AE111" s="39"/>
      <c r="AF111" s="39"/>
      <c r="AG111" s="39"/>
      <c r="AH111" s="39"/>
      <c r="AI111" s="39"/>
      <c r="AJ111" s="39"/>
      <c r="AK111" s="39"/>
      <c r="AL111" s="39"/>
      <c r="AM111" s="39"/>
      <c r="AN111" s="39"/>
      <c r="AO111" s="39"/>
      <c r="AP111" s="39"/>
      <c r="AQ111" s="39"/>
      <c r="AR111" s="39"/>
      <c r="AS111" s="39"/>
      <c r="AT111" s="39"/>
      <c r="AU111" s="39"/>
      <c r="AV111" s="39"/>
      <c r="AW111" s="39"/>
      <c r="AX111" s="39"/>
      <c r="AY111" s="39"/>
      <c r="AZ111" s="54"/>
      <c r="BA111" s="28"/>
      <c r="BB111" s="28"/>
      <c r="BC111" s="39">
        <f>+SUM(D111:G111)</f>
        <v>0.20300000000000007</v>
      </c>
      <c r="BD111" s="24">
        <f>+SUM(H111:K111)</f>
        <v>3.2770000000000001</v>
      </c>
      <c r="BE111" s="24">
        <f>+SUM(L111:O111)</f>
        <v>0</v>
      </c>
      <c r="BF111" s="24">
        <f>+SUM(P111:S111)</f>
        <v>0</v>
      </c>
      <c r="BG111" s="24">
        <f>+SUM(T111:W111)</f>
        <v>0</v>
      </c>
      <c r="BH111" s="24">
        <f>+SUM(X111:AA111)</f>
        <v>0</v>
      </c>
      <c r="BI111" s="24">
        <f>+SUM(AB111:AE111)</f>
        <v>0</v>
      </c>
      <c r="BJ111" s="24">
        <f>+SUM(AF111:AI111)</f>
        <v>0</v>
      </c>
      <c r="BK111" s="24">
        <f>+SUM(AJ111:AM111)</f>
        <v>0</v>
      </c>
      <c r="BL111" s="24">
        <f>+SUM(AN111:AQ111)</f>
        <v>0</v>
      </c>
      <c r="BM111" s="24">
        <f>+SUM(AR111:AU111)</f>
        <v>0</v>
      </c>
      <c r="BN111" s="24">
        <f>+SUM(AV111:AY111)</f>
        <v>0</v>
      </c>
      <c r="BO111" s="24"/>
      <c r="BQ111" s="230"/>
      <c r="BR111"/>
      <c r="BS111"/>
      <c r="BT111"/>
      <c r="BU111"/>
      <c r="BV111"/>
      <c r="BW111"/>
    </row>
    <row r="112" spans="2:75" s="22" customFormat="1">
      <c r="B112" s="22" t="s">
        <v>7</v>
      </c>
      <c r="C112" s="24"/>
      <c r="D112" s="52">
        <f>+D99</f>
        <v>3.2909999999999999</v>
      </c>
      <c r="E112" s="39"/>
      <c r="F112" s="39"/>
      <c r="G112" s="52">
        <f>14.686-G108-G110-G111</f>
        <v>1.1800000000000019</v>
      </c>
      <c r="H112" s="39"/>
      <c r="I112" s="39"/>
      <c r="J112" s="39"/>
      <c r="K112" s="39"/>
      <c r="L112" s="39"/>
      <c r="M112" s="39"/>
      <c r="N112" s="39"/>
      <c r="O112" s="39"/>
      <c r="P112" s="39"/>
      <c r="Q112" s="39"/>
      <c r="R112" s="39"/>
      <c r="S112" s="39"/>
      <c r="T112" s="39"/>
      <c r="U112" s="39"/>
      <c r="V112" s="39"/>
      <c r="W112" s="39"/>
      <c r="X112" s="39"/>
      <c r="Y112" s="39"/>
      <c r="Z112" s="39"/>
      <c r="AA112" s="39"/>
      <c r="AB112" s="39"/>
      <c r="AC112" s="39"/>
      <c r="AD112" s="39"/>
      <c r="AE112" s="39"/>
      <c r="AF112" s="39"/>
      <c r="AG112" s="39"/>
      <c r="AH112" s="39"/>
      <c r="AI112" s="39"/>
      <c r="AJ112" s="39"/>
      <c r="AK112" s="39"/>
      <c r="AL112" s="39"/>
      <c r="AM112" s="39"/>
      <c r="AN112" s="39"/>
      <c r="AO112" s="39"/>
      <c r="AP112" s="39"/>
      <c r="AQ112" s="39"/>
      <c r="AR112" s="39"/>
      <c r="AS112" s="39"/>
      <c r="AT112" s="39"/>
      <c r="AU112" s="39"/>
      <c r="AV112" s="39"/>
      <c r="AW112" s="39"/>
      <c r="AX112" s="39"/>
      <c r="AY112" s="39"/>
      <c r="AZ112" s="54"/>
      <c r="BA112" s="28">
        <v>-22.213999999999999</v>
      </c>
      <c r="BB112" s="28">
        <v>-3.3570000000000002</v>
      </c>
      <c r="BC112" s="39">
        <f>+SUM(D112:G112)</f>
        <v>4.4710000000000019</v>
      </c>
      <c r="BD112" s="24">
        <f>+SUM(H112:K112)</f>
        <v>0</v>
      </c>
      <c r="BE112" s="24">
        <f>+SUM(L112:O112)</f>
        <v>0</v>
      </c>
      <c r="BF112" s="24">
        <f>+SUM(P112:S112)</f>
        <v>0</v>
      </c>
      <c r="BG112" s="24">
        <f>+SUM(T112:W112)</f>
        <v>0</v>
      </c>
      <c r="BH112" s="24">
        <f>+SUM(X112:AA112)</f>
        <v>0</v>
      </c>
      <c r="BI112" s="24">
        <f>+SUM(AB112:AE112)</f>
        <v>0</v>
      </c>
      <c r="BJ112" s="24">
        <f>+SUM(AF112:AI112)</f>
        <v>0</v>
      </c>
      <c r="BK112" s="24">
        <f>+SUM(AJ112:AM112)</f>
        <v>0</v>
      </c>
      <c r="BL112" s="24">
        <f>+SUM(AN112:AQ112)</f>
        <v>0</v>
      </c>
      <c r="BM112" s="24">
        <f>+SUM(AR112:AU112)</f>
        <v>0</v>
      </c>
      <c r="BN112" s="24">
        <f>+SUM(AV112:AY112)</f>
        <v>0</v>
      </c>
      <c r="BO112" s="24"/>
      <c r="BQ112" s="230"/>
      <c r="BR112"/>
      <c r="BS112"/>
      <c r="BT112"/>
      <c r="BU112"/>
      <c r="BV112"/>
      <c r="BW112"/>
    </row>
    <row r="113" spans="1:271">
      <c r="B113" t="s">
        <v>19</v>
      </c>
      <c r="C113" s="54"/>
      <c r="D113" s="4">
        <f t="shared" ref="D113:J113" si="400">+D108+D110+D111+D112</f>
        <v>12.502000000000002</v>
      </c>
      <c r="E113" s="4">
        <f t="shared" si="400"/>
        <v>14.751000000000003</v>
      </c>
      <c r="F113" s="4">
        <f t="shared" si="400"/>
        <v>13.390999999999996</v>
      </c>
      <c r="G113" s="4">
        <f t="shared" si="400"/>
        <v>14.686</v>
      </c>
      <c r="H113" s="4">
        <f t="shared" si="400"/>
        <v>16.757999999999996</v>
      </c>
      <c r="I113" s="4">
        <f t="shared" si="400"/>
        <v>17.690000000000001</v>
      </c>
      <c r="J113" s="4">
        <f t="shared" si="400"/>
        <v>19.694000000000006</v>
      </c>
      <c r="K113" s="4">
        <f>+K108+K110+K111+K112+K119</f>
        <v>21.228000000000002</v>
      </c>
      <c r="L113" s="4">
        <f>+L108+L110+L111+L112+L119</f>
        <v>21.635000000000005</v>
      </c>
      <c r="M113" s="4">
        <f>+M108+M110+M111+M112+M119</f>
        <v>23.282999999999998</v>
      </c>
      <c r="N113" s="4">
        <f>+N108+N110+N111+N112+N119</f>
        <v>26.079000000000004</v>
      </c>
      <c r="O113" s="4">
        <f>+O108+O110+O111+O112+O119</f>
        <v>29.027999999999995</v>
      </c>
      <c r="P113" s="4">
        <f t="shared" ref="P113:U113" si="401">+P108+P110+P111+P112+P119</f>
        <v>28.034000000000002</v>
      </c>
      <c r="Q113" s="4">
        <f t="shared" si="401"/>
        <v>31.828000000000007</v>
      </c>
      <c r="R113" s="4">
        <f t="shared" si="401"/>
        <v>39.131</v>
      </c>
      <c r="S113" s="4">
        <f t="shared" si="401"/>
        <v>41.047000000000004</v>
      </c>
      <c r="T113" s="4">
        <f t="shared" si="401"/>
        <v>43.010999999999996</v>
      </c>
      <c r="U113" s="4">
        <f t="shared" si="401"/>
        <v>45.613000000000014</v>
      </c>
      <c r="V113" s="4">
        <f t="shared" ref="V113:AA113" si="402">+V108+V110+V111+V112+V119</f>
        <v>47.30599999999999</v>
      </c>
      <c r="W113" s="4">
        <f t="shared" si="402"/>
        <v>48.404000000000003</v>
      </c>
      <c r="X113" s="4">
        <f t="shared" si="402"/>
        <v>48.281000000000013</v>
      </c>
      <c r="Y113" s="4">
        <f t="shared" si="402"/>
        <v>49.245999999999995</v>
      </c>
      <c r="Z113" s="4">
        <f t="shared" si="402"/>
        <v>52.948999999999984</v>
      </c>
      <c r="AA113" s="4">
        <f t="shared" si="402"/>
        <v>57.49799999999999</v>
      </c>
      <c r="AB113" s="4">
        <f t="shared" ref="AB113:AM113" ca="1" si="403">+AB108+AB110+AB111+AB112+AB119</f>
        <v>53.436455589083678</v>
      </c>
      <c r="AC113" s="4">
        <f t="shared" ca="1" si="403"/>
        <v>54.287944811453109</v>
      </c>
      <c r="AD113" s="4">
        <f t="shared" ca="1" si="403"/>
        <v>55.619805452320023</v>
      </c>
      <c r="AE113" s="4">
        <f t="shared" ca="1" si="403"/>
        <v>58.420178957902628</v>
      </c>
      <c r="AF113" s="4">
        <f t="shared" ca="1" si="403"/>
        <v>59.603854735476894</v>
      </c>
      <c r="AG113" s="4">
        <f t="shared" ca="1" si="403"/>
        <v>59.643318348835102</v>
      </c>
      <c r="AH113" s="4">
        <f t="shared" ca="1" si="403"/>
        <v>61.587547356390765</v>
      </c>
      <c r="AI113" s="4">
        <f t="shared" ca="1" si="403"/>
        <v>65.16846004296886</v>
      </c>
      <c r="AJ113" s="4">
        <f t="shared" ca="1" si="403"/>
        <v>66.436639161830954</v>
      </c>
      <c r="AK113" s="4">
        <f t="shared" ca="1" si="403"/>
        <v>66.320903910338401</v>
      </c>
      <c r="AL113" s="4">
        <f t="shared" ca="1" si="403"/>
        <v>68.39708300960271</v>
      </c>
      <c r="AM113" s="4">
        <f t="shared" ca="1" si="403"/>
        <v>72.298773362836158</v>
      </c>
      <c r="AN113" s="4">
        <f t="shared" ref="AN113:AY113" ca="1" si="404">+AN108+AN110+AN111+AN112+AN119</f>
        <v>73.698178226985902</v>
      </c>
      <c r="AO113" s="4">
        <f t="shared" ca="1" si="404"/>
        <v>73.593231654104855</v>
      </c>
      <c r="AP113" s="4">
        <f t="shared" ca="1" si="404"/>
        <v>75.87620181066923</v>
      </c>
      <c r="AQ113" s="4">
        <f t="shared" ca="1" si="404"/>
        <v>80.138142922844679</v>
      </c>
      <c r="AR113" s="4">
        <f t="shared" ca="1" si="404"/>
        <v>81.66229903151536</v>
      </c>
      <c r="AS113" s="4">
        <f t="shared" ca="1" si="404"/>
        <v>81.560028096575479</v>
      </c>
      <c r="AT113" s="4">
        <f t="shared" ca="1" si="404"/>
        <v>84.05190140786172</v>
      </c>
      <c r="AU113" s="4">
        <f t="shared" ca="1" si="404"/>
        <v>88.682554640231615</v>
      </c>
      <c r="AV113" s="4">
        <f t="shared" ca="1" si="404"/>
        <v>90.320360477828331</v>
      </c>
      <c r="AW113" s="4">
        <f t="shared" ca="1" si="404"/>
        <v>90.205435927170626</v>
      </c>
      <c r="AX113" s="4">
        <f t="shared" ca="1" si="404"/>
        <v>92.903597899043149</v>
      </c>
      <c r="AY113" s="4">
        <f t="shared" ca="1" si="404"/>
        <v>97.908169553386699</v>
      </c>
      <c r="AZ113" s="54"/>
      <c r="BA113" s="4">
        <f>+BA108+BA110+BA111+BA112</f>
        <v>34.856999999999999</v>
      </c>
      <c r="BB113" s="24">
        <f>+BB108+BB110+BB111+BB112</f>
        <v>42.305999999999976</v>
      </c>
      <c r="BC113" s="4">
        <f t="shared" ref="BC113:BK113" si="405">+BC108+BC110+BC111+BC112+BC119</f>
        <v>55.533000000000001</v>
      </c>
      <c r="BD113" s="4">
        <f t="shared" si="405"/>
        <v>78.646999999999991</v>
      </c>
      <c r="BE113" s="4">
        <f t="shared" si="405"/>
        <v>100.02499999999998</v>
      </c>
      <c r="BF113" s="4">
        <f t="shared" si="405"/>
        <v>140.03999999999996</v>
      </c>
      <c r="BG113" s="4">
        <f t="shared" si="405"/>
        <v>184.33400000000009</v>
      </c>
      <c r="BH113" s="4">
        <f t="shared" si="405"/>
        <v>207.97400000000005</v>
      </c>
      <c r="BI113" s="24">
        <f t="shared" ca="1" si="405"/>
        <v>221.7643848107594</v>
      </c>
      <c r="BJ113" s="4">
        <f t="shared" ca="1" si="405"/>
        <v>246.00318048367163</v>
      </c>
      <c r="BK113" s="4">
        <f t="shared" ca="1" si="405"/>
        <v>273.45339944460818</v>
      </c>
      <c r="BL113" s="4">
        <f t="shared" ref="BL113:BN113" ca="1" si="406">+BL108+BL110+BL111+BL112+BL119</f>
        <v>303.30575461460461</v>
      </c>
      <c r="BM113" s="4">
        <f t="shared" ca="1" si="406"/>
        <v>335.9567831761841</v>
      </c>
      <c r="BN113" s="4">
        <f t="shared" ca="1" si="406"/>
        <v>371.33756385742879</v>
      </c>
      <c r="BO113" s="24"/>
    </row>
    <row r="114" spans="1:271" s="58" customFormat="1">
      <c r="B114" s="309" t="s">
        <v>112</v>
      </c>
      <c r="C114" s="10"/>
      <c r="D114" s="310">
        <f t="shared" ref="D114:L114" si="407">+D113/D$86</f>
        <v>0.36088098605778951</v>
      </c>
      <c r="E114" s="310">
        <f t="shared" si="407"/>
        <v>0.40205511188639648</v>
      </c>
      <c r="F114" s="310">
        <f t="shared" si="407"/>
        <v>0.36936613890880998</v>
      </c>
      <c r="G114" s="306">
        <f t="shared" si="407"/>
        <v>0.38472218583815793</v>
      </c>
      <c r="H114" s="310">
        <f t="shared" si="407"/>
        <v>0.40382669044291281</v>
      </c>
      <c r="I114" s="310">
        <f t="shared" si="407"/>
        <v>0.41197019096413601</v>
      </c>
      <c r="J114" s="310">
        <f t="shared" si="407"/>
        <v>0.42794437201216873</v>
      </c>
      <c r="K114" s="310">
        <f t="shared" si="407"/>
        <v>0.44757426890720869</v>
      </c>
      <c r="L114" s="310">
        <f t="shared" si="407"/>
        <v>0.44204482765666187</v>
      </c>
      <c r="M114" s="310">
        <f>+M113/M$86</f>
        <v>0.45352370563714989</v>
      </c>
      <c r="N114" s="310">
        <f>+N113/N$86</f>
        <v>0.45006471654154812</v>
      </c>
      <c r="O114" s="310">
        <f>+O113/O$86</f>
        <v>0.48734952907006024</v>
      </c>
      <c r="P114" s="310">
        <f t="shared" ref="P114:U114" si="408">+P113/P$86</f>
        <v>0.45668393444759392</v>
      </c>
      <c r="Q114" s="310">
        <f t="shared" si="408"/>
        <v>0.46725487029669543</v>
      </c>
      <c r="R114" s="310">
        <f t="shared" si="408"/>
        <v>0.44021824727190911</v>
      </c>
      <c r="S114" s="310">
        <f t="shared" si="408"/>
        <v>0.44284173049951447</v>
      </c>
      <c r="T114" s="310">
        <f t="shared" si="408"/>
        <v>0.45385573189262196</v>
      </c>
      <c r="U114" s="310">
        <f t="shared" si="408"/>
        <v>0.46219866851763663</v>
      </c>
      <c r="V114" s="310">
        <f t="shared" ref="V114:AA114" si="409">+V113/V$86</f>
        <v>0.45721741651766296</v>
      </c>
      <c r="W114" s="310">
        <f t="shared" si="409"/>
        <v>0.45905370674203122</v>
      </c>
      <c r="X114" s="310">
        <f t="shared" si="409"/>
        <v>0.45563587633535924</v>
      </c>
      <c r="Y114" s="310">
        <f t="shared" si="409"/>
        <v>0.45653947417213631</v>
      </c>
      <c r="Z114" s="310">
        <f t="shared" si="409"/>
        <v>0.46541615758523991</v>
      </c>
      <c r="AA114" s="310">
        <f t="shared" si="409"/>
        <v>0.48353810833312305</v>
      </c>
      <c r="AB114" s="306">
        <f t="shared" ref="AB114:AM114" ca="1" si="410">+AB113/AB$86</f>
        <v>0.52891240008903539</v>
      </c>
      <c r="AC114" s="310">
        <f t="shared" ca="1" si="410"/>
        <v>0.52860839318487685</v>
      </c>
      <c r="AD114" s="310">
        <f t="shared" ca="1" si="410"/>
        <v>0.53184996939715179</v>
      </c>
      <c r="AE114" s="310">
        <f t="shared" ca="1" si="410"/>
        <v>0.55209165342146638</v>
      </c>
      <c r="AF114" s="310">
        <f t="shared" ca="1" si="410"/>
        <v>0.55831240008903549</v>
      </c>
      <c r="AG114" s="310">
        <f t="shared" ca="1" si="410"/>
        <v>0.54280839318487695</v>
      </c>
      <c r="AH114" s="310">
        <f t="shared" ca="1" si="410"/>
        <v>0.54554996939715195</v>
      </c>
      <c r="AI114" s="310">
        <f t="shared" ca="1" si="410"/>
        <v>0.56529165342146637</v>
      </c>
      <c r="AJ114" s="310">
        <f t="shared" ca="1" si="410"/>
        <v>0.56901240008903531</v>
      </c>
      <c r="AK114" s="310">
        <f t="shared" ca="1" si="410"/>
        <v>0.55350839318487688</v>
      </c>
      <c r="AL114" s="310">
        <f t="shared" ca="1" si="410"/>
        <v>0.55624996939715188</v>
      </c>
      <c r="AM114" s="310">
        <f t="shared" ca="1" si="410"/>
        <v>0.57599165342146652</v>
      </c>
      <c r="AN114" s="310">
        <f t="shared" ref="AN114:AY114" ca="1" si="411">+AN113/AN$86</f>
        <v>0.57971240008903546</v>
      </c>
      <c r="AO114" s="310">
        <f t="shared" ca="1" si="411"/>
        <v>0.56420839318487681</v>
      </c>
      <c r="AP114" s="310">
        <f t="shared" ca="1" si="411"/>
        <v>0.56694996939715203</v>
      </c>
      <c r="AQ114" s="310">
        <f t="shared" ca="1" si="411"/>
        <v>0.58669165342146645</v>
      </c>
      <c r="AR114" s="310">
        <f t="shared" ca="1" si="411"/>
        <v>0.59041240008903551</v>
      </c>
      <c r="AS114" s="310">
        <f t="shared" ca="1" si="411"/>
        <v>0.57490839318487685</v>
      </c>
      <c r="AT114" s="310">
        <f t="shared" ca="1" si="411"/>
        <v>0.57764996939715207</v>
      </c>
      <c r="AU114" s="310">
        <f t="shared" ca="1" si="411"/>
        <v>0.59739165342146638</v>
      </c>
      <c r="AV114" s="310">
        <f t="shared" ca="1" si="411"/>
        <v>0.60111240008903544</v>
      </c>
      <c r="AW114" s="310">
        <f t="shared" ca="1" si="411"/>
        <v>0.58560839318487679</v>
      </c>
      <c r="AX114" s="310">
        <f t="shared" ca="1" si="411"/>
        <v>0.5883499693971519</v>
      </c>
      <c r="AY114" s="310">
        <f t="shared" ca="1" si="411"/>
        <v>0.60809165342146643</v>
      </c>
      <c r="AZ114" s="311"/>
      <c r="BA114" s="310">
        <f t="shared" ref="BA114:BG114" si="412">+BA113/BA$86</f>
        <v>0.29010028712912489</v>
      </c>
      <c r="BB114" s="306">
        <f t="shared" si="412"/>
        <v>0.32444246756035444</v>
      </c>
      <c r="BC114" s="310">
        <f t="shared" si="412"/>
        <v>0.38099191130564841</v>
      </c>
      <c r="BD114" s="310">
        <f t="shared" si="412"/>
        <v>0.44211774890801459</v>
      </c>
      <c r="BE114" s="310">
        <f t="shared" si="412"/>
        <v>0.45927480267598447</v>
      </c>
      <c r="BF114" s="310">
        <f t="shared" si="412"/>
        <v>0.4501692474355718</v>
      </c>
      <c r="BG114" s="310">
        <f t="shared" si="412"/>
        <v>0.45812860526440069</v>
      </c>
      <c r="BH114" s="310">
        <f>+BH113/BH$86</f>
        <v>0.46577680231125845</v>
      </c>
      <c r="BI114" s="306">
        <f ca="1">+BI113/BI$86</f>
        <v>0.53550153114099075</v>
      </c>
      <c r="BJ114" s="310">
        <f ca="1">+BJ113/BJ$86</f>
        <v>0.55305231382781939</v>
      </c>
      <c r="BK114" s="310">
        <f ca="1">+BK113/BK$86</f>
        <v>0.56375340731548573</v>
      </c>
      <c r="BL114" s="310">
        <f t="shared" ref="BL114:BN114" ca="1" si="413">+BL113/BL$86</f>
        <v>0.57445285545400981</v>
      </c>
      <c r="BM114" s="310">
        <f t="shared" ca="1" si="413"/>
        <v>0.58515155171680522</v>
      </c>
      <c r="BN114" s="310">
        <f t="shared" ca="1" si="413"/>
        <v>0.59584973757572113</v>
      </c>
      <c r="BO114" s="306"/>
      <c r="BQ114" s="312"/>
      <c r="BR114"/>
      <c r="BS114"/>
      <c r="BT114"/>
      <c r="BU114"/>
      <c r="BV114"/>
      <c r="BW114"/>
    </row>
    <row r="115" spans="1:271">
      <c r="C115" s="4"/>
      <c r="D115" s="4"/>
      <c r="E115" s="4"/>
      <c r="F115" s="4"/>
      <c r="G115" s="2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54"/>
      <c r="BA115" s="4"/>
      <c r="BB115" s="24"/>
      <c r="BC115" s="4"/>
      <c r="BD115" s="4"/>
      <c r="BE115" s="4"/>
      <c r="BF115" s="4"/>
      <c r="BG115" s="4"/>
      <c r="BH115" s="4"/>
      <c r="BI115" s="24"/>
      <c r="BJ115" s="4"/>
      <c r="BK115" s="4"/>
      <c r="BL115" s="4"/>
      <c r="BM115" s="4"/>
      <c r="BN115" s="4"/>
      <c r="BO115" s="24"/>
    </row>
    <row r="116" spans="1:271">
      <c r="B116" t="s">
        <v>10</v>
      </c>
      <c r="C116" s="4"/>
      <c r="D116" s="7">
        <f>16.394-E116</f>
        <v>7.7509999999999977</v>
      </c>
      <c r="E116" s="7">
        <v>8.6430000000000007</v>
      </c>
      <c r="F116" s="7">
        <v>8.9019999999999992</v>
      </c>
      <c r="G116" s="28">
        <f>34.932-D116-E116-F116</f>
        <v>9.6360000000000046</v>
      </c>
      <c r="H116" s="7">
        <f>22.061-I116</f>
        <v>10.815</v>
      </c>
      <c r="I116" s="7">
        <v>11.246</v>
      </c>
      <c r="J116" s="7">
        <v>12.135999999999999</v>
      </c>
      <c r="K116" s="7">
        <v>13.161</v>
      </c>
      <c r="L116" s="7">
        <v>13.247</v>
      </c>
      <c r="M116" s="7">
        <v>13.817</v>
      </c>
      <c r="N116" s="7">
        <v>15.21</v>
      </c>
      <c r="O116" s="7">
        <v>16.007999999999999</v>
      </c>
      <c r="P116" s="7">
        <v>16.242999999999999</v>
      </c>
      <c r="Q116" s="7">
        <v>18.062000000000001</v>
      </c>
      <c r="R116" s="7">
        <v>24.486000000000001</v>
      </c>
      <c r="S116" s="7">
        <v>27.02</v>
      </c>
      <c r="T116" s="7">
        <v>28.638999999999999</v>
      </c>
      <c r="U116" s="7">
        <v>30.355</v>
      </c>
      <c r="V116" s="7">
        <v>32.698999999999998</v>
      </c>
      <c r="W116" s="7">
        <v>33.093000000000004</v>
      </c>
      <c r="X116" s="7">
        <v>33.948</v>
      </c>
      <c r="Y116" s="7">
        <v>34.527000000000001</v>
      </c>
      <c r="Z116" s="7">
        <v>35.308999999999997</v>
      </c>
      <c r="AA116" s="7">
        <v>37.14</v>
      </c>
      <c r="AB116" s="4">
        <f t="shared" ref="AB116:AY116" ca="1" si="414">+AB350</f>
        <v>39.345556618169361</v>
      </c>
      <c r="AC116" s="4">
        <f ca="1">+AC350</f>
        <v>41.587546571974023</v>
      </c>
      <c r="AD116" s="4">
        <f t="shared" ca="1" si="414"/>
        <v>43.870539902786668</v>
      </c>
      <c r="AE116" s="4">
        <f t="shared" ca="1" si="414"/>
        <v>46.180561378683755</v>
      </c>
      <c r="AF116" s="4">
        <f ca="1">+AF350</f>
        <v>47.415761311956082</v>
      </c>
      <c r="AG116" s="4">
        <f t="shared" ca="1" si="414"/>
        <v>48.615121321691603</v>
      </c>
      <c r="AH116" s="4">
        <f t="shared" ca="1" si="414"/>
        <v>49.77341996419009</v>
      </c>
      <c r="AI116" s="4">
        <f t="shared" ca="1" si="414"/>
        <v>50.880762233056792</v>
      </c>
      <c r="AJ116" s="4">
        <f t="shared" ca="1" si="414"/>
        <v>51.925805078939746</v>
      </c>
      <c r="AK116" s="4">
        <f t="shared" ca="1" si="414"/>
        <v>52.919777051434671</v>
      </c>
      <c r="AL116" s="4">
        <f t="shared" ca="1" si="414"/>
        <v>53.859283879078326</v>
      </c>
      <c r="AM116" s="4">
        <f t="shared" ca="1" si="414"/>
        <v>54.818346796476312</v>
      </c>
      <c r="AN116" s="4">
        <f t="shared" ca="1" si="414"/>
        <v>55.789698537080241</v>
      </c>
      <c r="AO116" s="4">
        <f t="shared" ca="1" si="414"/>
        <v>56.786321047208567</v>
      </c>
      <c r="AP116" s="4">
        <f t="shared" ca="1" si="414"/>
        <v>57.808891423391337</v>
      </c>
      <c r="AQ116" s="4">
        <f t="shared" ca="1" si="414"/>
        <v>58.852557877984673</v>
      </c>
      <c r="AR116" s="4">
        <f t="shared" ca="1" si="414"/>
        <v>59.909371718997413</v>
      </c>
      <c r="AS116" s="4">
        <f t="shared" ca="1" si="414"/>
        <v>60.993326282179787</v>
      </c>
      <c r="AT116" s="4">
        <f t="shared" ca="1" si="414"/>
        <v>62.105096786981242</v>
      </c>
      <c r="AU116" s="4">
        <f t="shared" ca="1" si="414"/>
        <v>63.239353621945739</v>
      </c>
      <c r="AV116" s="4">
        <f t="shared" ca="1" si="414"/>
        <v>64.387407673574245</v>
      </c>
      <c r="AW116" s="4">
        <f t="shared" ca="1" si="414"/>
        <v>65.564357034283773</v>
      </c>
      <c r="AX116" s="4">
        <f t="shared" ca="1" si="414"/>
        <v>66.77086212426056</v>
      </c>
      <c r="AY116" s="4">
        <f t="shared" ca="1" si="414"/>
        <v>68.001080611603797</v>
      </c>
      <c r="AZ116" s="54"/>
      <c r="BA116" s="7">
        <v>19.085999999999999</v>
      </c>
      <c r="BB116" s="28">
        <v>26.164999999999999</v>
      </c>
      <c r="BC116" s="10">
        <f>+SUM(D116:G116)</f>
        <v>34.932000000000002</v>
      </c>
      <c r="BD116" s="4">
        <f>+SUM(H116:K116)</f>
        <v>47.358000000000004</v>
      </c>
      <c r="BE116" s="4">
        <f>+SUM(L116:O116)</f>
        <v>58.281999999999996</v>
      </c>
      <c r="BF116" s="4">
        <f>+SUM(P116:S116)</f>
        <v>85.810999999999993</v>
      </c>
      <c r="BG116" s="4">
        <f>+SUM(T116:W116)</f>
        <v>124.786</v>
      </c>
      <c r="BH116" s="4">
        <f>+SUM(X116:AA116)</f>
        <v>140.92399999999998</v>
      </c>
      <c r="BI116" s="24">
        <f ca="1">+SUM(AB116:AE116)</f>
        <v>170.98420447161382</v>
      </c>
      <c r="BJ116" s="4">
        <f ca="1">+SUM(AF116:AI116)</f>
        <v>196.68506483089456</v>
      </c>
      <c r="BK116" s="4">
        <f ca="1">+SUM(AJ116:AM116)</f>
        <v>213.52321280592906</v>
      </c>
      <c r="BL116" s="4">
        <f ca="1">+SUM(AN116:AQ116)</f>
        <v>229.23746888566484</v>
      </c>
      <c r="BM116" s="4">
        <f ca="1">+SUM(AR116:AU116)</f>
        <v>246.24714841010416</v>
      </c>
      <c r="BN116" s="4">
        <f ca="1">+SUM(AV116:AY116)</f>
        <v>264.72370744372239</v>
      </c>
      <c r="BO116" s="24"/>
    </row>
    <row r="117" spans="1:271">
      <c r="B117" t="s">
        <v>20</v>
      </c>
      <c r="C117" s="4"/>
      <c r="D117" s="7">
        <f>12.393-E117</f>
        <v>6.1020000000000003</v>
      </c>
      <c r="E117" s="7">
        <v>6.2910000000000004</v>
      </c>
      <c r="F117" s="7">
        <v>6.6459999999999999</v>
      </c>
      <c r="G117" s="28">
        <f>25.14-D117-E117-F117</f>
        <v>6.101</v>
      </c>
      <c r="H117" s="7">
        <f>11.634-I117</f>
        <v>6.5500000000000007</v>
      </c>
      <c r="I117" s="7">
        <v>5.0839999999999996</v>
      </c>
      <c r="J117" s="7">
        <v>4.343</v>
      </c>
      <c r="K117" s="7">
        <v>2.7469999999999999</v>
      </c>
      <c r="L117" s="7">
        <v>2.0649999999999999</v>
      </c>
      <c r="M117" s="7">
        <v>2.2080000000000002</v>
      </c>
      <c r="N117" s="7">
        <v>5.41</v>
      </c>
      <c r="O117" s="7">
        <v>5.625</v>
      </c>
      <c r="P117" s="7">
        <v>5.3419999999999996</v>
      </c>
      <c r="Q117" s="7">
        <v>4.7990000000000004</v>
      </c>
      <c r="R117" s="7">
        <v>5.4180000000000001</v>
      </c>
      <c r="S117" s="7">
        <v>5.73</v>
      </c>
      <c r="T117" s="7">
        <v>5.9809999999999999</v>
      </c>
      <c r="U117" s="7">
        <v>4.8739999999999997</v>
      </c>
      <c r="V117" s="7">
        <v>6.1790000000000003</v>
      </c>
      <c r="W117" s="7">
        <v>6.125</v>
      </c>
      <c r="X117" s="7">
        <v>6.8689999999999998</v>
      </c>
      <c r="Y117" s="7">
        <v>7.6470000000000002</v>
      </c>
      <c r="Z117" s="7">
        <v>7.9580000000000002</v>
      </c>
      <c r="AA117" s="7">
        <v>8.0489999999999995</v>
      </c>
      <c r="AB117" s="24">
        <f t="shared" ref="AB117:AY117" ca="1" si="415">IF($C$3=0,AB394,0)</f>
        <v>9.0399452941877314</v>
      </c>
      <c r="AC117" s="24">
        <f t="shared" ca="1" si="415"/>
        <v>11.186689346277904</v>
      </c>
      <c r="AD117" s="24">
        <f t="shared" ca="1" si="415"/>
        <v>11.770705583457161</v>
      </c>
      <c r="AE117" s="24">
        <f t="shared" ca="1" si="415"/>
        <v>12.617322448116743</v>
      </c>
      <c r="AF117" s="24">
        <f ca="1">IF($C$3=0,AF394,0)</f>
        <v>13.302128966992917</v>
      </c>
      <c r="AG117" s="24">
        <f t="shared" ca="1" si="415"/>
        <v>13.702042391915439</v>
      </c>
      <c r="AH117" s="24">
        <f t="shared" ca="1" si="415"/>
        <v>13.980358068114613</v>
      </c>
      <c r="AI117" s="24">
        <f t="shared" ca="1" si="415"/>
        <v>14.265405939482106</v>
      </c>
      <c r="AJ117" s="24">
        <f t="shared" ca="1" si="415"/>
        <v>14.423004745440224</v>
      </c>
      <c r="AK117" s="24">
        <f t="shared" ca="1" si="415"/>
        <v>14.661012252599482</v>
      </c>
      <c r="AL117" s="24">
        <f t="shared" ca="1" si="415"/>
        <v>14.873369424280245</v>
      </c>
      <c r="AM117" s="24">
        <f t="shared" ca="1" si="415"/>
        <v>15.056324103283371</v>
      </c>
      <c r="AN117" s="24">
        <f t="shared" ca="1" si="415"/>
        <v>14.999080704539452</v>
      </c>
      <c r="AO117" s="24">
        <f t="shared" ca="1" si="415"/>
        <v>15.14071957646965</v>
      </c>
      <c r="AP117" s="24">
        <f t="shared" ca="1" si="415"/>
        <v>15.293675120101813</v>
      </c>
      <c r="AQ117" s="24">
        <f t="shared" ca="1" si="415"/>
        <v>15.430424760660882</v>
      </c>
      <c r="AR117" s="24">
        <f t="shared" ca="1" si="415"/>
        <v>15.403239312541293</v>
      </c>
      <c r="AS117" s="24">
        <f t="shared" ca="1" si="415"/>
        <v>13.458682086493207</v>
      </c>
      <c r="AT117" s="24">
        <f t="shared" ca="1" si="415"/>
        <v>11.630370600825216</v>
      </c>
      <c r="AU117" s="24">
        <f t="shared" ca="1" si="415"/>
        <v>11.82031641486758</v>
      </c>
      <c r="AV117" s="24">
        <f t="shared" ca="1" si="415"/>
        <v>11.819963177892571</v>
      </c>
      <c r="AW117" s="24">
        <f t="shared" ca="1" si="415"/>
        <v>11.842293897964868</v>
      </c>
      <c r="AX117" s="24">
        <f t="shared" ca="1" si="415"/>
        <v>11.866237221618725</v>
      </c>
      <c r="AY117" s="24">
        <f t="shared" ca="1" si="415"/>
        <v>11.888030407163832</v>
      </c>
      <c r="AZ117" s="54"/>
      <c r="BA117" s="7">
        <v>23.501999999999999</v>
      </c>
      <c r="BB117" s="28">
        <v>19.713000000000001</v>
      </c>
      <c r="BC117" s="10">
        <f>+SUM(D117:G117)</f>
        <v>25.14</v>
      </c>
      <c r="BD117" s="4">
        <f>+SUM(H117:K117)</f>
        <v>18.724</v>
      </c>
      <c r="BE117" s="4">
        <f>+SUM(L117:O117)</f>
        <v>15.308</v>
      </c>
      <c r="BF117" s="4">
        <f>+SUM(P117:S117)</f>
        <v>21.289000000000001</v>
      </c>
      <c r="BG117" s="4">
        <f>+SUM(T117:W117)</f>
        <v>23.158999999999999</v>
      </c>
      <c r="BH117" s="4">
        <f>+SUM(X117:AA117)</f>
        <v>30.523</v>
      </c>
      <c r="BI117" s="24">
        <f ca="1">+SUM(AB117:AE117)</f>
        <v>44.614662672039536</v>
      </c>
      <c r="BJ117" s="4">
        <f ca="1">+SUM(AF117:AI117)</f>
        <v>55.249935366505078</v>
      </c>
      <c r="BK117" s="4">
        <f ca="1">+SUM(AJ117:AM117)</f>
        <v>59.013710525603329</v>
      </c>
      <c r="BL117" s="4">
        <f ca="1">+SUM(AN117:AQ117)</f>
        <v>60.863900161771795</v>
      </c>
      <c r="BM117" s="4">
        <f ca="1">+SUM(AR117:AU117)</f>
        <v>52.312608414727293</v>
      </c>
      <c r="BN117" s="4">
        <f ca="1">+SUM(AV117:AY117)</f>
        <v>47.416524704639997</v>
      </c>
      <c r="BO117" s="24"/>
    </row>
    <row r="118" spans="1:271">
      <c r="B118" t="s">
        <v>21</v>
      </c>
      <c r="C118" s="4"/>
      <c r="D118" s="7">
        <f>-0.046-E118</f>
        <v>-3.5000000000000003E-2</v>
      </c>
      <c r="E118" s="7">
        <v>-1.0999999999999999E-2</v>
      </c>
      <c r="F118" s="7">
        <v>-8.0000000000000002E-3</v>
      </c>
      <c r="G118" s="28">
        <f>-0.061-D118-E118-F118</f>
        <v>-6.9999999999999958E-3</v>
      </c>
      <c r="H118" s="7">
        <f>-0.013-I118</f>
        <v>-5.9999999999999993E-3</v>
      </c>
      <c r="I118" s="7">
        <v>-7.0000000000000001E-3</v>
      </c>
      <c r="J118" s="7">
        <v>-4.0000000000000001E-3</v>
      </c>
      <c r="K118" s="7">
        <v>-1E-3</v>
      </c>
      <c r="L118" s="7">
        <v>-8.0000000000000002E-3</v>
      </c>
      <c r="M118" s="7">
        <v>0</v>
      </c>
      <c r="N118" s="7">
        <v>0</v>
      </c>
      <c r="O118" s="7">
        <v>0</v>
      </c>
      <c r="P118" s="7">
        <v>0</v>
      </c>
      <c r="Q118" s="7">
        <v>-1E-3</v>
      </c>
      <c r="R118" s="7">
        <v>-1E-3</v>
      </c>
      <c r="S118" s="7">
        <v>0</v>
      </c>
      <c r="T118" s="7">
        <v>0</v>
      </c>
      <c r="U118" s="7">
        <v>-2E-3</v>
      </c>
      <c r="V118" s="7">
        <v>-1E-3</v>
      </c>
      <c r="W118" s="7"/>
      <c r="X118" s="7">
        <v>-1E-3</v>
      </c>
      <c r="Y118" s="7">
        <v>0</v>
      </c>
      <c r="Z118" s="7">
        <v>-6.5000000000000002E-2</v>
      </c>
      <c r="AA118" s="7">
        <v>-1E-3</v>
      </c>
      <c r="AB118" s="313">
        <f ca="1">-AB397</f>
        <v>-6.033325891849918E-2</v>
      </c>
      <c r="AC118" s="313">
        <f t="shared" ref="AC118:AM118" ca="1" si="416">-AC397</f>
        <v>-3.749999999999995E-2</v>
      </c>
      <c r="AD118" s="313">
        <f t="shared" ca="1" si="416"/>
        <v>-3.7500000000000089E-2</v>
      </c>
      <c r="AE118" s="313">
        <f t="shared" ca="1" si="416"/>
        <v>-3.7499999999999895E-2</v>
      </c>
      <c r="AF118" s="313">
        <f t="shared" ca="1" si="416"/>
        <v>-3.7499999999999631E-2</v>
      </c>
      <c r="AG118" s="313">
        <f t="shared" ca="1" si="416"/>
        <v>-3.7500000000000269E-2</v>
      </c>
      <c r="AH118" s="313">
        <f t="shared" ca="1" si="416"/>
        <v>-3.7500000000000033E-2</v>
      </c>
      <c r="AI118" s="313">
        <f t="shared" ca="1" si="416"/>
        <v>-3.7500000000000033E-2</v>
      </c>
      <c r="AJ118" s="313">
        <f t="shared" ca="1" si="416"/>
        <v>-3.7500000000000033E-2</v>
      </c>
      <c r="AK118" s="313">
        <f t="shared" ca="1" si="416"/>
        <v>-3.74999999999997E-2</v>
      </c>
      <c r="AL118" s="313">
        <f t="shared" ca="1" si="416"/>
        <v>-3.7500000000000477E-2</v>
      </c>
      <c r="AM118" s="313">
        <f t="shared" ca="1" si="416"/>
        <v>-3.7499999999999485E-2</v>
      </c>
      <c r="AN118" s="313">
        <f t="shared" ref="AN118:AY118" ca="1" si="417">-AN397</f>
        <v>-3.7500000000000554E-2</v>
      </c>
      <c r="AO118" s="313">
        <f t="shared" ca="1" si="417"/>
        <v>-3.749999999999945E-2</v>
      </c>
      <c r="AP118" s="313">
        <f t="shared" ca="1" si="417"/>
        <v>-3.7499999999999985E-2</v>
      </c>
      <c r="AQ118" s="313">
        <f t="shared" ca="1" si="417"/>
        <v>-3.7500000000000693E-2</v>
      </c>
      <c r="AR118" s="313">
        <f t="shared" ca="1" si="417"/>
        <v>-3.7499999999999305E-2</v>
      </c>
      <c r="AS118" s="313">
        <f t="shared" ca="1" si="417"/>
        <v>1.1649999999999998</v>
      </c>
      <c r="AT118" s="313">
        <f t="shared" ca="1" si="417"/>
        <v>-3.7500000000000144E-2</v>
      </c>
      <c r="AU118" s="313">
        <f t="shared" ca="1" si="417"/>
        <v>-0.63500878506104474</v>
      </c>
      <c r="AV118" s="313">
        <f t="shared" ca="1" si="417"/>
        <v>-0.59766928564007327</v>
      </c>
      <c r="AW118" s="313">
        <f t="shared" ca="1" si="417"/>
        <v>-0.57599394181072849</v>
      </c>
      <c r="AX118" s="313">
        <f t="shared" ca="1" si="417"/>
        <v>-0.55755021987734898</v>
      </c>
      <c r="AY118" s="313">
        <f t="shared" ca="1" si="417"/>
        <v>-0.54760841095914925</v>
      </c>
      <c r="AZ118" s="54"/>
      <c r="BA118" s="7">
        <v>-0.23300000000000001</v>
      </c>
      <c r="BB118" s="28">
        <v>-7.0999999999999994E-2</v>
      </c>
      <c r="BC118" s="10">
        <f>+SUM(D118:G118)</f>
        <v>-6.0999999999999999E-2</v>
      </c>
      <c r="BD118" s="4">
        <f>+SUM(H118:K118)</f>
        <v>-1.8000000000000002E-2</v>
      </c>
      <c r="BE118" s="4">
        <f>+SUM(L118:O118)</f>
        <v>-8.0000000000000002E-3</v>
      </c>
      <c r="BF118" s="4">
        <f>+SUM(P118:S118)</f>
        <v>-2E-3</v>
      </c>
      <c r="BG118" s="4">
        <f>+SUM(T118:W118)</f>
        <v>-3.0000000000000001E-3</v>
      </c>
      <c r="BH118" s="4">
        <f>+SUM(X118:AA118)</f>
        <v>-6.7000000000000004E-2</v>
      </c>
      <c r="BI118" s="24">
        <f ca="1">+SUM(AB118:AE118)</f>
        <v>-0.17283325891849913</v>
      </c>
      <c r="BJ118" s="4">
        <f ca="1">+SUM(AF118:AI118)</f>
        <v>-0.14999999999999997</v>
      </c>
      <c r="BK118" s="4">
        <f ca="1">+SUM(AJ118:AM118)</f>
        <v>-0.14999999999999969</v>
      </c>
      <c r="BL118" s="4">
        <f ca="1">+SUM(AN118:AQ118)</f>
        <v>-0.15000000000000069</v>
      </c>
      <c r="BM118" s="4">
        <f ca="1">+SUM(AR118:AU118)</f>
        <v>0.45499121493895578</v>
      </c>
      <c r="BN118" s="4">
        <f ca="1">+SUM(AV118:AY118)</f>
        <v>-2.2788218582872997</v>
      </c>
      <c r="BO118" s="24"/>
    </row>
    <row r="119" spans="1:271">
      <c r="B119" t="s">
        <v>22</v>
      </c>
      <c r="C119" s="4"/>
      <c r="D119" s="7">
        <f>1.434-E119</f>
        <v>1.4339999999999999</v>
      </c>
      <c r="E119" s="7"/>
      <c r="F119" s="7">
        <f>-0.948+0.404</f>
        <v>-0.54399999999999993</v>
      </c>
      <c r="G119" s="28">
        <f>1.151-0.948-D119-E119-F119</f>
        <v>-0.68699999999999994</v>
      </c>
      <c r="H119" s="7">
        <f>3.277-I119</f>
        <v>1.0980000000000003</v>
      </c>
      <c r="I119" s="7">
        <v>2.1789999999999998</v>
      </c>
      <c r="J119" s="7"/>
      <c r="K119" s="7">
        <f>0.066+0.153</f>
        <v>0.219</v>
      </c>
      <c r="L119" s="7">
        <v>6.4000000000000001E-2</v>
      </c>
      <c r="M119" s="7">
        <f>1.046+1.089+0.11</f>
        <v>2.2449999999999997</v>
      </c>
      <c r="N119" s="7">
        <f>0.47+0.226-0.195</f>
        <v>0.50099999999999989</v>
      </c>
      <c r="O119" s="7">
        <f>0.026+0.06+0.291</f>
        <v>0.377</v>
      </c>
      <c r="P119" s="7">
        <v>0.105</v>
      </c>
      <c r="Q119" s="7">
        <f>4.669+0.083</f>
        <v>4.7519999999999998</v>
      </c>
      <c r="R119" s="7">
        <v>1.482</v>
      </c>
      <c r="S119" s="7">
        <f>5.026+0.385</f>
        <v>5.4109999999999996</v>
      </c>
      <c r="T119" s="7">
        <v>2.0870000000000002</v>
      </c>
      <c r="U119" s="7">
        <v>3.8330000000000002</v>
      </c>
      <c r="V119" s="7">
        <f>3.465-0.001</f>
        <v>3.464</v>
      </c>
      <c r="W119" s="7">
        <f>1.521+0.193</f>
        <v>1.714</v>
      </c>
      <c r="X119" s="7">
        <v>0.33600000000000002</v>
      </c>
      <c r="Y119" s="7">
        <v>0.161</v>
      </c>
      <c r="Z119" s="7">
        <v>1.1140000000000001</v>
      </c>
      <c r="AA119" s="7">
        <f>19.992+9.449</f>
        <v>29.441000000000003</v>
      </c>
      <c r="AB119" s="7">
        <v>0</v>
      </c>
      <c r="AC119" s="7">
        <v>0</v>
      </c>
      <c r="AD119" s="7">
        <v>0</v>
      </c>
      <c r="AE119" s="7">
        <v>0</v>
      </c>
      <c r="AF119" s="7">
        <v>0</v>
      </c>
      <c r="AG119" s="7">
        <v>0</v>
      </c>
      <c r="AH119" s="7">
        <v>0</v>
      </c>
      <c r="AI119" s="7">
        <v>0</v>
      </c>
      <c r="AJ119" s="7">
        <v>0</v>
      </c>
      <c r="AK119" s="7">
        <v>0</v>
      </c>
      <c r="AL119" s="7">
        <v>0</v>
      </c>
      <c r="AM119" s="7">
        <v>0</v>
      </c>
      <c r="AN119" s="7">
        <v>0</v>
      </c>
      <c r="AO119" s="7">
        <v>0</v>
      </c>
      <c r="AP119" s="7">
        <v>0</v>
      </c>
      <c r="AQ119" s="7">
        <v>0</v>
      </c>
      <c r="AR119" s="7">
        <v>0</v>
      </c>
      <c r="AS119" s="7">
        <v>0</v>
      </c>
      <c r="AT119" s="7">
        <v>0</v>
      </c>
      <c r="AU119" s="7">
        <v>0</v>
      </c>
      <c r="AV119" s="7">
        <v>0</v>
      </c>
      <c r="AW119" s="7">
        <v>0</v>
      </c>
      <c r="AX119" s="7">
        <v>0</v>
      </c>
      <c r="AY119" s="7">
        <v>0</v>
      </c>
      <c r="AZ119" s="54"/>
      <c r="BA119" s="7">
        <v>-22.213999999999999</v>
      </c>
      <c r="BB119" s="28">
        <v>-0.13600000000000001</v>
      </c>
      <c r="BC119" s="10">
        <f>+SUM(D119:G119)</f>
        <v>0.20300000000000007</v>
      </c>
      <c r="BD119" s="4">
        <f>+SUM(H119:K119)</f>
        <v>3.496</v>
      </c>
      <c r="BE119" s="4">
        <f>+SUM(L119:O119)</f>
        <v>3.1869999999999994</v>
      </c>
      <c r="BF119" s="4">
        <f>+SUM(P119:S119)</f>
        <v>11.75</v>
      </c>
      <c r="BG119" s="4">
        <f>+SUM(T119:W119)</f>
        <v>11.098000000000001</v>
      </c>
      <c r="BH119" s="4">
        <f>+SUM(X119:AA119)</f>
        <v>31.052000000000003</v>
      </c>
      <c r="BI119" s="24">
        <f>+SUM(AB119:AE119)</f>
        <v>0</v>
      </c>
      <c r="BJ119" s="4">
        <f>+SUM(AF119:AI119)</f>
        <v>0</v>
      </c>
      <c r="BK119" s="4">
        <f>+SUM(AJ119:AM119)</f>
        <v>0</v>
      </c>
      <c r="BL119" s="4">
        <f>+SUM(AN119:AQ119)</f>
        <v>0</v>
      </c>
      <c r="BM119" s="4">
        <f>+SUM(AR119:AU119)</f>
        <v>0</v>
      </c>
      <c r="BN119" s="4">
        <f>+SUM(AV119:AY119)</f>
        <v>0</v>
      </c>
      <c r="BO119" s="24"/>
    </row>
    <row r="120" spans="1:271">
      <c r="C120" s="4"/>
      <c r="D120" s="7"/>
      <c r="E120" s="7"/>
      <c r="F120" s="7"/>
      <c r="G120" s="28"/>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54"/>
      <c r="BA120" s="7"/>
      <c r="BB120" s="28"/>
      <c r="BC120" s="10"/>
      <c r="BD120" s="4"/>
      <c r="BE120" s="4"/>
      <c r="BF120" s="4"/>
      <c r="BG120" s="4"/>
      <c r="BH120" s="4"/>
      <c r="BI120" s="24"/>
      <c r="BJ120" s="4"/>
      <c r="BK120" s="4"/>
      <c r="BL120" s="4"/>
      <c r="BM120" s="4"/>
      <c r="BN120" s="4"/>
      <c r="BO120" s="24"/>
    </row>
    <row r="121" spans="1:271" s="286" customFormat="1">
      <c r="A121" s="22"/>
      <c r="B121" s="22" t="s">
        <v>362</v>
      </c>
      <c r="C121" s="24"/>
      <c r="D121" s="39">
        <f t="shared" ref="D121:L121" si="418">+D108-SUM(D116:D118)</f>
        <v>-6.1359999999999948</v>
      </c>
      <c r="E121" s="39">
        <f t="shared" si="418"/>
        <v>-0.26599999999999824</v>
      </c>
      <c r="F121" s="39">
        <f t="shared" si="418"/>
        <v>-1.7570000000000014</v>
      </c>
      <c r="G121" s="39">
        <f t="shared" si="418"/>
        <v>-1.6080000000000076</v>
      </c>
      <c r="H121" s="39">
        <f t="shared" si="418"/>
        <v>-2.0740000000000069</v>
      </c>
      <c r="I121" s="39">
        <f t="shared" si="418"/>
        <v>-1.231999999999994</v>
      </c>
      <c r="J121" s="39">
        <f t="shared" si="418"/>
        <v>2.7090000000000067</v>
      </c>
      <c r="K121" s="39">
        <f t="shared" si="418"/>
        <v>4.4469999999999992</v>
      </c>
      <c r="L121" s="39">
        <f t="shared" si="418"/>
        <v>5.3560000000000034</v>
      </c>
      <c r="M121" s="39">
        <f t="shared" ref="M121:W121" si="419">+M108-SUM(M116:M118)</f>
        <v>3.9479999999999968</v>
      </c>
      <c r="N121" s="39">
        <f t="shared" si="419"/>
        <v>4.0330000000000013</v>
      </c>
      <c r="O121" s="39">
        <f t="shared" si="419"/>
        <v>5.7659999999999982</v>
      </c>
      <c r="P121" s="39">
        <f t="shared" si="419"/>
        <v>5.0370000000000061</v>
      </c>
      <c r="Q121" s="39">
        <f t="shared" si="419"/>
        <v>2.3850000000000087</v>
      </c>
      <c r="R121" s="39">
        <f t="shared" si="419"/>
        <v>5.6780000000000044</v>
      </c>
      <c r="S121" s="39">
        <f t="shared" si="419"/>
        <v>1.1280000000000001</v>
      </c>
      <c r="T121" s="39">
        <f t="shared" si="419"/>
        <v>4.2539999999999978</v>
      </c>
      <c r="U121" s="39">
        <f t="shared" si="419"/>
        <v>3.3530000000000157</v>
      </c>
      <c r="V121" s="39">
        <f t="shared" si="419"/>
        <v>2.3279999999999887</v>
      </c>
      <c r="W121" s="39">
        <f t="shared" si="419"/>
        <v>4.7740000000000009</v>
      </c>
      <c r="X121" s="39">
        <f>+X108-SUM(X116:X118)</f>
        <v>4.0470000000000113</v>
      </c>
      <c r="Y121" s="39">
        <f>+Y108-SUM(Y116:Y118)</f>
        <v>3.1789999999999949</v>
      </c>
      <c r="Z121" s="39">
        <f>+Z108-SUM(Z116:Z118)</f>
        <v>4.9399999999999906</v>
      </c>
      <c r="AA121" s="39">
        <f>+AA108-SUM(AA116:AA118)</f>
        <v>-20.487000000000016</v>
      </c>
      <c r="AB121" s="39">
        <f t="shared" ref="AB121:AM121" ca="1" si="420">+AB108-SUM(AB116:AB118)</f>
        <v>2.2599153615754304</v>
      </c>
      <c r="AC121" s="39">
        <f t="shared" ca="1" si="420"/>
        <v>-1.3472641593447889</v>
      </c>
      <c r="AD121" s="39">
        <f t="shared" ca="1" si="420"/>
        <v>-2.9354227724049764</v>
      </c>
      <c r="AE121" s="39">
        <f t="shared" ca="1" si="420"/>
        <v>-3.3266299362037586</v>
      </c>
      <c r="AF121" s="39">
        <f t="shared" ca="1" si="420"/>
        <v>-4.0895207181698723</v>
      </c>
      <c r="AG121" s="39">
        <f t="shared" ca="1" si="420"/>
        <v>-5.7374410343759692</v>
      </c>
      <c r="AH121" s="39">
        <f t="shared" ca="1" si="420"/>
        <v>-5.3148225447715944</v>
      </c>
      <c r="AI121" s="39">
        <f t="shared" ca="1" si="420"/>
        <v>-3.1938129753339695</v>
      </c>
      <c r="AJ121" s="39">
        <f t="shared" ca="1" si="420"/>
        <v>-3.1699015108836264</v>
      </c>
      <c r="AK121" s="39">
        <f t="shared" ca="1" si="420"/>
        <v>-4.6040158538349374</v>
      </c>
      <c r="AL121" s="39">
        <f t="shared" ca="1" si="420"/>
        <v>-3.7683741357090952</v>
      </c>
      <c r="AM121" s="39">
        <f t="shared" ca="1" si="420"/>
        <v>-1.0809366957591919</v>
      </c>
      <c r="AN121" s="39">
        <f t="shared" ref="AN121:AY121" ca="1" si="421">+AN108-SUM(AN116:AN118)</f>
        <v>-0.64103202069171061</v>
      </c>
      <c r="AO121" s="39">
        <f t="shared" ca="1" si="421"/>
        <v>-1.9775838939395243</v>
      </c>
      <c r="AP121" s="39">
        <f t="shared" ca="1" si="421"/>
        <v>-0.96598460116463514</v>
      </c>
      <c r="AQ121" s="39">
        <f t="shared" ca="1" si="421"/>
        <v>2.0376167650617845</v>
      </c>
      <c r="AR121" s="39">
        <f t="shared" ca="1" si="421"/>
        <v>2.4835813152927955</v>
      </c>
      <c r="AS121" s="39">
        <f t="shared" ca="1" si="421"/>
        <v>1.9391619863371687</v>
      </c>
      <c r="AT121" s="39">
        <f t="shared" ca="1" si="421"/>
        <v>6.2473311294095737</v>
      </c>
      <c r="AU121" s="39">
        <f t="shared" ca="1" si="421"/>
        <v>10.06823160389041</v>
      </c>
      <c r="AV121" s="39">
        <f t="shared" ca="1" si="421"/>
        <v>10.470033651056156</v>
      </c>
      <c r="AW121" s="39">
        <f t="shared" ca="1" si="421"/>
        <v>9.0274216125730504</v>
      </c>
      <c r="AX121" s="39">
        <f t="shared" ca="1" si="421"/>
        <v>10.367519958254761</v>
      </c>
      <c r="AY121" s="39">
        <f t="shared" ca="1" si="421"/>
        <v>14.022546756716324</v>
      </c>
      <c r="AZ121" s="54"/>
      <c r="BA121" s="28"/>
      <c r="BB121" s="28"/>
      <c r="BC121" s="39"/>
      <c r="BD121" s="24">
        <f t="shared" ref="BD121:BK121" si="422">+BD108-SUM(BD116:BD118)</f>
        <v>3.8499999999999943</v>
      </c>
      <c r="BE121" s="24">
        <f t="shared" si="422"/>
        <v>19.102999999999966</v>
      </c>
      <c r="BF121" s="24">
        <f t="shared" si="422"/>
        <v>14.227999999999966</v>
      </c>
      <c r="BG121" s="24">
        <f t="shared" si="422"/>
        <v>14.70900000000006</v>
      </c>
      <c r="BH121" s="24">
        <f t="shared" si="422"/>
        <v>-8.3209999999999127</v>
      </c>
      <c r="BI121" s="24">
        <f t="shared" ca="1" si="422"/>
        <v>-5.3494015063781717</v>
      </c>
      <c r="BJ121" s="24">
        <f t="shared" ca="1" si="422"/>
        <v>-18.33559727265137</v>
      </c>
      <c r="BK121" s="24">
        <f t="shared" ca="1" si="422"/>
        <v>-12.623228196186915</v>
      </c>
      <c r="BL121" s="24">
        <f t="shared" ref="BL121:BN121" ca="1" si="423">+BL108-SUM(BL116:BL118)</f>
        <v>-1.5469837507341708</v>
      </c>
      <c r="BM121" s="24">
        <f t="shared" ca="1" si="423"/>
        <v>20.738306034929963</v>
      </c>
      <c r="BN121" s="24">
        <f t="shared" ca="1" si="423"/>
        <v>43.887521978600319</v>
      </c>
      <c r="BO121" s="24"/>
      <c r="BP121" s="22"/>
      <c r="BQ121" s="230"/>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row>
    <row r="122" spans="1:271" s="286" customFormat="1">
      <c r="A122" s="22"/>
      <c r="B122" s="22" t="s">
        <v>363</v>
      </c>
      <c r="C122" s="24"/>
      <c r="D122" s="28"/>
      <c r="E122" s="28"/>
      <c r="F122" s="28"/>
      <c r="G122" s="28"/>
      <c r="H122" s="28"/>
      <c r="I122" s="28"/>
      <c r="J122" s="28"/>
      <c r="K122" s="28"/>
      <c r="L122" s="28">
        <v>-2.8000000000000001E-2</v>
      </c>
      <c r="M122" s="28">
        <v>-2.7E-2</v>
      </c>
      <c r="N122" s="28">
        <v>-2.7E-2</v>
      </c>
      <c r="O122" s="28">
        <v>8.2000000000000003E-2</v>
      </c>
      <c r="P122" s="28"/>
      <c r="Q122" s="28">
        <v>3.1349999999999998</v>
      </c>
      <c r="R122" s="28">
        <v>2.56</v>
      </c>
      <c r="S122" s="28">
        <f>4.37-0.164</f>
        <v>4.2060000000000004</v>
      </c>
      <c r="T122" s="28">
        <v>2.605</v>
      </c>
      <c r="U122" s="28">
        <v>2.4540000000000002</v>
      </c>
      <c r="V122" s="28">
        <v>4.21</v>
      </c>
      <c r="W122" s="28">
        <v>0.70699999999999996</v>
      </c>
      <c r="X122" s="28">
        <v>1.5209999999999999</v>
      </c>
      <c r="Y122" s="28">
        <v>1.429</v>
      </c>
      <c r="Z122" s="28">
        <v>2.4540000000000002</v>
      </c>
      <c r="AA122" s="28">
        <v>4.3739999999999997</v>
      </c>
      <c r="AB122" s="28">
        <v>3.5</v>
      </c>
      <c r="AC122" s="28">
        <f t="shared" ref="AC122:AM122" si="424">+AB122</f>
        <v>3.5</v>
      </c>
      <c r="AD122" s="28">
        <f t="shared" si="424"/>
        <v>3.5</v>
      </c>
      <c r="AE122" s="28">
        <f t="shared" si="424"/>
        <v>3.5</v>
      </c>
      <c r="AF122" s="28">
        <f t="shared" si="424"/>
        <v>3.5</v>
      </c>
      <c r="AG122" s="28">
        <f t="shared" si="424"/>
        <v>3.5</v>
      </c>
      <c r="AH122" s="28">
        <f t="shared" si="424"/>
        <v>3.5</v>
      </c>
      <c r="AI122" s="28">
        <f t="shared" si="424"/>
        <v>3.5</v>
      </c>
      <c r="AJ122" s="28">
        <f t="shared" si="424"/>
        <v>3.5</v>
      </c>
      <c r="AK122" s="28">
        <f t="shared" si="424"/>
        <v>3.5</v>
      </c>
      <c r="AL122" s="28">
        <f t="shared" si="424"/>
        <v>3.5</v>
      </c>
      <c r="AM122" s="28">
        <f t="shared" si="424"/>
        <v>3.5</v>
      </c>
      <c r="AN122" s="28">
        <f t="shared" ref="AN122" si="425">+AM122</f>
        <v>3.5</v>
      </c>
      <c r="AO122" s="28">
        <f t="shared" ref="AO122" si="426">+AN122</f>
        <v>3.5</v>
      </c>
      <c r="AP122" s="28">
        <f t="shared" ref="AP122" si="427">+AO122</f>
        <v>3.5</v>
      </c>
      <c r="AQ122" s="28">
        <f t="shared" ref="AQ122" si="428">+AP122</f>
        <v>3.5</v>
      </c>
      <c r="AR122" s="28">
        <f t="shared" ref="AR122" si="429">+AQ122</f>
        <v>3.5</v>
      </c>
      <c r="AS122" s="28">
        <f t="shared" ref="AS122" si="430">+AR122</f>
        <v>3.5</v>
      </c>
      <c r="AT122" s="28">
        <f t="shared" ref="AT122" si="431">+AS122</f>
        <v>3.5</v>
      </c>
      <c r="AU122" s="28">
        <f t="shared" ref="AU122" si="432">+AT122</f>
        <v>3.5</v>
      </c>
      <c r="AV122" s="28">
        <f t="shared" ref="AV122" si="433">+AU122</f>
        <v>3.5</v>
      </c>
      <c r="AW122" s="28">
        <f t="shared" ref="AW122" si="434">+AV122</f>
        <v>3.5</v>
      </c>
      <c r="AX122" s="28">
        <f t="shared" ref="AX122" si="435">+AW122</f>
        <v>3.5</v>
      </c>
      <c r="AY122" s="28">
        <f t="shared" ref="AY122" si="436">+AX122</f>
        <v>3.5</v>
      </c>
      <c r="AZ122" s="54"/>
      <c r="BA122" s="28"/>
      <c r="BB122" s="28"/>
      <c r="BC122" s="39"/>
      <c r="BD122" s="24">
        <f>+SUM(H122:K122)</f>
        <v>0</v>
      </c>
      <c r="BE122" s="24">
        <f>+SUM(L122:O122)</f>
        <v>0</v>
      </c>
      <c r="BF122" s="24">
        <f>+SUM(P122:S122)</f>
        <v>9.9009999999999998</v>
      </c>
      <c r="BG122" s="24">
        <f>+SUM(T122:W122)</f>
        <v>9.9760000000000009</v>
      </c>
      <c r="BH122" s="24">
        <f>+SUM(X122:AA122)</f>
        <v>9.7779999999999987</v>
      </c>
      <c r="BI122" s="24">
        <f>+SUM(AB122:AE122)</f>
        <v>14</v>
      </c>
      <c r="BJ122" s="24">
        <f>+SUM(AF122:AI122)</f>
        <v>14</v>
      </c>
      <c r="BK122" s="24">
        <f>+SUM(AJ122:AM122)</f>
        <v>14</v>
      </c>
      <c r="BL122" s="24">
        <f>+SUM(AN122:AQ122)</f>
        <v>14</v>
      </c>
      <c r="BM122" s="24">
        <f>+SUM(AR122:AU122)</f>
        <v>14</v>
      </c>
      <c r="BN122" s="24">
        <f>+SUM(AV122:AY122)</f>
        <v>14</v>
      </c>
      <c r="BO122" s="24"/>
      <c r="BP122" s="22"/>
      <c r="BQ122" s="230"/>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row>
    <row r="123" spans="1:271" s="286" customFormat="1">
      <c r="A123" s="22"/>
      <c r="B123" s="22"/>
      <c r="C123" s="24"/>
      <c r="D123" s="28"/>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54"/>
      <c r="BA123" s="28"/>
      <c r="BB123" s="28"/>
      <c r="BC123" s="39"/>
      <c r="BD123" s="24"/>
      <c r="BE123" s="24"/>
      <c r="BF123" s="24"/>
      <c r="BG123" s="24"/>
      <c r="BH123" s="24"/>
      <c r="BI123" s="24"/>
      <c r="BJ123" s="24"/>
      <c r="BK123" s="24"/>
      <c r="BL123" s="24"/>
      <c r="BM123" s="24"/>
      <c r="BN123" s="24"/>
      <c r="BO123" s="22"/>
      <c r="BP123" s="22"/>
      <c r="BQ123" s="230"/>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row>
    <row r="124" spans="1:271" s="22" customFormat="1">
      <c r="A124" s="393"/>
      <c r="B124" s="314" t="s">
        <v>538</v>
      </c>
      <c r="C124" s="24"/>
      <c r="D124" s="28"/>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39">
        <f ca="1">+AB16*AB150</f>
        <v>1.4820554179585876</v>
      </c>
      <c r="AC124" s="39">
        <f t="shared" ref="AC124:AE124" ca="1" si="437">+AC16*AC150</f>
        <v>1.4736497592293141</v>
      </c>
      <c r="AD124" s="39">
        <f t="shared" ca="1" si="437"/>
        <v>1.4618632937405986</v>
      </c>
      <c r="AE124" s="39">
        <f t="shared" ca="1" si="437"/>
        <v>1.4484372053256462</v>
      </c>
      <c r="AF124" s="39"/>
      <c r="AG124" s="39"/>
      <c r="AH124" s="39"/>
      <c r="AI124" s="39"/>
      <c r="AJ124" s="39"/>
      <c r="AK124" s="39"/>
      <c r="AL124" s="39"/>
      <c r="AM124" s="39"/>
      <c r="AN124" s="39"/>
      <c r="AO124" s="39"/>
      <c r="AP124" s="39"/>
      <c r="AQ124" s="39"/>
      <c r="AR124" s="39"/>
      <c r="AS124" s="39"/>
      <c r="AT124" s="39"/>
      <c r="AU124" s="39"/>
      <c r="AV124" s="39"/>
      <c r="AW124" s="39"/>
      <c r="AX124" s="39"/>
      <c r="AY124" s="39"/>
      <c r="AZ124" s="54"/>
      <c r="BA124" s="28"/>
      <c r="BB124" s="28"/>
      <c r="BC124" s="39"/>
      <c r="BD124" s="24"/>
      <c r="BE124" s="24"/>
      <c r="BF124" s="24"/>
      <c r="BG124" s="24">
        <f>+SUM(T124:W124)</f>
        <v>0</v>
      </c>
      <c r="BH124" s="24">
        <f>+SUM(X124:AA124)</f>
        <v>0</v>
      </c>
      <c r="BI124" s="24">
        <f ca="1">+SUM(AB124:AE124)</f>
        <v>5.8660056762541473</v>
      </c>
      <c r="BJ124" s="24">
        <f>+SUM(AF124:AI124)</f>
        <v>0</v>
      </c>
      <c r="BK124" s="24">
        <f>+SUM(AJ124:AM124)</f>
        <v>0</v>
      </c>
      <c r="BL124" s="24">
        <f>+SUM(AN124:AQ124)</f>
        <v>0</v>
      </c>
      <c r="BM124" s="24">
        <f>+SUM(AR124:AU124)</f>
        <v>0</v>
      </c>
      <c r="BN124" s="24">
        <f>+SUM(AV124:AY124)</f>
        <v>0</v>
      </c>
      <c r="BO124" s="24"/>
      <c r="BQ124" s="230"/>
      <c r="BR124"/>
      <c r="BS124"/>
      <c r="BT124"/>
      <c r="BU124"/>
      <c r="BV124"/>
      <c r="BW124"/>
    </row>
    <row r="125" spans="1:271">
      <c r="C125" s="4"/>
      <c r="D125" s="4"/>
      <c r="E125" s="4"/>
      <c r="F125" s="4"/>
      <c r="G125" s="2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54"/>
      <c r="BA125" s="4"/>
      <c r="BB125" s="4"/>
      <c r="BC125" s="4"/>
      <c r="BD125" s="4"/>
      <c r="BE125" s="4"/>
      <c r="BF125" s="4"/>
      <c r="BG125" s="4"/>
      <c r="BH125" s="4"/>
      <c r="BI125" s="24"/>
      <c r="BJ125" s="4"/>
      <c r="BK125" s="4"/>
      <c r="BL125" s="4"/>
      <c r="BM125" s="4"/>
      <c r="BN125" s="4"/>
    </row>
    <row r="126" spans="1:271">
      <c r="B126" t="s">
        <v>23</v>
      </c>
      <c r="C126" s="4"/>
      <c r="D126" s="10">
        <f t="shared" ref="D126:Q126" si="438">+SUM(D121:D122)</f>
        <v>-6.1359999999999948</v>
      </c>
      <c r="E126" s="10">
        <f t="shared" si="438"/>
        <v>-0.26599999999999824</v>
      </c>
      <c r="F126" s="10">
        <f t="shared" si="438"/>
        <v>-1.7570000000000014</v>
      </c>
      <c r="G126" s="10">
        <f t="shared" si="438"/>
        <v>-1.6080000000000076</v>
      </c>
      <c r="H126" s="10">
        <f t="shared" si="438"/>
        <v>-2.0740000000000069</v>
      </c>
      <c r="I126" s="10">
        <f t="shared" si="438"/>
        <v>-1.231999999999994</v>
      </c>
      <c r="J126" s="10">
        <f t="shared" si="438"/>
        <v>2.7090000000000067</v>
      </c>
      <c r="K126" s="10">
        <f t="shared" si="438"/>
        <v>4.4469999999999992</v>
      </c>
      <c r="L126" s="10">
        <f t="shared" si="438"/>
        <v>5.3280000000000038</v>
      </c>
      <c r="M126" s="10">
        <f t="shared" si="438"/>
        <v>3.9209999999999967</v>
      </c>
      <c r="N126" s="10">
        <f t="shared" si="438"/>
        <v>4.0060000000000011</v>
      </c>
      <c r="O126" s="10">
        <f t="shared" si="438"/>
        <v>5.8479999999999981</v>
      </c>
      <c r="P126" s="10">
        <f t="shared" si="438"/>
        <v>5.0370000000000061</v>
      </c>
      <c r="Q126" s="10">
        <f t="shared" si="438"/>
        <v>5.5200000000000085</v>
      </c>
      <c r="R126" s="10">
        <f t="shared" ref="R126:W126" si="439">+SUM(R121:R122)</f>
        <v>8.2380000000000049</v>
      </c>
      <c r="S126" s="10">
        <f t="shared" si="439"/>
        <v>5.3340000000000005</v>
      </c>
      <c r="T126" s="10">
        <f t="shared" si="439"/>
        <v>6.8589999999999982</v>
      </c>
      <c r="U126" s="10">
        <f t="shared" si="439"/>
        <v>5.8070000000000164</v>
      </c>
      <c r="V126" s="10">
        <f t="shared" si="439"/>
        <v>6.5379999999999887</v>
      </c>
      <c r="W126" s="10">
        <f t="shared" si="439"/>
        <v>5.4810000000000008</v>
      </c>
      <c r="X126" s="10">
        <f>+SUM(X121:X122)</f>
        <v>5.5680000000000112</v>
      </c>
      <c r="Y126" s="10">
        <f>+SUM(Y121:Y122)</f>
        <v>4.6079999999999952</v>
      </c>
      <c r="Z126" s="10">
        <f>+SUM(Z121:Z122)</f>
        <v>7.3939999999999912</v>
      </c>
      <c r="AA126" s="10">
        <f>+SUM(AA121:AA122)</f>
        <v>-16.113000000000017</v>
      </c>
      <c r="AB126" s="10">
        <f ca="1">+SUM(AB121:AB122)+AB124</f>
        <v>7.241970779534018</v>
      </c>
      <c r="AC126" s="10">
        <f t="shared" ref="AC126:AY126" ca="1" si="440">+SUM(AC121:AC122)+AC124</f>
        <v>3.6263855998845251</v>
      </c>
      <c r="AD126" s="10">
        <f t="shared" ca="1" si="440"/>
        <v>2.0264405213356222</v>
      </c>
      <c r="AE126" s="10">
        <f t="shared" ca="1" si="440"/>
        <v>1.6218072691218877</v>
      </c>
      <c r="AF126" s="10">
        <f t="shared" ca="1" si="440"/>
        <v>-0.58952071816987228</v>
      </c>
      <c r="AG126" s="10">
        <f t="shared" ca="1" si="440"/>
        <v>-2.2374410343759692</v>
      </c>
      <c r="AH126" s="10">
        <f t="shared" ca="1" si="440"/>
        <v>-1.8148225447715944</v>
      </c>
      <c r="AI126" s="10">
        <f t="shared" ca="1" si="440"/>
        <v>0.30618702466603054</v>
      </c>
      <c r="AJ126" s="10">
        <f t="shared" ca="1" si="440"/>
        <v>0.33009848911637363</v>
      </c>
      <c r="AK126" s="10">
        <f t="shared" ca="1" si="440"/>
        <v>-1.1040158538349374</v>
      </c>
      <c r="AL126" s="10">
        <f t="shared" ca="1" si="440"/>
        <v>-0.26837413570909519</v>
      </c>
      <c r="AM126" s="10">
        <f t="shared" ca="1" si="440"/>
        <v>2.4190633042408081</v>
      </c>
      <c r="AN126" s="10">
        <f t="shared" ca="1" si="440"/>
        <v>2.8589679793082894</v>
      </c>
      <c r="AO126" s="10">
        <f t="shared" ca="1" si="440"/>
        <v>1.5224161060604757</v>
      </c>
      <c r="AP126" s="10">
        <f t="shared" ca="1" si="440"/>
        <v>2.5340153988353649</v>
      </c>
      <c r="AQ126" s="10">
        <f t="shared" ca="1" si="440"/>
        <v>5.5376167650617845</v>
      </c>
      <c r="AR126" s="10">
        <f t="shared" ca="1" si="440"/>
        <v>5.9835813152927955</v>
      </c>
      <c r="AS126" s="10">
        <f t="shared" ca="1" si="440"/>
        <v>5.4391619863371687</v>
      </c>
      <c r="AT126" s="10">
        <f t="shared" ca="1" si="440"/>
        <v>9.7473311294095737</v>
      </c>
      <c r="AU126" s="10">
        <f t="shared" ca="1" si="440"/>
        <v>13.56823160389041</v>
      </c>
      <c r="AV126" s="10">
        <f t="shared" ca="1" si="440"/>
        <v>13.970033651056156</v>
      </c>
      <c r="AW126" s="10">
        <f t="shared" ca="1" si="440"/>
        <v>12.52742161257305</v>
      </c>
      <c r="AX126" s="10">
        <f t="shared" ca="1" si="440"/>
        <v>13.867519958254761</v>
      </c>
      <c r="AY126" s="10">
        <f t="shared" ca="1" si="440"/>
        <v>17.522546756716324</v>
      </c>
      <c r="AZ126" s="54"/>
      <c r="BA126" s="10">
        <f>+BA108-SUM(BA116:BA118)</f>
        <v>14.384</v>
      </c>
      <c r="BB126" s="10">
        <f>+BB108-SUM(BB116:BB118)</f>
        <v>-0.90900000000002734</v>
      </c>
      <c r="BC126" s="10">
        <f>+BC108-SUM(BC116:BC118)</f>
        <v>-9.7670000000000101</v>
      </c>
      <c r="BD126" s="10">
        <f t="shared" ref="BD126:BF126" si="441">+SUM(BD121:BD122)</f>
        <v>3.8499999999999943</v>
      </c>
      <c r="BE126" s="10">
        <f t="shared" si="441"/>
        <v>19.102999999999966</v>
      </c>
      <c r="BF126" s="10">
        <f t="shared" si="441"/>
        <v>24.128999999999966</v>
      </c>
      <c r="BG126" s="10">
        <f>+SUM(BG121:BG122)+BG124</f>
        <v>24.685000000000059</v>
      </c>
      <c r="BH126" s="10">
        <f t="shared" ref="BH126:BN126" si="442">+SUM(BH121:BH122)+BH124</f>
        <v>1.457000000000086</v>
      </c>
      <c r="BI126" s="39">
        <f t="shared" ca="1" si="442"/>
        <v>14.516604169875976</v>
      </c>
      <c r="BJ126" s="10">
        <f t="shared" ca="1" si="442"/>
        <v>-4.3355972726513698</v>
      </c>
      <c r="BK126" s="10">
        <f t="shared" ca="1" si="442"/>
        <v>1.3767718038130852</v>
      </c>
      <c r="BL126" s="10">
        <f t="shared" ca="1" si="442"/>
        <v>12.453016249265829</v>
      </c>
      <c r="BM126" s="10">
        <f t="shared" ca="1" si="442"/>
        <v>34.738306034929963</v>
      </c>
      <c r="BN126" s="10">
        <f t="shared" ca="1" si="442"/>
        <v>57.887521978600319</v>
      </c>
      <c r="BO126" s="39"/>
    </row>
    <row r="127" spans="1:271">
      <c r="B127" t="s">
        <v>169</v>
      </c>
      <c r="C127" s="5"/>
      <c r="D127" s="5"/>
      <c r="E127" s="5"/>
      <c r="F127" s="5"/>
      <c r="G127" s="68"/>
      <c r="H127" s="5"/>
      <c r="I127" s="5"/>
      <c r="J127" s="5"/>
      <c r="K127" s="5">
        <f t="shared" ref="K127:R127" si="443">+K126/K131</f>
        <v>0.12086311538744821</v>
      </c>
      <c r="L127" s="5">
        <f t="shared" si="443"/>
        <v>0.14463447626602002</v>
      </c>
      <c r="M127" s="5">
        <f t="shared" si="443"/>
        <v>0.10581888923037354</v>
      </c>
      <c r="N127" s="5">
        <f t="shared" si="443"/>
        <v>0.10791753160978855</v>
      </c>
      <c r="O127" s="5">
        <f t="shared" si="443"/>
        <v>0.1573770604742345</v>
      </c>
      <c r="P127" s="5">
        <f t="shared" si="443"/>
        <v>0.14970508366008708</v>
      </c>
      <c r="Q127" s="5">
        <f t="shared" si="443"/>
        <v>0.14880249574133747</v>
      </c>
      <c r="R127" s="5">
        <f t="shared" si="443"/>
        <v>0.20095434040762714</v>
      </c>
      <c r="S127" s="5">
        <f t="shared" ref="S127:X127" si="444">+S126/S131</f>
        <v>0.12956458913791116</v>
      </c>
      <c r="T127" s="5">
        <f t="shared" si="444"/>
        <v>0.16610786791627374</v>
      </c>
      <c r="U127" s="5">
        <f t="shared" si="444"/>
        <v>0.12152834057853928</v>
      </c>
      <c r="V127" s="5">
        <f t="shared" si="444"/>
        <v>0.13662242451684162</v>
      </c>
      <c r="W127" s="5">
        <f t="shared" si="444"/>
        <v>0.11453754582964638</v>
      </c>
      <c r="X127" s="5">
        <f t="shared" si="444"/>
        <v>0.11622104031231589</v>
      </c>
      <c r="Y127" s="5">
        <f>+Y126/Y131</f>
        <v>9.6672506318223717E-2</v>
      </c>
      <c r="Z127" s="5">
        <f>+Z126/Z131</f>
        <v>0.14992162671574982</v>
      </c>
      <c r="AA127" s="5">
        <f>+AA126/AA131</f>
        <v>-0.31911402080814366</v>
      </c>
      <c r="AB127" s="5">
        <f t="shared" ref="AB127:AM127" ca="1" si="445">+AB126/AB131</f>
        <v>0.14342545857581981</v>
      </c>
      <c r="AC127" s="5">
        <f t="shared" ca="1" si="445"/>
        <v>7.1819679127406541E-2</v>
      </c>
      <c r="AD127" s="5">
        <f t="shared" ca="1" si="445"/>
        <v>4.0133158486437073E-2</v>
      </c>
      <c r="AE127" s="5">
        <f t="shared" ca="1" si="445"/>
        <v>3.2119495973770257E-2</v>
      </c>
      <c r="AF127" s="5">
        <f t="shared" ca="1" si="445"/>
        <v>-1.1675313518580787E-2</v>
      </c>
      <c r="AG127" s="5">
        <f t="shared" ca="1" si="445"/>
        <v>-4.4311971997818327E-2</v>
      </c>
      <c r="AH127" s="5">
        <f t="shared" ca="1" si="445"/>
        <v>-3.5942116261114022E-2</v>
      </c>
      <c r="AI127" s="5">
        <f t="shared" ca="1" si="445"/>
        <v>6.0639590740680918E-3</v>
      </c>
      <c r="AJ127" s="5">
        <f t="shared" ca="1" si="445"/>
        <v>6.5375197743821212E-3</v>
      </c>
      <c r="AK127" s="5">
        <f t="shared" ca="1" si="445"/>
        <v>-2.1864763740656757E-2</v>
      </c>
      <c r="AL127" s="5">
        <f t="shared" ca="1" si="445"/>
        <v>-5.315084064236311E-3</v>
      </c>
      <c r="AM127" s="5">
        <f t="shared" ca="1" si="445"/>
        <v>4.7908956594409309E-2</v>
      </c>
      <c r="AN127" s="5">
        <f t="shared" ref="AN127:AY127" ca="1" si="446">+AN126/AN131</f>
        <v>5.6621161002842479E-2</v>
      </c>
      <c r="AO127" s="5">
        <f t="shared" ca="1" si="446"/>
        <v>3.0151078318626897E-2</v>
      </c>
      <c r="AP127" s="5">
        <f t="shared" ca="1" si="446"/>
        <v>5.0185554689511837E-2</v>
      </c>
      <c r="AQ127" s="5">
        <f t="shared" ca="1" si="446"/>
        <v>0.10967114451644322</v>
      </c>
      <c r="AR127" s="5">
        <f t="shared" ca="1" si="446"/>
        <v>0.11850336326913441</v>
      </c>
      <c r="AS127" s="5">
        <f t="shared" ca="1" si="446"/>
        <v>0.10772127172387895</v>
      </c>
      <c r="AT127" s="5">
        <f t="shared" ca="1" si="446"/>
        <v>0.15303509594904877</v>
      </c>
      <c r="AU127" s="5">
        <f t="shared" ca="1" si="446"/>
        <v>0.19100033532988747</v>
      </c>
      <c r="AV127" s="5">
        <f t="shared" ca="1" si="446"/>
        <v>0.19665651278803817</v>
      </c>
      <c r="AW127" s="5">
        <f t="shared" ca="1" si="446"/>
        <v>0.17634882707443342</v>
      </c>
      <c r="AX127" s="5">
        <f t="shared" ca="1" si="446"/>
        <v>0.1952134249728687</v>
      </c>
      <c r="AY127" s="5">
        <f t="shared" ca="1" si="446"/>
        <v>0.24666532854633913</v>
      </c>
      <c r="AZ127" s="54"/>
      <c r="BA127" s="5"/>
      <c r="BB127" s="5"/>
      <c r="BC127" s="5"/>
      <c r="BD127" s="5">
        <f t="shared" ref="BD127:BK127" si="447">+BD126/BD131</f>
        <v>0.10463750713777266</v>
      </c>
      <c r="BE127" s="5">
        <f t="shared" si="447"/>
        <v>0.5140858389602081</v>
      </c>
      <c r="BF127" s="5">
        <f t="shared" si="447"/>
        <v>0.63121402811374439</v>
      </c>
      <c r="BG127" s="5">
        <f t="shared" si="447"/>
        <v>0.53435548021591983</v>
      </c>
      <c r="BH127" s="5">
        <f t="shared" si="447"/>
        <v>2.9828009740740621E-2</v>
      </c>
      <c r="BI127" s="5">
        <f t="shared" ca="1" si="447"/>
        <v>0.28749779216343213</v>
      </c>
      <c r="BJ127" s="5">
        <f t="shared" ca="1" si="447"/>
        <v>-8.5865442703444345E-2</v>
      </c>
      <c r="BK127" s="5">
        <f t="shared" ca="1" si="447"/>
        <v>2.7266628563897093E-2</v>
      </c>
      <c r="BL127" s="5">
        <f t="shared" ref="BL127:BN127" ca="1" si="448">+BL126/BL131</f>
        <v>0.24662893852742274</v>
      </c>
      <c r="BM127" s="5">
        <f t="shared" ca="1" si="448"/>
        <v>0.58949168519105954</v>
      </c>
      <c r="BN127" s="5">
        <f t="shared" ca="1" si="448"/>
        <v>0.81488409338167977</v>
      </c>
    </row>
    <row r="128" spans="1:271">
      <c r="B128" t="s">
        <v>170</v>
      </c>
      <c r="C128" s="5"/>
      <c r="D128" s="5"/>
      <c r="E128" s="5"/>
      <c r="F128" s="5"/>
      <c r="G128" s="68"/>
      <c r="H128" s="5"/>
      <c r="I128" s="5"/>
      <c r="J128" s="5"/>
      <c r="K128" s="5">
        <f>+K126/K132</f>
        <v>0.12086139084635993</v>
      </c>
      <c r="L128" s="5">
        <f>+L126/L132</f>
        <v>0.14439938528357793</v>
      </c>
      <c r="M128" s="5">
        <f>+M126/M132</f>
        <v>0.10546829577570818</v>
      </c>
      <c r="N128" s="5">
        <f>+N126/N132</f>
        <v>0.10749533639023311</v>
      </c>
      <c r="O128" s="5">
        <f>+O126/O132</f>
        <v>0.15748370765336345</v>
      </c>
      <c r="P128" s="5">
        <f t="shared" ref="P128:U128" si="449">+P126/P132</f>
        <v>0.12119567218122629</v>
      </c>
      <c r="Q128" s="5">
        <f t="shared" si="449"/>
        <v>0.1226369885154461</v>
      </c>
      <c r="R128" s="5">
        <f t="shared" si="449"/>
        <v>0.16904211744479161</v>
      </c>
      <c r="S128" s="5">
        <f t="shared" si="449"/>
        <v>0.10923673829339121</v>
      </c>
      <c r="T128" s="5">
        <f t="shared" si="449"/>
        <v>0.1400543322598829</v>
      </c>
      <c r="U128" s="5">
        <f t="shared" si="449"/>
        <v>0.10449028417596611</v>
      </c>
      <c r="V128" s="5">
        <f t="shared" ref="V128:AA128" si="450">+V126/V132</f>
        <v>0.11740481487237772</v>
      </c>
      <c r="W128" s="5">
        <f t="shared" si="450"/>
        <v>9.8628717133882965E-2</v>
      </c>
      <c r="X128" s="5">
        <f t="shared" si="450"/>
        <v>0.1001074069053257</v>
      </c>
      <c r="Y128" s="5">
        <f t="shared" si="450"/>
        <v>8.3089263130767643E-2</v>
      </c>
      <c r="Z128" s="5">
        <f t="shared" si="450"/>
        <v>0.13010080401733815</v>
      </c>
      <c r="AA128" s="5">
        <f t="shared" si="450"/>
        <v>-0.27884742648382238</v>
      </c>
      <c r="AB128" s="5">
        <f t="shared" ref="AB128:AM128" ca="1" si="451">+AB126/AB132</f>
        <v>0.12516075959379466</v>
      </c>
      <c r="AC128" s="5">
        <f t="shared" ca="1" si="451"/>
        <v>6.2588972249805988E-2</v>
      </c>
      <c r="AD128" s="5">
        <f t="shared" ca="1" si="451"/>
        <v>3.4926911693385174E-2</v>
      </c>
      <c r="AE128" s="5">
        <f t="shared" ca="1" si="451"/>
        <v>2.7913983380301557E-2</v>
      </c>
      <c r="AF128" s="5">
        <f t="shared" ca="1" si="451"/>
        <v>-1.0132424428869292E-2</v>
      </c>
      <c r="AG128" s="5">
        <f t="shared" ca="1" si="451"/>
        <v>-3.8400840275753204E-2</v>
      </c>
      <c r="AH128" s="5">
        <f t="shared" ca="1" si="451"/>
        <v>-3.1101542136532181E-2</v>
      </c>
      <c r="AI128" s="5">
        <f t="shared" ca="1" si="451"/>
        <v>5.2393879265964409E-3</v>
      </c>
      <c r="AJ128" s="5">
        <f t="shared" ca="1" si="451"/>
        <v>5.6399591542801563E-3</v>
      </c>
      <c r="AK128" s="5">
        <f t="shared" ca="1" si="451"/>
        <v>-1.8833458833093744E-2</v>
      </c>
      <c r="AL128" s="5">
        <f t="shared" ca="1" si="451"/>
        <v>-4.5708936751745425E-3</v>
      </c>
      <c r="AM128" s="5">
        <f t="shared" ca="1" si="451"/>
        <v>4.1133917033606644E-2</v>
      </c>
      <c r="AN128" s="5">
        <f t="shared" ref="AN128:AY128" ca="1" si="452">+AN126/AN132</f>
        <v>4.8534058092641788E-2</v>
      </c>
      <c r="AO128" s="5">
        <f t="shared" ca="1" si="452"/>
        <v>2.580107329652874E-2</v>
      </c>
      <c r="AP128" s="5">
        <f t="shared" ca="1" si="452"/>
        <v>4.2870933688277178E-2</v>
      </c>
      <c r="AQ128" s="5">
        <f t="shared" ca="1" si="452"/>
        <v>9.3521556704385916E-2</v>
      </c>
      <c r="AR128" s="5">
        <f t="shared" ca="1" si="452"/>
        <v>0.10087345610434614</v>
      </c>
      <c r="AS128" s="5">
        <f t="shared" ca="1" si="452"/>
        <v>9.1528457076120839E-2</v>
      </c>
      <c r="AT128" s="5">
        <f t="shared" ca="1" si="452"/>
        <v>0.13400711860605338</v>
      </c>
      <c r="AU128" s="5">
        <f t="shared" ca="1" si="452"/>
        <v>0.16919060311129452</v>
      </c>
      <c r="AV128" s="5">
        <f t="shared" ca="1" si="452"/>
        <v>0.1739523134515823</v>
      </c>
      <c r="AW128" s="5">
        <f t="shared" ca="1" si="452"/>
        <v>0.155761286134701</v>
      </c>
      <c r="AX128" s="5">
        <f t="shared" ca="1" si="452"/>
        <v>0.17216573533056906</v>
      </c>
      <c r="AY128" s="5">
        <f t="shared" ca="1" si="452"/>
        <v>0.2172118265172574</v>
      </c>
      <c r="AZ128" s="54"/>
      <c r="BA128" s="5"/>
      <c r="BB128" s="5"/>
      <c r="BC128" s="5"/>
      <c r="BD128" s="5">
        <f t="shared" ref="BD128:BK128" si="453">+BD126/BD132</f>
        <v>0.10463601411254443</v>
      </c>
      <c r="BE128" s="5">
        <f t="shared" si="453"/>
        <v>0.51443421123498589</v>
      </c>
      <c r="BF128" s="5">
        <f t="shared" si="453"/>
        <v>0.52415912433949241</v>
      </c>
      <c r="BG128" s="5">
        <f t="shared" si="453"/>
        <v>0.45753609325647743</v>
      </c>
      <c r="BH128" s="5">
        <f t="shared" si="453"/>
        <v>2.5822364437030048E-2</v>
      </c>
      <c r="BI128" s="5">
        <f t="shared" ca="1" si="453"/>
        <v>0.25037188707600394</v>
      </c>
      <c r="BJ128" s="5">
        <f t="shared" ca="1" si="453"/>
        <v>-7.4354898362741895E-2</v>
      </c>
      <c r="BK128" s="5">
        <f t="shared" ca="1" si="453"/>
        <v>2.346720649020877E-2</v>
      </c>
      <c r="BL128" s="5">
        <f t="shared" ref="BL128:BN128" ca="1" si="454">+BL126/BL132</f>
        <v>0.21086029317531965</v>
      </c>
      <c r="BM128" s="5">
        <f t="shared" ca="1" si="454"/>
        <v>0.51146674252222446</v>
      </c>
      <c r="BN128" s="5">
        <f t="shared" ca="1" si="454"/>
        <v>0.71920142657833874</v>
      </c>
    </row>
    <row r="129" spans="2:75">
      <c r="C129" s="5"/>
      <c r="D129" s="5"/>
      <c r="E129" s="5"/>
      <c r="F129" s="5"/>
      <c r="G129" s="68"/>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4"/>
      <c r="BA129" s="5"/>
      <c r="BB129" s="5"/>
      <c r="BC129" s="5"/>
      <c r="BD129" s="5"/>
      <c r="BE129" s="5"/>
      <c r="BF129" s="5"/>
      <c r="BG129" s="5"/>
      <c r="BH129" s="5"/>
      <c r="BI129" s="5"/>
      <c r="BJ129" s="5"/>
      <c r="BK129" s="5"/>
      <c r="BL129" s="5"/>
      <c r="BM129" s="5"/>
      <c r="BN129" s="5"/>
    </row>
    <row r="130" spans="2:75" hidden="1" outlineLevel="1">
      <c r="B130" t="s">
        <v>321</v>
      </c>
      <c r="G130" s="22"/>
      <c r="K130" s="6">
        <f t="shared" ref="K130:AA130" si="455">+K131</f>
        <v>36.793689999999998</v>
      </c>
      <c r="L130" s="6">
        <f t="shared" si="455"/>
        <v>36.837690000000002</v>
      </c>
      <c r="M130" s="6">
        <f t="shared" si="455"/>
        <v>37.053876000000002</v>
      </c>
      <c r="N130" s="6">
        <f t="shared" si="455"/>
        <v>37.120938000000002</v>
      </c>
      <c r="O130" s="6">
        <f t="shared" si="455"/>
        <v>37.159164000000004</v>
      </c>
      <c r="P130" s="6">
        <f t="shared" si="455"/>
        <v>33.646152000000001</v>
      </c>
      <c r="Q130" s="6">
        <f t="shared" si="455"/>
        <v>37.096152000000004</v>
      </c>
      <c r="R130" s="6">
        <f t="shared" si="455"/>
        <v>40.994387000000003</v>
      </c>
      <c r="S130" s="6">
        <f t="shared" si="455"/>
        <v>41.168655999999999</v>
      </c>
      <c r="T130" s="6">
        <f t="shared" si="455"/>
        <v>41.292445000000001</v>
      </c>
      <c r="U130" s="6">
        <f t="shared" si="455"/>
        <v>47.783093000000001</v>
      </c>
      <c r="V130" s="6">
        <f t="shared" si="455"/>
        <v>47.854515999999997</v>
      </c>
      <c r="W130" s="6">
        <f t="shared" si="455"/>
        <v>47.853304000000001</v>
      </c>
      <c r="X130" s="6">
        <f t="shared" si="455"/>
        <v>47.908709000000002</v>
      </c>
      <c r="Y130" s="6">
        <f t="shared" si="455"/>
        <v>47.666086</v>
      </c>
      <c r="Z130" s="6">
        <f t="shared" si="455"/>
        <v>49.319102000000001</v>
      </c>
      <c r="AA130" s="6">
        <f t="shared" si="455"/>
        <v>50.492924000000002</v>
      </c>
      <c r="AB130" s="6">
        <f t="shared" ref="AB130:AY130" ca="1" si="456">+AB131</f>
        <v>50.492924000000002</v>
      </c>
      <c r="AC130" s="6">
        <f t="shared" ca="1" si="456"/>
        <v>50.492924000000002</v>
      </c>
      <c r="AD130" s="6">
        <f t="shared" ca="1" si="456"/>
        <v>50.492924000000002</v>
      </c>
      <c r="AE130" s="6">
        <f t="shared" ca="1" si="456"/>
        <v>50.492924000000002</v>
      </c>
      <c r="AF130" s="6">
        <f t="shared" ca="1" si="456"/>
        <v>50.492924000000002</v>
      </c>
      <c r="AG130" s="6">
        <f t="shared" ca="1" si="456"/>
        <v>50.492924000000002</v>
      </c>
      <c r="AH130" s="6">
        <f t="shared" ca="1" si="456"/>
        <v>50.492924000000002</v>
      </c>
      <c r="AI130" s="6">
        <f t="shared" ca="1" si="456"/>
        <v>50.492924000000002</v>
      </c>
      <c r="AJ130" s="6">
        <f t="shared" ca="1" si="456"/>
        <v>50.492924000000002</v>
      </c>
      <c r="AK130" s="6">
        <f t="shared" ca="1" si="456"/>
        <v>50.492924000000002</v>
      </c>
      <c r="AL130" s="6">
        <f t="shared" ca="1" si="456"/>
        <v>50.492924000000002</v>
      </c>
      <c r="AM130" s="6">
        <f t="shared" ca="1" si="456"/>
        <v>50.492924000000002</v>
      </c>
      <c r="AN130" s="6">
        <f t="shared" ca="1" si="456"/>
        <v>50.492924000000002</v>
      </c>
      <c r="AO130" s="6">
        <f t="shared" ca="1" si="456"/>
        <v>50.492924000000002</v>
      </c>
      <c r="AP130" s="6">
        <f t="shared" ca="1" si="456"/>
        <v>50.492924000000002</v>
      </c>
      <c r="AQ130" s="6">
        <f t="shared" ca="1" si="456"/>
        <v>50.492924000000002</v>
      </c>
      <c r="AR130" s="6">
        <f t="shared" ca="1" si="456"/>
        <v>50.492924000000002</v>
      </c>
      <c r="AS130" s="6">
        <f t="shared" ca="1" si="456"/>
        <v>50.492924000000002</v>
      </c>
      <c r="AT130" s="6">
        <f t="shared" ca="1" si="456"/>
        <v>63.693436260234272</v>
      </c>
      <c r="AU130" s="6">
        <f t="shared" ca="1" si="456"/>
        <v>71.037737082795957</v>
      </c>
      <c r="AV130" s="6">
        <f t="shared" ca="1" si="456"/>
        <v>71.037737082795957</v>
      </c>
      <c r="AW130" s="6">
        <f t="shared" ca="1" si="456"/>
        <v>71.037737082795957</v>
      </c>
      <c r="AX130" s="6">
        <f t="shared" ca="1" si="456"/>
        <v>71.037737082795957</v>
      </c>
      <c r="AY130" s="6">
        <f t="shared" ca="1" si="456"/>
        <v>71.037737082795957</v>
      </c>
      <c r="BA130" s="54" t="s">
        <v>327</v>
      </c>
      <c r="BB130" s="54" t="s">
        <v>327</v>
      </c>
      <c r="BC130" s="248" t="s">
        <v>327</v>
      </c>
      <c r="BD130" s="6">
        <f t="shared" ref="BD130:BN130" si="457">+BD131</f>
        <v>36.793689999999998</v>
      </c>
      <c r="BE130" s="6">
        <f t="shared" si="457"/>
        <v>37.159164000000004</v>
      </c>
      <c r="BF130" s="6">
        <f t="shared" si="457"/>
        <v>38.226336750000009</v>
      </c>
      <c r="BG130" s="6">
        <f t="shared" si="457"/>
        <v>46.195839499999998</v>
      </c>
      <c r="BH130" s="6">
        <f t="shared" si="457"/>
        <v>48.846705249999999</v>
      </c>
      <c r="BI130" s="6">
        <f t="shared" ca="1" si="457"/>
        <v>50.492924000000002</v>
      </c>
      <c r="BJ130" s="6">
        <f t="shared" ca="1" si="457"/>
        <v>50.492924000000002</v>
      </c>
      <c r="BK130" s="6">
        <f t="shared" ca="1" si="457"/>
        <v>50.492924000000002</v>
      </c>
      <c r="BL130" s="6">
        <f t="shared" ca="1" si="457"/>
        <v>50.492924000000002</v>
      </c>
      <c r="BM130" s="6">
        <f t="shared" ca="1" si="457"/>
        <v>58.92925533575756</v>
      </c>
      <c r="BN130" s="6">
        <f t="shared" ca="1" si="457"/>
        <v>71.037737082795957</v>
      </c>
    </row>
    <row r="131" spans="2:75" collapsed="1">
      <c r="B131" t="s">
        <v>237</v>
      </c>
      <c r="C131" s="6"/>
      <c r="D131" s="54"/>
      <c r="E131" s="54"/>
      <c r="F131" s="54"/>
      <c r="G131" s="54"/>
      <c r="H131" s="6"/>
      <c r="I131" s="54"/>
      <c r="J131" s="54"/>
      <c r="K131" s="54">
        <f>+K380+K382</f>
        <v>36.793689999999998</v>
      </c>
      <c r="L131" s="54">
        <f>+L380+L382</f>
        <v>36.837690000000002</v>
      </c>
      <c r="M131" s="54">
        <f>+M380+M382</f>
        <v>37.053876000000002</v>
      </c>
      <c r="N131" s="54">
        <f t="shared" ref="N131:S131" si="458">+N380+N382</f>
        <v>37.120938000000002</v>
      </c>
      <c r="O131" s="54">
        <f t="shared" si="458"/>
        <v>37.159164000000004</v>
      </c>
      <c r="P131" s="54">
        <f t="shared" si="458"/>
        <v>33.646152000000001</v>
      </c>
      <c r="Q131" s="54">
        <f t="shared" si="458"/>
        <v>37.096152000000004</v>
      </c>
      <c r="R131" s="54">
        <f t="shared" si="458"/>
        <v>40.994387000000003</v>
      </c>
      <c r="S131" s="54">
        <f t="shared" si="458"/>
        <v>41.168655999999999</v>
      </c>
      <c r="T131" s="54">
        <f t="shared" ref="T131:Y131" si="459">+T380+T382</f>
        <v>41.292445000000001</v>
      </c>
      <c r="U131" s="54">
        <f t="shared" si="459"/>
        <v>47.783093000000001</v>
      </c>
      <c r="V131" s="54">
        <f t="shared" si="459"/>
        <v>47.854515999999997</v>
      </c>
      <c r="W131" s="54">
        <f t="shared" si="459"/>
        <v>47.853304000000001</v>
      </c>
      <c r="X131" s="54">
        <f t="shared" si="459"/>
        <v>47.908709000000002</v>
      </c>
      <c r="Y131" s="54">
        <f t="shared" si="459"/>
        <v>47.666086</v>
      </c>
      <c r="Z131" s="54">
        <f t="shared" ref="Z131:AA131" si="460">+Z380+Z382</f>
        <v>49.319102000000001</v>
      </c>
      <c r="AA131" s="54">
        <f t="shared" si="460"/>
        <v>50.492924000000002</v>
      </c>
      <c r="AB131" s="54">
        <f t="shared" ref="AB131:AM131" ca="1" si="461">+AB380+AB382</f>
        <v>50.492924000000002</v>
      </c>
      <c r="AC131" s="54">
        <f ca="1">+AC380+AC382</f>
        <v>50.492924000000002</v>
      </c>
      <c r="AD131" s="54">
        <f t="shared" ca="1" si="461"/>
        <v>50.492924000000002</v>
      </c>
      <c r="AE131" s="54">
        <f t="shared" ca="1" si="461"/>
        <v>50.492924000000002</v>
      </c>
      <c r="AF131" s="54">
        <f t="shared" ca="1" si="461"/>
        <v>50.492924000000002</v>
      </c>
      <c r="AG131" s="54">
        <f t="shared" ca="1" si="461"/>
        <v>50.492924000000002</v>
      </c>
      <c r="AH131" s="54">
        <f t="shared" ca="1" si="461"/>
        <v>50.492924000000002</v>
      </c>
      <c r="AI131" s="54">
        <f t="shared" ca="1" si="461"/>
        <v>50.492924000000002</v>
      </c>
      <c r="AJ131" s="54">
        <f t="shared" ca="1" si="461"/>
        <v>50.492924000000002</v>
      </c>
      <c r="AK131" s="54">
        <f t="shared" ca="1" si="461"/>
        <v>50.492924000000002</v>
      </c>
      <c r="AL131" s="54">
        <f t="shared" ca="1" si="461"/>
        <v>50.492924000000002</v>
      </c>
      <c r="AM131" s="54">
        <f t="shared" ca="1" si="461"/>
        <v>50.492924000000002</v>
      </c>
      <c r="AN131" s="54">
        <f t="shared" ref="AN131:AY131" ca="1" si="462">+AN380+AN382</f>
        <v>50.492924000000002</v>
      </c>
      <c r="AO131" s="54">
        <f t="shared" ca="1" si="462"/>
        <v>50.492924000000002</v>
      </c>
      <c r="AP131" s="54">
        <f t="shared" ca="1" si="462"/>
        <v>50.492924000000002</v>
      </c>
      <c r="AQ131" s="54">
        <f t="shared" ca="1" si="462"/>
        <v>50.492924000000002</v>
      </c>
      <c r="AR131" s="54">
        <f t="shared" ca="1" si="462"/>
        <v>50.492924000000002</v>
      </c>
      <c r="AS131" s="54">
        <f t="shared" ca="1" si="462"/>
        <v>50.492924000000002</v>
      </c>
      <c r="AT131" s="54">
        <f t="shared" ca="1" si="462"/>
        <v>63.693436260234265</v>
      </c>
      <c r="AU131" s="54">
        <f t="shared" ca="1" si="462"/>
        <v>71.037737082795957</v>
      </c>
      <c r="AV131" s="54">
        <f t="shared" ca="1" si="462"/>
        <v>71.037737082795957</v>
      </c>
      <c r="AW131" s="54">
        <f t="shared" ca="1" si="462"/>
        <v>71.037737082795957</v>
      </c>
      <c r="AX131" s="54">
        <f t="shared" ca="1" si="462"/>
        <v>71.037737082795957</v>
      </c>
      <c r="AY131" s="54">
        <f t="shared" ca="1" si="462"/>
        <v>71.037737082795957</v>
      </c>
      <c r="AZ131" s="54"/>
      <c r="BA131" s="248" t="s">
        <v>327</v>
      </c>
      <c r="BB131" s="248" t="s">
        <v>327</v>
      </c>
      <c r="BC131" s="248" t="s">
        <v>327</v>
      </c>
      <c r="BD131" s="54">
        <f t="shared" ref="BD131:BK131" si="463">+BD380+BD382</f>
        <v>36.793689999999998</v>
      </c>
      <c r="BE131" s="54">
        <f t="shared" si="463"/>
        <v>37.159164000000004</v>
      </c>
      <c r="BF131" s="54">
        <f t="shared" si="463"/>
        <v>38.226336750000009</v>
      </c>
      <c r="BG131" s="54">
        <f t="shared" si="463"/>
        <v>46.195839499999998</v>
      </c>
      <c r="BH131" s="54">
        <f t="shared" si="463"/>
        <v>48.846705249999999</v>
      </c>
      <c r="BI131" s="54">
        <f t="shared" ca="1" si="463"/>
        <v>50.492924000000002</v>
      </c>
      <c r="BJ131" s="54">
        <f t="shared" ca="1" si="463"/>
        <v>50.492924000000002</v>
      </c>
      <c r="BK131" s="54">
        <f t="shared" ca="1" si="463"/>
        <v>50.492924000000002</v>
      </c>
      <c r="BL131" s="54">
        <f t="shared" ref="BL131:BN131" ca="1" si="464">+BL380+BL382</f>
        <v>50.492924000000002</v>
      </c>
      <c r="BM131" s="54">
        <f t="shared" ca="1" si="464"/>
        <v>58.92925533575756</v>
      </c>
      <c r="BN131" s="54">
        <f t="shared" ca="1" si="464"/>
        <v>71.037737082795957</v>
      </c>
    </row>
    <row r="132" spans="2:75">
      <c r="B132" t="s">
        <v>238</v>
      </c>
      <c r="C132" s="6"/>
      <c r="D132" s="54"/>
      <c r="E132" s="54"/>
      <c r="F132" s="54"/>
      <c r="G132" s="54"/>
      <c r="H132" s="6"/>
      <c r="I132" s="54"/>
      <c r="J132" s="54"/>
      <c r="K132" s="54">
        <f>+K381+K382</f>
        <v>36.794215000000001</v>
      </c>
      <c r="L132" s="54">
        <f>+L381+L382</f>
        <v>36.897664000000006</v>
      </c>
      <c r="M132" s="54">
        <f>+M381+M382</f>
        <v>37.177049000000004</v>
      </c>
      <c r="N132" s="54">
        <f t="shared" ref="N132:S132" si="465">+N381+N382</f>
        <v>37.266733000000002</v>
      </c>
      <c r="O132" s="54">
        <f t="shared" si="465"/>
        <v>37.134</v>
      </c>
      <c r="P132" s="54">
        <f t="shared" si="465"/>
        <v>41.560890000000001</v>
      </c>
      <c r="Q132" s="54">
        <f t="shared" si="465"/>
        <v>45.010890000000003</v>
      </c>
      <c r="R132" s="54">
        <f t="shared" si="465"/>
        <v>48.733417000000003</v>
      </c>
      <c r="S132" s="54">
        <f t="shared" si="465"/>
        <v>48.829726000000001</v>
      </c>
      <c r="T132" s="54">
        <f t="shared" ref="T132:AM132" si="466">+T381+T382</f>
        <v>48.973851000000003</v>
      </c>
      <c r="U132" s="54">
        <f t="shared" si="466"/>
        <v>55.574545000000001</v>
      </c>
      <c r="V132" s="54">
        <f t="shared" si="466"/>
        <v>55.687665000000003</v>
      </c>
      <c r="W132" s="54">
        <f t="shared" si="466"/>
        <v>55.572049999999997</v>
      </c>
      <c r="X132" s="54">
        <f t="shared" si="466"/>
        <v>55.620260000000002</v>
      </c>
      <c r="Y132" s="54">
        <f t="shared" si="466"/>
        <v>55.458429000000002</v>
      </c>
      <c r="Z132" s="54">
        <f t="shared" ref="Z132:AA132" si="467">+Z381+Z382</f>
        <v>56.832853999999998</v>
      </c>
      <c r="AA132" s="54">
        <f t="shared" si="467"/>
        <v>57.784287999999997</v>
      </c>
      <c r="AB132" s="54">
        <f t="shared" ca="1" si="466"/>
        <v>57.861352096596477</v>
      </c>
      <c r="AC132" s="54">
        <f t="shared" ca="1" si="466"/>
        <v>57.939689206124747</v>
      </c>
      <c r="AD132" s="54">
        <f t="shared" ca="1" si="466"/>
        <v>58.019459009867482</v>
      </c>
      <c r="AE132" s="54">
        <f t="shared" ca="1" si="466"/>
        <v>58.100173200875751</v>
      </c>
      <c r="AF132" s="54">
        <f t="shared" ca="1" si="466"/>
        <v>58.181605232624342</v>
      </c>
      <c r="AG132" s="54">
        <f t="shared" ca="1" si="466"/>
        <v>58.265418629100125</v>
      </c>
      <c r="AH132" s="54">
        <f t="shared" ca="1" si="466"/>
        <v>58.351529220150333</v>
      </c>
      <c r="AI132" s="54">
        <f t="shared" ca="1" si="466"/>
        <v>58.439464486252064</v>
      </c>
      <c r="AJ132" s="54">
        <f t="shared" ca="1" si="466"/>
        <v>58.528524779450294</v>
      </c>
      <c r="AK132" s="54">
        <f t="shared" ca="1" si="466"/>
        <v>58.61992019729189</v>
      </c>
      <c r="AL132" s="54">
        <f t="shared" ca="1" si="466"/>
        <v>58.713712193020356</v>
      </c>
      <c r="AM132" s="54">
        <f t="shared" ca="1" si="466"/>
        <v>58.809456494610508</v>
      </c>
      <c r="AN132" s="54">
        <f t="shared" ref="AN132:AY132" ca="1" si="468">+AN381+AN382</f>
        <v>58.906427602882346</v>
      </c>
      <c r="AO132" s="54">
        <f t="shared" ca="1" si="468"/>
        <v>59.005921519757109</v>
      </c>
      <c r="AP132" s="54">
        <f t="shared" ca="1" si="468"/>
        <v>59.108005840523077</v>
      </c>
      <c r="AQ132" s="54">
        <f t="shared" ca="1" si="468"/>
        <v>59.212196205905165</v>
      </c>
      <c r="AR132" s="54">
        <f t="shared" ca="1" si="468"/>
        <v>59.317699089275003</v>
      </c>
      <c r="AS132" s="54">
        <f t="shared" ca="1" si="468"/>
        <v>59.425911460668658</v>
      </c>
      <c r="AT132" s="54">
        <f t="shared" ca="1" si="468"/>
        <v>72.73741298821767</v>
      </c>
      <c r="AU132" s="54">
        <f t="shared" ca="1" si="468"/>
        <v>80.194947913065548</v>
      </c>
      <c r="AV132" s="54">
        <f t="shared" ca="1" si="468"/>
        <v>80.30955940660462</v>
      </c>
      <c r="AW132" s="54">
        <f t="shared" ca="1" si="468"/>
        <v>80.427055550500825</v>
      </c>
      <c r="AX132" s="54">
        <f t="shared" ca="1" si="468"/>
        <v>80.547502275224787</v>
      </c>
      <c r="AY132" s="54">
        <f t="shared" ca="1" si="468"/>
        <v>80.670316334383216</v>
      </c>
      <c r="AZ132" s="54"/>
      <c r="BA132" s="248" t="s">
        <v>327</v>
      </c>
      <c r="BB132" s="248" t="s">
        <v>327</v>
      </c>
      <c r="BC132" s="248" t="s">
        <v>327</v>
      </c>
      <c r="BD132" s="54">
        <f t="shared" ref="BD132:BK132" si="469">+BD381+BD382</f>
        <v>36.794215000000001</v>
      </c>
      <c r="BE132" s="54">
        <f t="shared" si="469"/>
        <v>37.134</v>
      </c>
      <c r="BF132" s="54">
        <f>+BF381+BF382</f>
        <v>46.033730750000004</v>
      </c>
      <c r="BG132" s="54">
        <f t="shared" si="469"/>
        <v>53.952027749999999</v>
      </c>
      <c r="BH132" s="54">
        <f t="shared" si="469"/>
        <v>56.42395775</v>
      </c>
      <c r="BI132" s="54">
        <f t="shared" ca="1" si="469"/>
        <v>57.980168378366116</v>
      </c>
      <c r="BJ132" s="54">
        <f t="shared" ca="1" si="469"/>
        <v>58.309504392031712</v>
      </c>
      <c r="BK132" s="54">
        <f t="shared" ca="1" si="469"/>
        <v>58.667903416093267</v>
      </c>
      <c r="BL132" s="54">
        <f t="shared" ref="BL132:BN132" ca="1" si="470">+BL381+BL382</f>
        <v>59.058137792266926</v>
      </c>
      <c r="BM132" s="54">
        <f t="shared" ca="1" si="470"/>
        <v>67.918992862806718</v>
      </c>
      <c r="BN132" s="54">
        <f t="shared" ca="1" si="470"/>
        <v>80.488608391678355</v>
      </c>
    </row>
    <row r="133" spans="2:75" s="22" customFormat="1">
      <c r="C133" s="54"/>
      <c r="D133" s="54"/>
      <c r="E133" s="54"/>
      <c r="F133" s="54"/>
      <c r="G133" s="54"/>
      <c r="H133" s="54"/>
      <c r="I133" s="54"/>
      <c r="J133" s="54"/>
      <c r="K133" s="54"/>
      <c r="L133" s="54"/>
      <c r="M133" s="54"/>
      <c r="N133" s="54"/>
      <c r="O133" s="54"/>
      <c r="P133" s="54"/>
      <c r="Q133" s="54"/>
      <c r="R133" s="54"/>
      <c r="S133" s="54"/>
      <c r="T133" s="54"/>
      <c r="U133" s="54"/>
      <c r="V133" s="54"/>
      <c r="W133" s="54"/>
      <c r="X133" s="54"/>
      <c r="Y133" s="54"/>
      <c r="Z133" s="54"/>
      <c r="AA133" s="54"/>
      <c r="AB133" s="54"/>
      <c r="AC133" s="54"/>
      <c r="AD133" s="54"/>
      <c r="AE133" s="54"/>
      <c r="AF133" s="54"/>
      <c r="AG133" s="54"/>
      <c r="AH133" s="54"/>
      <c r="AI133" s="54"/>
      <c r="AJ133" s="54"/>
      <c r="AK133" s="54"/>
      <c r="AL133" s="54"/>
      <c r="AM133" s="54"/>
      <c r="AN133" s="54"/>
      <c r="AO133" s="54"/>
      <c r="AP133" s="54"/>
      <c r="AQ133" s="54"/>
      <c r="AR133" s="54"/>
      <c r="AS133" s="54"/>
      <c r="AT133" s="54"/>
      <c r="AU133" s="54"/>
      <c r="AV133" s="54"/>
      <c r="AW133" s="54"/>
      <c r="AX133" s="54"/>
      <c r="AY133" s="54"/>
      <c r="AZ133" s="54"/>
      <c r="BA133" s="54"/>
      <c r="BB133" s="54"/>
      <c r="BC133" s="54"/>
      <c r="BD133" s="54"/>
      <c r="BE133" s="54"/>
      <c r="BF133" s="54"/>
      <c r="BG133" s="54"/>
      <c r="BH133" s="54"/>
      <c r="BI133" s="54"/>
      <c r="BJ133" s="54"/>
      <c r="BK133" s="54"/>
      <c r="BL133" s="54"/>
      <c r="BM133" s="54"/>
      <c r="BN133" s="54"/>
      <c r="BQ133" s="230"/>
      <c r="BR133"/>
      <c r="BS133"/>
      <c r="BT133"/>
      <c r="BU133"/>
      <c r="BV133"/>
      <c r="BW133"/>
    </row>
    <row r="134" spans="2:75">
      <c r="B134" s="9" t="s">
        <v>110</v>
      </c>
      <c r="D134" s="10"/>
      <c r="E134" s="10"/>
      <c r="F134" s="10"/>
      <c r="G134" s="39"/>
      <c r="I134" s="10"/>
      <c r="J134" s="10"/>
      <c r="K134" s="10"/>
      <c r="L134" s="10"/>
      <c r="M134" s="10"/>
      <c r="N134" s="10"/>
      <c r="O134" s="10"/>
      <c r="P134" s="10"/>
      <c r="Q134" s="10"/>
      <c r="R134" s="10"/>
      <c r="S134" s="10"/>
      <c r="T134" s="10"/>
      <c r="U134" s="10"/>
      <c r="V134" s="10"/>
      <c r="W134" s="10"/>
      <c r="X134" s="10"/>
      <c r="Y134" s="10"/>
      <c r="Z134" s="10"/>
      <c r="AA134" s="10"/>
      <c r="AB134" s="7"/>
      <c r="AC134" s="7"/>
      <c r="AD134" s="7"/>
      <c r="AE134" s="7"/>
      <c r="AF134" s="7"/>
      <c r="AG134" s="7"/>
      <c r="AH134" s="7"/>
      <c r="AI134" s="7"/>
      <c r="AJ134" s="7"/>
      <c r="AK134" s="7"/>
      <c r="AL134" s="7"/>
      <c r="AM134" s="7"/>
      <c r="AN134" s="7"/>
      <c r="AO134" s="7"/>
      <c r="AP134" s="7"/>
      <c r="AQ134" s="7"/>
      <c r="AR134" s="7"/>
      <c r="AS134" s="7"/>
      <c r="AT134" s="7"/>
      <c r="AU134" s="7"/>
      <c r="AV134" s="7"/>
      <c r="AW134" s="7"/>
      <c r="AX134" s="7"/>
      <c r="AY134" s="7"/>
      <c r="AZ134" s="28"/>
      <c r="BA134" s="10"/>
      <c r="BB134" s="10"/>
      <c r="BC134" s="10"/>
      <c r="BD134" s="7"/>
      <c r="BE134" s="7"/>
      <c r="BF134" s="7"/>
      <c r="BG134" s="7"/>
      <c r="BH134" s="7"/>
      <c r="BI134" s="7"/>
      <c r="BJ134" s="7"/>
      <c r="BK134" s="7"/>
      <c r="BL134" s="7"/>
      <c r="BM134" s="7"/>
      <c r="BN134" s="7"/>
    </row>
    <row r="135" spans="2:75">
      <c r="B135" s="60" t="s">
        <v>193</v>
      </c>
      <c r="D135" s="8">
        <f t="shared" ref="D135:Q135" si="471">+D90/D$86</f>
        <v>8.4115117051063698E-2</v>
      </c>
      <c r="E135" s="8">
        <f t="shared" si="471"/>
        <v>7.7352885060917434E-2</v>
      </c>
      <c r="F135" s="8">
        <f t="shared" si="471"/>
        <v>8.2887405527665908E-2</v>
      </c>
      <c r="G135" s="25">
        <f t="shared" si="471"/>
        <v>7.806564849500959E-2</v>
      </c>
      <c r="H135" s="8">
        <f t="shared" si="471"/>
        <v>7.2630006265362188E-2</v>
      </c>
      <c r="I135" s="8">
        <f t="shared" si="471"/>
        <v>6.4205868653935724E-2</v>
      </c>
      <c r="J135" s="8">
        <f t="shared" si="471"/>
        <v>5.7431551499348102E-2</v>
      </c>
      <c r="K135" s="8">
        <f t="shared" si="471"/>
        <v>5.7833814754685957E-2</v>
      </c>
      <c r="L135" s="8">
        <f t="shared" si="471"/>
        <v>6.009030913511635E-2</v>
      </c>
      <c r="M135" s="8">
        <f t="shared" si="471"/>
        <v>5.5514433752775733E-2</v>
      </c>
      <c r="N135" s="8">
        <f t="shared" si="471"/>
        <v>4.877038571058763E-2</v>
      </c>
      <c r="O135" s="8">
        <f t="shared" si="471"/>
        <v>5.4093984520591637E-2</v>
      </c>
      <c r="P135" s="8">
        <f t="shared" si="471"/>
        <v>5.867787443391001E-2</v>
      </c>
      <c r="Q135" s="8">
        <f t="shared" si="471"/>
        <v>5.7577403585008145E-2</v>
      </c>
      <c r="R135" s="8">
        <f t="shared" ref="R135:Y138" si="472">+R90/R$86</f>
        <v>5.2750590617617277E-2</v>
      </c>
      <c r="S135" s="8">
        <f t="shared" si="472"/>
        <v>5.4978962131837304E-2</v>
      </c>
      <c r="T135" s="8">
        <f t="shared" si="472"/>
        <v>5.2348894141482361E-2</v>
      </c>
      <c r="U135" s="8">
        <f t="shared" si="472"/>
        <v>5.0300444840759163E-2</v>
      </c>
      <c r="V135" s="8">
        <f t="shared" si="472"/>
        <v>5.2143236843376989E-2</v>
      </c>
      <c r="W135" s="8">
        <f t="shared" si="472"/>
        <v>5.4987054617186511E-2</v>
      </c>
      <c r="X135" s="8">
        <f t="shared" si="472"/>
        <v>5.4207089200105689E-2</v>
      </c>
      <c r="Y135" s="8">
        <f t="shared" si="472"/>
        <v>5.3741610116067789E-2</v>
      </c>
      <c r="Z135" s="8">
        <f t="shared" ref="Z135:AA135" si="473">+Z90/Z$86</f>
        <v>4.9952974061019451E-2</v>
      </c>
      <c r="AA135" s="8">
        <f t="shared" si="473"/>
        <v>4.9473976335242323E-2</v>
      </c>
      <c r="AB135" s="341">
        <v>0.04</v>
      </c>
      <c r="AC135" s="341">
        <v>3.2500000000000001E-2</v>
      </c>
      <c r="AD135" s="16">
        <f t="shared" ref="AD135:AM135" si="474">+AC135-0.0003</f>
        <v>3.2199999999999999E-2</v>
      </c>
      <c r="AE135" s="16">
        <f t="shared" si="474"/>
        <v>3.1899999999999998E-2</v>
      </c>
      <c r="AF135" s="16">
        <f t="shared" si="474"/>
        <v>3.1599999999999996E-2</v>
      </c>
      <c r="AG135" s="16">
        <f t="shared" si="474"/>
        <v>3.1299999999999994E-2</v>
      </c>
      <c r="AH135" s="16">
        <f t="shared" si="474"/>
        <v>3.0999999999999993E-2</v>
      </c>
      <c r="AI135" s="16">
        <f t="shared" si="474"/>
        <v>3.0699999999999991E-2</v>
      </c>
      <c r="AJ135" s="16">
        <f t="shared" si="474"/>
        <v>3.039999999999999E-2</v>
      </c>
      <c r="AK135" s="16">
        <f t="shared" si="474"/>
        <v>3.0099999999999988E-2</v>
      </c>
      <c r="AL135" s="16">
        <f t="shared" si="474"/>
        <v>2.9799999999999986E-2</v>
      </c>
      <c r="AM135" s="16">
        <f t="shared" si="474"/>
        <v>2.9499999999999985E-2</v>
      </c>
      <c r="AN135" s="16">
        <f t="shared" ref="AN135" si="475">+AM135-0.0003</f>
        <v>2.9199999999999983E-2</v>
      </c>
      <c r="AO135" s="16">
        <f t="shared" ref="AO135" si="476">+AN135-0.0003</f>
        <v>2.8899999999999981E-2</v>
      </c>
      <c r="AP135" s="16">
        <f t="shared" ref="AP135" si="477">+AO135-0.0003</f>
        <v>2.859999999999998E-2</v>
      </c>
      <c r="AQ135" s="16">
        <f t="shared" ref="AQ135" si="478">+AP135-0.0003</f>
        <v>2.8299999999999978E-2</v>
      </c>
      <c r="AR135" s="16">
        <f t="shared" ref="AR135" si="479">+AQ135-0.0003</f>
        <v>2.7999999999999976E-2</v>
      </c>
      <c r="AS135" s="16">
        <f t="shared" ref="AS135" si="480">+AR135-0.0003</f>
        <v>2.7699999999999975E-2</v>
      </c>
      <c r="AT135" s="16">
        <f t="shared" ref="AT135" si="481">+AS135-0.0003</f>
        <v>2.7399999999999973E-2</v>
      </c>
      <c r="AU135" s="16">
        <f t="shared" ref="AU135" si="482">+AT135-0.0003</f>
        <v>2.7099999999999971E-2</v>
      </c>
      <c r="AV135" s="16">
        <f t="shared" ref="AV135" si="483">+AU135-0.0003</f>
        <v>2.679999999999997E-2</v>
      </c>
      <c r="AW135" s="16">
        <f t="shared" ref="AW135" si="484">+AV135-0.0003</f>
        <v>2.6499999999999968E-2</v>
      </c>
      <c r="AX135" s="16">
        <f t="shared" ref="AX135" si="485">+AW135-0.0003</f>
        <v>2.6199999999999966E-2</v>
      </c>
      <c r="AY135" s="16">
        <f t="shared" ref="AY135" si="486">+AX135-0.0003</f>
        <v>2.5899999999999965E-2</v>
      </c>
      <c r="AZ135" s="28"/>
      <c r="BA135" s="8"/>
      <c r="BB135" s="8"/>
      <c r="BC135" s="8"/>
      <c r="BD135" s="7"/>
      <c r="BE135" s="7"/>
      <c r="BF135" s="7"/>
      <c r="BG135" s="7"/>
      <c r="BH135" s="7"/>
      <c r="BI135" s="7"/>
      <c r="BJ135" s="7"/>
      <c r="BK135" s="7"/>
      <c r="BL135" s="7"/>
      <c r="BM135" s="7"/>
      <c r="BN135" s="7"/>
    </row>
    <row r="136" spans="2:75">
      <c r="B136" s="60" t="s">
        <v>194</v>
      </c>
      <c r="D136" s="8">
        <f t="shared" ref="D136:Q136" si="487">+D91/D$86</f>
        <v>4.2750339173859071E-2</v>
      </c>
      <c r="E136" s="8">
        <f t="shared" si="487"/>
        <v>4.0557115211643811E-2</v>
      </c>
      <c r="F136" s="8">
        <f t="shared" si="487"/>
        <v>4.1043746896894141E-2</v>
      </c>
      <c r="G136" s="25">
        <f t="shared" si="487"/>
        <v>2.8920965080030395E-2</v>
      </c>
      <c r="H136" s="8">
        <f t="shared" si="487"/>
        <v>2.6627789291050172E-2</v>
      </c>
      <c r="I136" s="8">
        <f t="shared" si="487"/>
        <v>2.5803446669771773E-2</v>
      </c>
      <c r="J136" s="8">
        <f t="shared" si="487"/>
        <v>2.4163407214254671E-2</v>
      </c>
      <c r="K136" s="8">
        <f t="shared" si="487"/>
        <v>2.344557127495836E-2</v>
      </c>
      <c r="L136" s="8">
        <f t="shared" si="487"/>
        <v>2.4906523915575261E-2</v>
      </c>
      <c r="M136" s="8">
        <f t="shared" si="487"/>
        <v>2.3861467139350973E-2</v>
      </c>
      <c r="N136" s="8">
        <f t="shared" si="487"/>
        <v>2.1157994650099231E-2</v>
      </c>
      <c r="O136" s="8">
        <f t="shared" si="487"/>
        <v>2.0583247989523698E-2</v>
      </c>
      <c r="P136" s="8">
        <f t="shared" si="487"/>
        <v>2.0004561300622292E-2</v>
      </c>
      <c r="Q136" s="8">
        <f t="shared" si="487"/>
        <v>2.6762775812205469E-2</v>
      </c>
      <c r="R136" s="8">
        <f t="shared" si="472"/>
        <v>5.5484306446169425E-2</v>
      </c>
      <c r="S136" s="8">
        <f t="shared" si="472"/>
        <v>5.3177257525083607E-2</v>
      </c>
      <c r="T136" s="8">
        <f t="shared" si="472"/>
        <v>5.0618352186392025E-2</v>
      </c>
      <c r="U136" s="8">
        <f t="shared" si="472"/>
        <v>4.842583116317245E-2</v>
      </c>
      <c r="V136" s="8">
        <f t="shared" si="472"/>
        <v>3.9675252500845706E-2</v>
      </c>
      <c r="W136" s="8">
        <f t="shared" si="472"/>
        <v>3.8162798858150819E-2</v>
      </c>
      <c r="X136" s="8">
        <f t="shared" si="472"/>
        <v>3.7342871163791473E-2</v>
      </c>
      <c r="Y136" s="8">
        <f t="shared" si="472"/>
        <v>3.6303630363036306E-2</v>
      </c>
      <c r="Z136" s="8">
        <f t="shared" ref="Z136:AA136" si="488">+Z91/Z$86</f>
        <v>3.3401601518893882E-2</v>
      </c>
      <c r="AA136" s="8">
        <f t="shared" si="488"/>
        <v>3.1780070809260728E-2</v>
      </c>
      <c r="AB136" s="16">
        <f t="shared" ref="AB136:AE136" si="489">+AA136-0.0005</f>
        <v>3.1280070809260728E-2</v>
      </c>
      <c r="AC136" s="16">
        <f t="shared" si="489"/>
        <v>3.0780070809260728E-2</v>
      </c>
      <c r="AD136" s="16">
        <f t="shared" si="489"/>
        <v>3.0280070809260727E-2</v>
      </c>
      <c r="AE136" s="16">
        <f t="shared" si="489"/>
        <v>2.9780070809260727E-2</v>
      </c>
      <c r="AF136" s="16">
        <f t="shared" ref="AF136:AM136" si="490">+AE136</f>
        <v>2.9780070809260727E-2</v>
      </c>
      <c r="AG136" s="16">
        <f t="shared" si="490"/>
        <v>2.9780070809260727E-2</v>
      </c>
      <c r="AH136" s="16">
        <f t="shared" si="490"/>
        <v>2.9780070809260727E-2</v>
      </c>
      <c r="AI136" s="16">
        <f t="shared" si="490"/>
        <v>2.9780070809260727E-2</v>
      </c>
      <c r="AJ136" s="16">
        <f t="shared" si="490"/>
        <v>2.9780070809260727E-2</v>
      </c>
      <c r="AK136" s="16">
        <f t="shared" si="490"/>
        <v>2.9780070809260727E-2</v>
      </c>
      <c r="AL136" s="16">
        <f t="shared" si="490"/>
        <v>2.9780070809260727E-2</v>
      </c>
      <c r="AM136" s="16">
        <f t="shared" si="490"/>
        <v>2.9780070809260727E-2</v>
      </c>
      <c r="AN136" s="16">
        <f t="shared" ref="AN136:AN137" si="491">+AM136</f>
        <v>2.9780070809260727E-2</v>
      </c>
      <c r="AO136" s="16">
        <f t="shared" ref="AO136:AO137" si="492">+AN136</f>
        <v>2.9780070809260727E-2</v>
      </c>
      <c r="AP136" s="16">
        <f t="shared" ref="AP136:AP137" si="493">+AO136</f>
        <v>2.9780070809260727E-2</v>
      </c>
      <c r="AQ136" s="16">
        <f t="shared" ref="AQ136:AQ137" si="494">+AP136</f>
        <v>2.9780070809260727E-2</v>
      </c>
      <c r="AR136" s="16">
        <f t="shared" ref="AR136:AR137" si="495">+AQ136</f>
        <v>2.9780070809260727E-2</v>
      </c>
      <c r="AS136" s="16">
        <f t="shared" ref="AS136:AS137" si="496">+AR136</f>
        <v>2.9780070809260727E-2</v>
      </c>
      <c r="AT136" s="16">
        <f t="shared" ref="AT136:AT137" si="497">+AS136</f>
        <v>2.9780070809260727E-2</v>
      </c>
      <c r="AU136" s="16">
        <f t="shared" ref="AU136:AU137" si="498">+AT136</f>
        <v>2.9780070809260727E-2</v>
      </c>
      <c r="AV136" s="16">
        <f t="shared" ref="AV136:AV137" si="499">+AU136</f>
        <v>2.9780070809260727E-2</v>
      </c>
      <c r="AW136" s="16">
        <f t="shared" ref="AW136:AW137" si="500">+AV136</f>
        <v>2.9780070809260727E-2</v>
      </c>
      <c r="AX136" s="16">
        <f t="shared" ref="AX136:AX137" si="501">+AW136</f>
        <v>2.9780070809260727E-2</v>
      </c>
      <c r="AY136" s="16">
        <f t="shared" ref="AY136:AY137" si="502">+AX136</f>
        <v>2.9780070809260727E-2</v>
      </c>
      <c r="AZ136" s="28"/>
      <c r="BA136" s="8"/>
      <c r="BB136" s="8"/>
      <c r="BC136" s="8"/>
      <c r="BD136" s="7"/>
      <c r="BE136" s="7"/>
      <c r="BF136" s="7"/>
      <c r="BG136" s="7"/>
      <c r="BH136" s="7"/>
      <c r="BI136" s="7"/>
      <c r="BJ136" s="7"/>
      <c r="BK136" s="7"/>
      <c r="BL136" s="7"/>
      <c r="BM136" s="7"/>
      <c r="BN136" s="7"/>
    </row>
    <row r="137" spans="2:75">
      <c r="B137" s="60" t="s">
        <v>14</v>
      </c>
      <c r="D137" s="8">
        <f t="shared" ref="D137:Q137" si="503">+D92/D$86</f>
        <v>1.9022601968651673E-2</v>
      </c>
      <c r="E137" s="8">
        <f t="shared" si="503"/>
        <v>2.0632887241407504E-2</v>
      </c>
      <c r="F137" s="8">
        <f t="shared" si="503"/>
        <v>2.112870303966459E-2</v>
      </c>
      <c r="G137" s="25">
        <f t="shared" si="503"/>
        <v>1.6870562963351064E-2</v>
      </c>
      <c r="H137" s="8">
        <f t="shared" si="503"/>
        <v>2.8386910212540365E-2</v>
      </c>
      <c r="I137" s="8">
        <f t="shared" si="503"/>
        <v>2.2473218444340939E-2</v>
      </c>
      <c r="J137" s="8">
        <f t="shared" si="503"/>
        <v>1.9708822251195132E-2</v>
      </c>
      <c r="K137" s="8">
        <f t="shared" si="503"/>
        <v>2.4478694469628297E-2</v>
      </c>
      <c r="L137" s="8">
        <f t="shared" si="503"/>
        <v>2.35375845371146E-2</v>
      </c>
      <c r="M137" s="8">
        <f t="shared" si="503"/>
        <v>2.2965444699832485E-2</v>
      </c>
      <c r="N137" s="8">
        <f t="shared" si="503"/>
        <v>3.2737941151091556E-2</v>
      </c>
      <c r="O137" s="8">
        <f t="shared" si="503"/>
        <v>2.3538102513305244E-2</v>
      </c>
      <c r="P137" s="8">
        <f t="shared" si="503"/>
        <v>3.4910240119897039E-2</v>
      </c>
      <c r="Q137" s="8">
        <f t="shared" si="503"/>
        <v>2.9302523599101543E-2</v>
      </c>
      <c r="R137" s="8">
        <f t="shared" si="472"/>
        <v>2.7472156598042526E-2</v>
      </c>
      <c r="S137" s="8">
        <f t="shared" si="472"/>
        <v>3.3595857158269501E-2</v>
      </c>
      <c r="T137" s="8">
        <f t="shared" si="472"/>
        <v>3.4325932804322133E-2</v>
      </c>
      <c r="U137" s="8">
        <f t="shared" si="472"/>
        <v>3.1432711502021538E-2</v>
      </c>
      <c r="V137" s="8">
        <f t="shared" si="472"/>
        <v>3.1972164500072488E-2</v>
      </c>
      <c r="W137" s="8">
        <f t="shared" si="472"/>
        <v>4.1899414849729227E-2</v>
      </c>
      <c r="X137" s="8">
        <f t="shared" si="472"/>
        <v>4.2306821184553235E-2</v>
      </c>
      <c r="Y137" s="8">
        <f t="shared" si="472"/>
        <v>3.3587347498794828E-2</v>
      </c>
      <c r="Z137" s="8">
        <f t="shared" ref="Z137:AA137" si="504">+Z92/Z$86</f>
        <v>3.1010750041752005E-2</v>
      </c>
      <c r="AA137" s="8">
        <f t="shared" si="504"/>
        <v>3.4479568753101063E-2</v>
      </c>
      <c r="AB137" s="341">
        <v>0.04</v>
      </c>
      <c r="AC137" s="341">
        <v>3.2500000000000001E-2</v>
      </c>
      <c r="AD137" s="341">
        <f t="shared" ref="AD137:AM137" si="505">+AC137</f>
        <v>3.2500000000000001E-2</v>
      </c>
      <c r="AE137" s="341">
        <f t="shared" si="505"/>
        <v>3.2500000000000001E-2</v>
      </c>
      <c r="AF137" s="341">
        <v>0.03</v>
      </c>
      <c r="AG137" s="341">
        <f t="shared" si="505"/>
        <v>0.03</v>
      </c>
      <c r="AH137" s="341">
        <f t="shared" si="505"/>
        <v>0.03</v>
      </c>
      <c r="AI137" s="341">
        <f t="shared" si="505"/>
        <v>0.03</v>
      </c>
      <c r="AJ137" s="341">
        <f t="shared" si="505"/>
        <v>0.03</v>
      </c>
      <c r="AK137" s="341">
        <f t="shared" si="505"/>
        <v>0.03</v>
      </c>
      <c r="AL137" s="341">
        <f t="shared" si="505"/>
        <v>0.03</v>
      </c>
      <c r="AM137" s="341">
        <f t="shared" si="505"/>
        <v>0.03</v>
      </c>
      <c r="AN137" s="341">
        <f t="shared" si="491"/>
        <v>0.03</v>
      </c>
      <c r="AO137" s="341">
        <f t="shared" si="492"/>
        <v>0.03</v>
      </c>
      <c r="AP137" s="341">
        <f t="shared" si="493"/>
        <v>0.03</v>
      </c>
      <c r="AQ137" s="341">
        <f t="shared" si="494"/>
        <v>0.03</v>
      </c>
      <c r="AR137" s="341">
        <f t="shared" si="495"/>
        <v>0.03</v>
      </c>
      <c r="AS137" s="341">
        <f t="shared" si="496"/>
        <v>0.03</v>
      </c>
      <c r="AT137" s="341">
        <f t="shared" si="497"/>
        <v>0.03</v>
      </c>
      <c r="AU137" s="341">
        <f t="shared" si="498"/>
        <v>0.03</v>
      </c>
      <c r="AV137" s="341">
        <f t="shared" si="499"/>
        <v>0.03</v>
      </c>
      <c r="AW137" s="341">
        <f t="shared" si="500"/>
        <v>0.03</v>
      </c>
      <c r="AX137" s="341">
        <f t="shared" si="501"/>
        <v>0.03</v>
      </c>
      <c r="AY137" s="341">
        <f t="shared" si="502"/>
        <v>0.03</v>
      </c>
      <c r="AZ137" s="28"/>
      <c r="BA137" s="8"/>
      <c r="BB137" s="8"/>
      <c r="BC137" s="8"/>
      <c r="BD137" s="7"/>
      <c r="BE137" s="7"/>
      <c r="BF137" s="7"/>
      <c r="BG137" s="7"/>
      <c r="BH137" s="7"/>
      <c r="BI137" s="7"/>
      <c r="BJ137" s="7"/>
      <c r="BK137" s="7"/>
      <c r="BL137" s="7"/>
      <c r="BM137" s="7"/>
      <c r="BN137" s="7"/>
    </row>
    <row r="138" spans="2:75">
      <c r="B138" s="60" t="s">
        <v>13</v>
      </c>
      <c r="D138" s="8">
        <f t="shared" ref="D138:Q138" si="506">+D93/D$86</f>
        <v>0.13408192131166469</v>
      </c>
      <c r="E138" s="8">
        <f t="shared" si="506"/>
        <v>0.13529940854206982</v>
      </c>
      <c r="F138" s="8">
        <f t="shared" si="506"/>
        <v>0.15783086004302976</v>
      </c>
      <c r="G138" s="25">
        <f t="shared" si="506"/>
        <v>0.13121840044010163</v>
      </c>
      <c r="H138" s="8">
        <f t="shared" si="506"/>
        <v>0.13366909248638489</v>
      </c>
      <c r="I138" s="8">
        <f t="shared" si="506"/>
        <v>0.14552864462040052</v>
      </c>
      <c r="J138" s="8">
        <f t="shared" si="506"/>
        <v>0.15202086049543675</v>
      </c>
      <c r="K138" s="8">
        <f t="shared" si="506"/>
        <v>0.12973075544498089</v>
      </c>
      <c r="L138" s="8">
        <f t="shared" si="506"/>
        <v>0.13550456653658335</v>
      </c>
      <c r="M138" s="8">
        <f t="shared" si="506"/>
        <v>0.1375589232147727</v>
      </c>
      <c r="N138" s="8">
        <f t="shared" si="506"/>
        <v>0.15245491414272153</v>
      </c>
      <c r="O138" s="8">
        <f t="shared" si="506"/>
        <v>0.12537984990682136</v>
      </c>
      <c r="P138" s="8">
        <f t="shared" si="506"/>
        <v>0.12048349786596292</v>
      </c>
      <c r="Q138" s="8">
        <f t="shared" si="506"/>
        <v>0.12033706710512793</v>
      </c>
      <c r="R138" s="8">
        <f t="shared" si="472"/>
        <v>0.10833614579817753</v>
      </c>
      <c r="S138" s="8">
        <f t="shared" si="472"/>
        <v>8.4949832775919748E-2</v>
      </c>
      <c r="T138" s="8">
        <f t="shared" si="472"/>
        <v>8.3773003545500588E-2</v>
      </c>
      <c r="U138" s="8">
        <f t="shared" si="472"/>
        <v>9.0559040197797064E-2</v>
      </c>
      <c r="V138" s="8">
        <f t="shared" si="472"/>
        <v>0.11250181220702654</v>
      </c>
      <c r="W138" s="8">
        <f t="shared" si="472"/>
        <v>9.7085629202507517E-2</v>
      </c>
      <c r="X138" s="8">
        <f t="shared" si="472"/>
        <v>0.10333698237137139</v>
      </c>
      <c r="Y138" s="8">
        <f t="shared" si="472"/>
        <v>0.10656543182408128</v>
      </c>
      <c r="Z138" s="8">
        <f t="shared" ref="Z138:AA138" si="507">+Z93/Z$86</f>
        <v>0.11896244077808153</v>
      </c>
      <c r="AA138" s="8">
        <f t="shared" si="507"/>
        <v>0.1037078150885957</v>
      </c>
      <c r="AB138" s="16">
        <f t="shared" ref="AB138:AY138" ca="1" si="508">+OFFSET(AB138,$C$5,0)</f>
        <v>0.10283698237137139</v>
      </c>
      <c r="AC138" s="16">
        <f t="shared" ca="1" si="508"/>
        <v>0.10506543182408128</v>
      </c>
      <c r="AD138" s="16">
        <f t="shared" ca="1" si="508"/>
        <v>0.11746244077808153</v>
      </c>
      <c r="AE138" s="16">
        <f t="shared" ca="1" si="508"/>
        <v>0.10220781508859569</v>
      </c>
      <c r="AF138" s="16">
        <f t="shared" ca="1" si="508"/>
        <v>0.10133698237137138</v>
      </c>
      <c r="AG138" s="16">
        <f t="shared" ca="1" si="508"/>
        <v>0.10356543182408127</v>
      </c>
      <c r="AH138" s="16">
        <f t="shared" ca="1" si="508"/>
        <v>0.11596244077808153</v>
      </c>
      <c r="AI138" s="16">
        <f t="shared" ca="1" si="508"/>
        <v>0.10070781508859569</v>
      </c>
      <c r="AJ138" s="16">
        <f t="shared" ca="1" si="508"/>
        <v>9.9836982371371383E-2</v>
      </c>
      <c r="AK138" s="16">
        <f t="shared" ca="1" si="508"/>
        <v>0.10206543182408127</v>
      </c>
      <c r="AL138" s="16">
        <f t="shared" ca="1" si="508"/>
        <v>0.11446244077808153</v>
      </c>
      <c r="AM138" s="16">
        <f t="shared" ca="1" si="508"/>
        <v>9.9207815088595691E-2</v>
      </c>
      <c r="AN138" s="16">
        <f t="shared" ca="1" si="508"/>
        <v>9.8336982371371381E-2</v>
      </c>
      <c r="AO138" s="16">
        <f t="shared" ca="1" si="508"/>
        <v>0.10056543182408127</v>
      </c>
      <c r="AP138" s="16">
        <f t="shared" ca="1" si="508"/>
        <v>0.11296244077808153</v>
      </c>
      <c r="AQ138" s="16">
        <f t="shared" ca="1" si="508"/>
        <v>9.770781508859569E-2</v>
      </c>
      <c r="AR138" s="16">
        <f t="shared" ca="1" si="508"/>
        <v>9.683698237137138E-2</v>
      </c>
      <c r="AS138" s="16">
        <f t="shared" ca="1" si="508"/>
        <v>9.9065431824081271E-2</v>
      </c>
      <c r="AT138" s="16">
        <f t="shared" ca="1" si="508"/>
        <v>0.11146244077808153</v>
      </c>
      <c r="AU138" s="16">
        <f t="shared" ca="1" si="508"/>
        <v>9.6207815088595688E-2</v>
      </c>
      <c r="AV138" s="16">
        <f t="shared" ca="1" si="508"/>
        <v>9.5336982371371379E-2</v>
      </c>
      <c r="AW138" s="16">
        <f t="shared" ca="1" si="508"/>
        <v>9.756543182408127E-2</v>
      </c>
      <c r="AX138" s="16">
        <f t="shared" ca="1" si="508"/>
        <v>0.10996244077808152</v>
      </c>
      <c r="AY138" s="16">
        <f t="shared" ca="1" si="508"/>
        <v>9.4707815088595687E-2</v>
      </c>
      <c r="AZ138" s="28"/>
      <c r="BA138" s="8"/>
      <c r="BB138" s="8"/>
      <c r="BC138" s="8"/>
      <c r="BD138" s="7"/>
      <c r="BE138" s="7"/>
      <c r="BF138" s="7"/>
      <c r="BG138" s="7"/>
      <c r="BH138" s="7"/>
      <c r="BI138" s="7"/>
      <c r="BJ138" s="7"/>
      <c r="BK138" s="7"/>
      <c r="BL138" s="7"/>
      <c r="BM138" s="7"/>
      <c r="BN138" s="7"/>
    </row>
    <row r="139" spans="2:75">
      <c r="B139" s="60"/>
      <c r="D139" s="8"/>
      <c r="E139" s="8"/>
      <c r="F139" s="8"/>
      <c r="G139" s="25"/>
      <c r="H139" s="8"/>
      <c r="I139" s="8"/>
      <c r="J139" s="8"/>
      <c r="K139" s="8"/>
      <c r="L139" s="8"/>
      <c r="M139" s="8"/>
      <c r="N139" s="8"/>
      <c r="O139" s="8"/>
      <c r="P139" s="8"/>
      <c r="Q139" s="8"/>
      <c r="R139" s="8"/>
      <c r="S139" s="8"/>
      <c r="T139" s="8"/>
      <c r="U139" s="8"/>
      <c r="V139" s="8"/>
      <c r="W139" s="8"/>
      <c r="X139" s="8"/>
      <c r="Y139" s="8"/>
      <c r="Z139" s="8"/>
      <c r="AA139" s="8"/>
      <c r="AB139" s="107">
        <f t="shared" ref="AB139:AY139" si="509">+AB140-0.0015</f>
        <v>0.10133698237137138</v>
      </c>
      <c r="AC139" s="107">
        <f t="shared" si="509"/>
        <v>0.10356543182408127</v>
      </c>
      <c r="AD139" s="107">
        <f t="shared" si="509"/>
        <v>0.11596244077808153</v>
      </c>
      <c r="AE139" s="107">
        <f t="shared" si="509"/>
        <v>0.10070781508859569</v>
      </c>
      <c r="AF139" s="107">
        <f t="shared" si="509"/>
        <v>9.9836982371371383E-2</v>
      </c>
      <c r="AG139" s="107">
        <f t="shared" si="509"/>
        <v>0.10206543182408127</v>
      </c>
      <c r="AH139" s="107">
        <f t="shared" si="509"/>
        <v>0.11446244077808153</v>
      </c>
      <c r="AI139" s="107">
        <f t="shared" si="509"/>
        <v>9.9207815088595691E-2</v>
      </c>
      <c r="AJ139" s="107">
        <f t="shared" si="509"/>
        <v>9.8336982371371381E-2</v>
      </c>
      <c r="AK139" s="107">
        <f t="shared" si="509"/>
        <v>0.10056543182408127</v>
      </c>
      <c r="AL139" s="107">
        <f t="shared" si="509"/>
        <v>0.11296244077808153</v>
      </c>
      <c r="AM139" s="107">
        <f t="shared" si="509"/>
        <v>9.770781508859569E-2</v>
      </c>
      <c r="AN139" s="107">
        <f t="shared" si="509"/>
        <v>9.683698237137138E-2</v>
      </c>
      <c r="AO139" s="107">
        <f t="shared" si="509"/>
        <v>9.9065431824081271E-2</v>
      </c>
      <c r="AP139" s="107">
        <f t="shared" si="509"/>
        <v>0.11146244077808153</v>
      </c>
      <c r="AQ139" s="107">
        <f t="shared" si="509"/>
        <v>9.6207815088595688E-2</v>
      </c>
      <c r="AR139" s="107">
        <f t="shared" si="509"/>
        <v>9.5336982371371379E-2</v>
      </c>
      <c r="AS139" s="107">
        <f t="shared" si="509"/>
        <v>9.756543182408127E-2</v>
      </c>
      <c r="AT139" s="107">
        <f t="shared" si="509"/>
        <v>0.10996244077808152</v>
      </c>
      <c r="AU139" s="107">
        <f t="shared" si="509"/>
        <v>9.4707815088595687E-2</v>
      </c>
      <c r="AV139" s="107">
        <f t="shared" si="509"/>
        <v>9.3836982371371377E-2</v>
      </c>
      <c r="AW139" s="107">
        <f t="shared" si="509"/>
        <v>9.6065431824081268E-2</v>
      </c>
      <c r="AX139" s="107">
        <f t="shared" si="509"/>
        <v>0.10846244077808152</v>
      </c>
      <c r="AY139" s="107">
        <f t="shared" si="509"/>
        <v>9.3207815088595686E-2</v>
      </c>
      <c r="AZ139" s="28"/>
      <c r="BA139" s="8"/>
      <c r="BB139" s="8"/>
      <c r="BC139" s="8"/>
      <c r="BD139" s="7"/>
      <c r="BE139" s="7"/>
      <c r="BF139" s="7"/>
      <c r="BG139" s="7"/>
      <c r="BH139" s="7"/>
      <c r="BI139" s="7"/>
      <c r="BJ139" s="7"/>
      <c r="BK139" s="7"/>
      <c r="BL139" s="7"/>
      <c r="BM139" s="7"/>
      <c r="BN139" s="7"/>
    </row>
    <row r="140" spans="2:75">
      <c r="B140" s="60"/>
      <c r="D140" s="8">
        <f t="shared" ref="D140:J140" si="510">D138</f>
        <v>0.13408192131166469</v>
      </c>
      <c r="E140" s="8">
        <f t="shared" si="510"/>
        <v>0.13529940854206982</v>
      </c>
      <c r="F140" s="8">
        <f t="shared" si="510"/>
        <v>0.15783086004302976</v>
      </c>
      <c r="G140" s="25">
        <f t="shared" si="510"/>
        <v>0.13121840044010163</v>
      </c>
      <c r="H140" s="8">
        <f t="shared" si="510"/>
        <v>0.13366909248638489</v>
      </c>
      <c r="I140" s="8">
        <f t="shared" si="510"/>
        <v>0.14552864462040052</v>
      </c>
      <c r="J140" s="8">
        <f t="shared" si="510"/>
        <v>0.15202086049543675</v>
      </c>
      <c r="K140" s="8">
        <f t="shared" ref="K140:P140" si="511">K138</f>
        <v>0.12973075544498089</v>
      </c>
      <c r="L140" s="8">
        <f t="shared" si="511"/>
        <v>0.13550456653658335</v>
      </c>
      <c r="M140" s="8">
        <f t="shared" si="511"/>
        <v>0.1375589232147727</v>
      </c>
      <c r="N140" s="8">
        <f t="shared" si="511"/>
        <v>0.15245491414272153</v>
      </c>
      <c r="O140" s="8">
        <f t="shared" si="511"/>
        <v>0.12537984990682136</v>
      </c>
      <c r="P140" s="8">
        <f t="shared" si="511"/>
        <v>0.12048349786596292</v>
      </c>
      <c r="Q140" s="8">
        <f t="shared" ref="Q140:V140" si="512">Q138</f>
        <v>0.12033706710512793</v>
      </c>
      <c r="R140" s="8">
        <f t="shared" si="512"/>
        <v>0.10833614579817753</v>
      </c>
      <c r="S140" s="8">
        <f t="shared" si="512"/>
        <v>8.4949832775919748E-2</v>
      </c>
      <c r="T140" s="8">
        <f t="shared" si="512"/>
        <v>8.3773003545500588E-2</v>
      </c>
      <c r="U140" s="8">
        <f t="shared" si="512"/>
        <v>9.0559040197797064E-2</v>
      </c>
      <c r="V140" s="8">
        <f t="shared" si="512"/>
        <v>0.11250181220702654</v>
      </c>
      <c r="W140" s="8">
        <f>W138</f>
        <v>9.7085629202507517E-2</v>
      </c>
      <c r="X140" s="8">
        <f>X138</f>
        <v>0.10333698237137139</v>
      </c>
      <c r="Y140" s="8">
        <f>Y138</f>
        <v>0.10656543182408128</v>
      </c>
      <c r="Z140" s="8">
        <f>Z138</f>
        <v>0.11896244077808153</v>
      </c>
      <c r="AA140" s="8">
        <f>AA138</f>
        <v>0.1037078150885957</v>
      </c>
      <c r="AB140" s="107">
        <f>+X140-0.0005</f>
        <v>0.10283698237137139</v>
      </c>
      <c r="AC140" s="107">
        <f t="shared" ref="AC140:AM140" si="513">+Y140-0.0015</f>
        <v>0.10506543182408128</v>
      </c>
      <c r="AD140" s="107">
        <f t="shared" si="513"/>
        <v>0.11746244077808153</v>
      </c>
      <c r="AE140" s="107">
        <f t="shared" si="513"/>
        <v>0.10220781508859569</v>
      </c>
      <c r="AF140" s="107">
        <f t="shared" si="513"/>
        <v>0.10133698237137138</v>
      </c>
      <c r="AG140" s="107">
        <f t="shared" si="513"/>
        <v>0.10356543182408127</v>
      </c>
      <c r="AH140" s="107">
        <f t="shared" si="513"/>
        <v>0.11596244077808153</v>
      </c>
      <c r="AI140" s="107">
        <f t="shared" si="513"/>
        <v>0.10070781508859569</v>
      </c>
      <c r="AJ140" s="107">
        <f t="shared" si="513"/>
        <v>9.9836982371371383E-2</v>
      </c>
      <c r="AK140" s="107">
        <f t="shared" si="513"/>
        <v>0.10206543182408127</v>
      </c>
      <c r="AL140" s="107">
        <f t="shared" si="513"/>
        <v>0.11446244077808153</v>
      </c>
      <c r="AM140" s="107">
        <f t="shared" si="513"/>
        <v>9.9207815088595691E-2</v>
      </c>
      <c r="AN140" s="107">
        <f t="shared" ref="AN140" si="514">+AJ140-0.0015</f>
        <v>9.8336982371371381E-2</v>
      </c>
      <c r="AO140" s="107">
        <f t="shared" ref="AO140" si="515">+AK140-0.0015</f>
        <v>0.10056543182408127</v>
      </c>
      <c r="AP140" s="107">
        <f t="shared" ref="AP140" si="516">+AL140-0.0015</f>
        <v>0.11296244077808153</v>
      </c>
      <c r="AQ140" s="107">
        <f t="shared" ref="AQ140" si="517">+AM140-0.0015</f>
        <v>9.770781508859569E-2</v>
      </c>
      <c r="AR140" s="107">
        <f t="shared" ref="AR140" si="518">+AN140-0.0015</f>
        <v>9.683698237137138E-2</v>
      </c>
      <c r="AS140" s="107">
        <f t="shared" ref="AS140" si="519">+AO140-0.0015</f>
        <v>9.9065431824081271E-2</v>
      </c>
      <c r="AT140" s="107">
        <f t="shared" ref="AT140" si="520">+AP140-0.0015</f>
        <v>0.11146244077808153</v>
      </c>
      <c r="AU140" s="107">
        <f t="shared" ref="AU140" si="521">+AQ140-0.0015</f>
        <v>9.6207815088595688E-2</v>
      </c>
      <c r="AV140" s="107">
        <f t="shared" ref="AV140" si="522">+AR140-0.0015</f>
        <v>9.5336982371371379E-2</v>
      </c>
      <c r="AW140" s="107">
        <f t="shared" ref="AW140" si="523">+AS140-0.0015</f>
        <v>9.756543182408127E-2</v>
      </c>
      <c r="AX140" s="107">
        <f t="shared" ref="AX140" si="524">+AT140-0.0015</f>
        <v>0.10996244077808152</v>
      </c>
      <c r="AY140" s="107">
        <f t="shared" ref="AY140" si="525">+AU140-0.0015</f>
        <v>9.4707815088595687E-2</v>
      </c>
      <c r="AZ140" s="28"/>
      <c r="BA140" s="8"/>
      <c r="BB140" s="8"/>
      <c r="BC140" s="8"/>
      <c r="BD140" s="7"/>
      <c r="BE140" s="7"/>
      <c r="BF140" s="7"/>
      <c r="BG140" s="7"/>
      <c r="BH140" s="7"/>
      <c r="BI140" s="7"/>
      <c r="BJ140" s="7"/>
      <c r="BK140" s="7"/>
      <c r="BL140" s="7"/>
      <c r="BM140" s="7"/>
      <c r="BN140" s="7"/>
    </row>
    <row r="141" spans="2:75">
      <c r="B141" s="60"/>
      <c r="D141" s="8"/>
      <c r="E141" s="8"/>
      <c r="F141" s="8"/>
      <c r="G141" s="25"/>
      <c r="H141" s="8"/>
      <c r="I141" s="8"/>
      <c r="J141" s="8"/>
      <c r="K141" s="8"/>
      <c r="L141" s="8"/>
      <c r="M141" s="8"/>
      <c r="N141" s="8"/>
      <c r="O141" s="8"/>
      <c r="P141" s="8"/>
      <c r="Q141" s="8"/>
      <c r="R141" s="8"/>
      <c r="S141" s="8"/>
      <c r="T141" s="8"/>
      <c r="U141" s="8"/>
      <c r="V141" s="8"/>
      <c r="W141" s="8"/>
      <c r="X141" s="8"/>
      <c r="Y141" s="8"/>
      <c r="Z141" s="8"/>
      <c r="AA141" s="8"/>
      <c r="AB141" s="107">
        <f t="shared" ref="AB141:AM141" si="526">+AB140+0.01</f>
        <v>0.11283698237137138</v>
      </c>
      <c r="AC141" s="107">
        <f t="shared" si="526"/>
        <v>0.11506543182408127</v>
      </c>
      <c r="AD141" s="107">
        <f t="shared" si="526"/>
        <v>0.12746244077808153</v>
      </c>
      <c r="AE141" s="107">
        <f t="shared" si="526"/>
        <v>0.11220781508859569</v>
      </c>
      <c r="AF141" s="107">
        <f t="shared" si="526"/>
        <v>0.11133698237137138</v>
      </c>
      <c r="AG141" s="107">
        <f t="shared" si="526"/>
        <v>0.11356543182408127</v>
      </c>
      <c r="AH141" s="107">
        <f t="shared" si="526"/>
        <v>0.12596244077808152</v>
      </c>
      <c r="AI141" s="107">
        <f t="shared" si="526"/>
        <v>0.11070781508859569</v>
      </c>
      <c r="AJ141" s="107">
        <f t="shared" si="526"/>
        <v>0.10983698237137138</v>
      </c>
      <c r="AK141" s="107">
        <f t="shared" si="526"/>
        <v>0.11206543182408127</v>
      </c>
      <c r="AL141" s="107">
        <f t="shared" si="526"/>
        <v>0.12446244077808152</v>
      </c>
      <c r="AM141" s="107">
        <f t="shared" si="526"/>
        <v>0.10920781508859569</v>
      </c>
      <c r="AN141" s="107">
        <f t="shared" ref="AN141:AY141" si="527">+AN140+0.01</f>
        <v>0.10833698237137138</v>
      </c>
      <c r="AO141" s="107">
        <f t="shared" si="527"/>
        <v>0.11056543182408127</v>
      </c>
      <c r="AP141" s="107">
        <f t="shared" si="527"/>
        <v>0.12296244077808152</v>
      </c>
      <c r="AQ141" s="107">
        <f t="shared" si="527"/>
        <v>0.10770781508859568</v>
      </c>
      <c r="AR141" s="107">
        <f t="shared" si="527"/>
        <v>0.10683698237137138</v>
      </c>
      <c r="AS141" s="107">
        <f t="shared" si="527"/>
        <v>0.10906543182408127</v>
      </c>
      <c r="AT141" s="107">
        <f t="shared" si="527"/>
        <v>0.12146244077808152</v>
      </c>
      <c r="AU141" s="107">
        <f t="shared" si="527"/>
        <v>0.10620781508859568</v>
      </c>
      <c r="AV141" s="107">
        <f t="shared" si="527"/>
        <v>0.10533698237137137</v>
      </c>
      <c r="AW141" s="107">
        <f t="shared" si="527"/>
        <v>0.10756543182408126</v>
      </c>
      <c r="AX141" s="107">
        <f t="shared" si="527"/>
        <v>0.11996244077808152</v>
      </c>
      <c r="AY141" s="107">
        <f t="shared" si="527"/>
        <v>0.10470781508859568</v>
      </c>
      <c r="AZ141" s="28"/>
      <c r="BA141" s="8"/>
      <c r="BB141" s="8"/>
      <c r="BC141" s="8"/>
      <c r="BD141" s="7"/>
      <c r="BE141" s="7"/>
      <c r="BF141" s="7"/>
      <c r="BG141" s="7"/>
      <c r="BH141" s="7"/>
      <c r="BI141" s="7"/>
      <c r="BJ141" s="7"/>
      <c r="BK141" s="7"/>
      <c r="BL141" s="7"/>
      <c r="BM141" s="7"/>
      <c r="BN141" s="7"/>
    </row>
    <row r="142" spans="2:75">
      <c r="B142" s="60" t="s">
        <v>195</v>
      </c>
      <c r="D142" s="8">
        <f t="shared" ref="D142:Q142" si="528">+D94/D$86</f>
        <v>3.9575094535692627E-2</v>
      </c>
      <c r="E142" s="8">
        <f t="shared" si="528"/>
        <v>4.0366322330943873E-2</v>
      </c>
      <c r="F142" s="8">
        <f t="shared" si="528"/>
        <v>3.9995586693882056E-2</v>
      </c>
      <c r="G142" s="25">
        <f t="shared" si="528"/>
        <v>4.002829224844788E-2</v>
      </c>
      <c r="H142" s="8">
        <f t="shared" si="528"/>
        <v>3.9785049881922031E-2</v>
      </c>
      <c r="I142" s="8">
        <f t="shared" si="528"/>
        <v>4.0009315323707495E-2</v>
      </c>
      <c r="J142" s="8">
        <f t="shared" si="528"/>
        <v>3.9917427205562794E-2</v>
      </c>
      <c r="K142" s="8">
        <f t="shared" si="528"/>
        <v>3.9680364334057215E-2</v>
      </c>
      <c r="L142" s="8">
        <f t="shared" si="528"/>
        <v>3.9862697423533495E-2</v>
      </c>
      <c r="M142" s="8">
        <f t="shared" si="528"/>
        <v>3.9834041061202231E-2</v>
      </c>
      <c r="N142" s="8">
        <f t="shared" si="528"/>
        <v>3.9330399516783153E-2</v>
      </c>
      <c r="O142" s="8">
        <f t="shared" si="528"/>
        <v>3.9806591340261585E-2</v>
      </c>
      <c r="P142" s="8">
        <f t="shared" si="528"/>
        <v>3.9715896132668689E-2</v>
      </c>
      <c r="Q142" s="8">
        <f t="shared" si="528"/>
        <v>3.9182582908818646E-2</v>
      </c>
      <c r="R142" s="8">
        <f t="shared" ref="R142:Z142" si="529">+R94/R$86</f>
        <v>5.4741815727303404E-2</v>
      </c>
      <c r="S142" s="8">
        <f t="shared" si="529"/>
        <v>5.6230445571259044E-2</v>
      </c>
      <c r="T142" s="8">
        <f t="shared" si="529"/>
        <v>5.3171956778659463E-2</v>
      </c>
      <c r="U142" s="8">
        <f t="shared" si="529"/>
        <v>5.1445479141122935E-2</v>
      </c>
      <c r="V142" s="8">
        <f t="shared" si="529"/>
        <v>5.040351809790751E-2</v>
      </c>
      <c r="W142" s="8">
        <f t="shared" si="529"/>
        <v>5.0377929307777666E-2</v>
      </c>
      <c r="X142" s="8">
        <f t="shared" si="529"/>
        <v>4.9328073685402589E-2</v>
      </c>
      <c r="Y142" s="8">
        <f t="shared" si="529"/>
        <v>4.8744762116661108E-2</v>
      </c>
      <c r="Z142" s="8">
        <f t="shared" si="529"/>
        <v>4.8362003041303718E-2</v>
      </c>
      <c r="AA142" s="8">
        <f t="shared" ref="AA142" si="530">+AA94/AA$86</f>
        <v>4.733792500273315E-2</v>
      </c>
      <c r="AB142" s="16">
        <f t="shared" ref="AB142:AM142" si="531">+AA142</f>
        <v>4.733792500273315E-2</v>
      </c>
      <c r="AC142" s="16">
        <f t="shared" si="531"/>
        <v>4.733792500273315E-2</v>
      </c>
      <c r="AD142" s="16">
        <f t="shared" si="531"/>
        <v>4.733792500273315E-2</v>
      </c>
      <c r="AE142" s="16">
        <f t="shared" si="531"/>
        <v>4.733792500273315E-2</v>
      </c>
      <c r="AF142" s="16">
        <f t="shared" si="531"/>
        <v>4.733792500273315E-2</v>
      </c>
      <c r="AG142" s="16">
        <f t="shared" si="531"/>
        <v>4.733792500273315E-2</v>
      </c>
      <c r="AH142" s="16">
        <f t="shared" si="531"/>
        <v>4.733792500273315E-2</v>
      </c>
      <c r="AI142" s="16">
        <f t="shared" si="531"/>
        <v>4.733792500273315E-2</v>
      </c>
      <c r="AJ142" s="16">
        <f t="shared" si="531"/>
        <v>4.733792500273315E-2</v>
      </c>
      <c r="AK142" s="16">
        <f t="shared" si="531"/>
        <v>4.733792500273315E-2</v>
      </c>
      <c r="AL142" s="16">
        <f t="shared" si="531"/>
        <v>4.733792500273315E-2</v>
      </c>
      <c r="AM142" s="16">
        <f t="shared" si="531"/>
        <v>4.733792500273315E-2</v>
      </c>
      <c r="AN142" s="16">
        <f t="shared" ref="AN142" si="532">+AM142</f>
        <v>4.733792500273315E-2</v>
      </c>
      <c r="AO142" s="16">
        <f t="shared" ref="AO142" si="533">+AN142</f>
        <v>4.733792500273315E-2</v>
      </c>
      <c r="AP142" s="16">
        <f t="shared" ref="AP142" si="534">+AO142</f>
        <v>4.733792500273315E-2</v>
      </c>
      <c r="AQ142" s="16">
        <f t="shared" ref="AQ142" si="535">+AP142</f>
        <v>4.733792500273315E-2</v>
      </c>
      <c r="AR142" s="16">
        <f t="shared" ref="AR142" si="536">+AQ142</f>
        <v>4.733792500273315E-2</v>
      </c>
      <c r="AS142" s="16">
        <f t="shared" ref="AS142" si="537">+AR142</f>
        <v>4.733792500273315E-2</v>
      </c>
      <c r="AT142" s="16">
        <f t="shared" ref="AT142" si="538">+AS142</f>
        <v>4.733792500273315E-2</v>
      </c>
      <c r="AU142" s="16">
        <f t="shared" ref="AU142" si="539">+AT142</f>
        <v>4.733792500273315E-2</v>
      </c>
      <c r="AV142" s="16">
        <f t="shared" ref="AV142" si="540">+AU142</f>
        <v>4.733792500273315E-2</v>
      </c>
      <c r="AW142" s="16">
        <f t="shared" ref="AW142" si="541">+AV142</f>
        <v>4.733792500273315E-2</v>
      </c>
      <c r="AX142" s="16">
        <f t="shared" ref="AX142" si="542">+AW142</f>
        <v>4.733792500273315E-2</v>
      </c>
      <c r="AY142" s="16">
        <f t="shared" ref="AY142" si="543">+AX142</f>
        <v>4.733792500273315E-2</v>
      </c>
      <c r="AZ142" s="28"/>
      <c r="BA142" s="8"/>
      <c r="BB142" s="8"/>
      <c r="BC142" s="8"/>
      <c r="BD142" s="7"/>
      <c r="BE142" s="7"/>
      <c r="BF142" s="7"/>
      <c r="BG142" s="7"/>
      <c r="BH142" s="7"/>
      <c r="BI142" s="7"/>
      <c r="BJ142" s="7"/>
      <c r="BK142" s="7"/>
      <c r="BL142" s="7"/>
      <c r="BM142" s="7"/>
      <c r="BN142" s="7"/>
    </row>
    <row r="143" spans="2:75">
      <c r="B143" s="60" t="s">
        <v>7</v>
      </c>
      <c r="D143" s="8">
        <f t="shared" ref="D143:Q143" si="544">+D95/D$86</f>
        <v>5.9030684409548825E-2</v>
      </c>
      <c r="E143" s="8">
        <f t="shared" si="544"/>
        <v>2.4884842868434676E-2</v>
      </c>
      <c r="F143" s="8">
        <f t="shared" si="544"/>
        <v>1.7956639267391186E-2</v>
      </c>
      <c r="G143" s="25">
        <f t="shared" si="544"/>
        <v>4.1993031723993393E-2</v>
      </c>
      <c r="H143" s="8">
        <f t="shared" si="544"/>
        <v>4.6098607161790928E-2</v>
      </c>
      <c r="I143" s="8">
        <f t="shared" si="544"/>
        <v>4.8602701443875171E-2</v>
      </c>
      <c r="J143" s="8">
        <f t="shared" si="544"/>
        <v>4.6566710126032154E-2</v>
      </c>
      <c r="K143" s="8">
        <f t="shared" si="544"/>
        <v>5.8382002572265931E-2</v>
      </c>
      <c r="L143" s="8">
        <f t="shared" si="544"/>
        <v>4.7565535418752421E-2</v>
      </c>
      <c r="M143" s="8">
        <f t="shared" si="544"/>
        <v>4.2229927149479922E-2</v>
      </c>
      <c r="N143" s="8">
        <f t="shared" si="544"/>
        <v>5.7071360773146951E-2</v>
      </c>
      <c r="O143" s="8">
        <f t="shared" si="544"/>
        <v>4.5464466195456889E-2</v>
      </c>
      <c r="P143" s="8">
        <f t="shared" si="544"/>
        <v>4.1198318834913497E-2</v>
      </c>
      <c r="Q143" s="8">
        <f t="shared" si="544"/>
        <v>5.0266453308278398E-2</v>
      </c>
      <c r="R143" s="8">
        <f t="shared" ref="R143:Z143" si="545">+R95/R$86</f>
        <v>4.9116886038924508E-2</v>
      </c>
      <c r="S143" s="8">
        <f t="shared" si="545"/>
        <v>6.2984140684000434E-2</v>
      </c>
      <c r="T143" s="8">
        <f t="shared" si="545"/>
        <v>6.111767685294614E-2</v>
      </c>
      <c r="U143" s="8">
        <f t="shared" si="545"/>
        <v>5.8639942444293568E-2</v>
      </c>
      <c r="V143" s="8">
        <f t="shared" si="545"/>
        <v>6.4031314937418454E-2</v>
      </c>
      <c r="W143" s="8">
        <f t="shared" si="545"/>
        <v>5.6751040846713369E-2</v>
      </c>
      <c r="X143" s="8">
        <f t="shared" si="545"/>
        <v>4.7752066739647415E-2</v>
      </c>
      <c r="Y143" s="8">
        <f t="shared" si="545"/>
        <v>6.264137649720028E-2</v>
      </c>
      <c r="Z143" s="8">
        <f t="shared" si="545"/>
        <v>6.7647032970896651E-2</v>
      </c>
      <c r="AA143" s="8">
        <f t="shared" ref="AA143" si="546">+AA95/AA$86</f>
        <v>7.9689852074240425E-2</v>
      </c>
      <c r="AB143" s="16">
        <f>+X143-0.0015</f>
        <v>4.6252066739647414E-2</v>
      </c>
      <c r="AC143" s="16">
        <f t="shared" ref="AC143:AM143" si="547">+Y143-0.0015</f>
        <v>6.1141376497200278E-2</v>
      </c>
      <c r="AD143" s="16">
        <f t="shared" si="547"/>
        <v>6.6147032970896649E-2</v>
      </c>
      <c r="AE143" s="16">
        <f t="shared" si="547"/>
        <v>7.8189852074240423E-2</v>
      </c>
      <c r="AF143" s="16">
        <f t="shared" si="547"/>
        <v>4.4752066739647413E-2</v>
      </c>
      <c r="AG143" s="16">
        <f t="shared" si="547"/>
        <v>5.9641376497200277E-2</v>
      </c>
      <c r="AH143" s="16">
        <f t="shared" si="547"/>
        <v>6.4647032970896648E-2</v>
      </c>
      <c r="AI143" s="16">
        <f t="shared" si="547"/>
        <v>7.6689852074240422E-2</v>
      </c>
      <c r="AJ143" s="16">
        <f t="shared" si="547"/>
        <v>4.3252066739647411E-2</v>
      </c>
      <c r="AK143" s="16">
        <f t="shared" si="547"/>
        <v>5.8141376497200276E-2</v>
      </c>
      <c r="AL143" s="16">
        <f t="shared" si="547"/>
        <v>6.3147032970896647E-2</v>
      </c>
      <c r="AM143" s="16">
        <f t="shared" si="547"/>
        <v>7.5189852074240421E-2</v>
      </c>
      <c r="AN143" s="16">
        <f t="shared" ref="AN143" si="548">+AJ143-0.0015</f>
        <v>4.175206673964741E-2</v>
      </c>
      <c r="AO143" s="16">
        <f t="shared" ref="AO143" si="549">+AK143-0.0015</f>
        <v>5.6641376497200274E-2</v>
      </c>
      <c r="AP143" s="16">
        <f t="shared" ref="AP143" si="550">+AL143-0.0015</f>
        <v>6.1647032970896645E-2</v>
      </c>
      <c r="AQ143" s="16">
        <f t="shared" ref="AQ143" si="551">+AM143-0.0015</f>
        <v>7.3689852074240419E-2</v>
      </c>
      <c r="AR143" s="16">
        <f t="shared" ref="AR143" si="552">+AN143-0.0015</f>
        <v>4.0252066739647409E-2</v>
      </c>
      <c r="AS143" s="16">
        <f t="shared" ref="AS143" si="553">+AO143-0.0015</f>
        <v>5.5141376497200273E-2</v>
      </c>
      <c r="AT143" s="16">
        <f t="shared" ref="AT143" si="554">+AP143-0.0015</f>
        <v>6.0147032970896644E-2</v>
      </c>
      <c r="AU143" s="16">
        <f t="shared" ref="AU143" si="555">+AQ143-0.0015</f>
        <v>7.2189852074240418E-2</v>
      </c>
      <c r="AV143" s="16">
        <f t="shared" ref="AV143" si="556">+AR143-0.0015</f>
        <v>3.8752066739647408E-2</v>
      </c>
      <c r="AW143" s="16">
        <f t="shared" ref="AW143" si="557">+AS143-0.0015</f>
        <v>5.3641376497200272E-2</v>
      </c>
      <c r="AX143" s="16">
        <f t="shared" ref="AX143" si="558">+AT143-0.0015</f>
        <v>5.8647032970896643E-2</v>
      </c>
      <c r="AY143" s="16">
        <f t="shared" ref="AY143" si="559">+AU143-0.0015</f>
        <v>7.0689852074240417E-2</v>
      </c>
      <c r="AZ143" s="28"/>
      <c r="BA143" s="8"/>
      <c r="BB143" s="8"/>
      <c r="BC143" s="8"/>
      <c r="BD143" s="7"/>
      <c r="BE143" s="7"/>
      <c r="BF143" s="7"/>
      <c r="BG143" s="7"/>
      <c r="BH143" s="7"/>
      <c r="BI143" s="7"/>
      <c r="BJ143" s="7"/>
      <c r="BK143" s="7"/>
      <c r="BL143" s="7"/>
      <c r="BM143" s="7"/>
      <c r="BN143" s="7"/>
    </row>
    <row r="144" spans="2:75">
      <c r="B144" t="s">
        <v>190</v>
      </c>
      <c r="D144" s="8">
        <f t="shared" ref="D144:Q144" si="560">+D97/D86</f>
        <v>2.2024651444736306E-2</v>
      </c>
      <c r="E144" s="8">
        <f t="shared" si="560"/>
        <v>2.0769167870478885E-2</v>
      </c>
      <c r="F144" s="8">
        <f t="shared" si="560"/>
        <v>3.4782368842058806E-2</v>
      </c>
      <c r="G144" s="25">
        <f t="shared" si="560"/>
        <v>2.2162261284153731E-2</v>
      </c>
      <c r="H144" s="8">
        <f t="shared" si="560"/>
        <v>2.6820569666007998E-2</v>
      </c>
      <c r="I144" s="8">
        <f t="shared" si="560"/>
        <v>2.5384257102934325E-2</v>
      </c>
      <c r="J144" s="8">
        <f t="shared" si="560"/>
        <v>2.3924380704041719E-2</v>
      </c>
      <c r="K144" s="8">
        <f t="shared" si="560"/>
        <v>2.5047966434038244E-2</v>
      </c>
      <c r="L144" s="8">
        <f t="shared" si="560"/>
        <v>2.4886091984553459E-2</v>
      </c>
      <c r="M144" s="8">
        <f t="shared" si="560"/>
        <v>2.1777241030036237E-2</v>
      </c>
      <c r="N144" s="8">
        <f t="shared" si="560"/>
        <v>2.3763914056432824E-2</v>
      </c>
      <c r="O144" s="8">
        <f t="shared" si="560"/>
        <v>2.3554891459463091E-2</v>
      </c>
      <c r="P144" s="8">
        <f t="shared" si="560"/>
        <v>2.4191183657511484E-2</v>
      </c>
      <c r="Q144" s="8">
        <f t="shared" si="560"/>
        <v>2.1639238369276389E-2</v>
      </c>
      <c r="R144" s="8">
        <f t="shared" ref="R144:W144" si="561">+R97/R86</f>
        <v>1.6447294408819889E-2</v>
      </c>
      <c r="S144" s="8">
        <f t="shared" si="561"/>
        <v>1.5621965692091917E-2</v>
      </c>
      <c r="T144" s="8">
        <f t="shared" si="561"/>
        <v>1.8360628060104675E-2</v>
      </c>
      <c r="U144" s="8">
        <f t="shared" si="561"/>
        <v>2.0468754749865734E-2</v>
      </c>
      <c r="V144" s="8">
        <f t="shared" si="561"/>
        <v>2.4800657227081621E-2</v>
      </c>
      <c r="W144" s="8">
        <f t="shared" si="561"/>
        <v>2.3842265489411336E-2</v>
      </c>
      <c r="X144" s="8">
        <f>+X97/X86</f>
        <v>2.9698765618511942E-2</v>
      </c>
      <c r="Y144" s="8">
        <f>+Y97/Y86</f>
        <v>2.7311158082100349E-2</v>
      </c>
      <c r="Z144" s="8">
        <f>+Z97/Z86</f>
        <v>2.7389313245492982E-2</v>
      </c>
      <c r="AA144" s="8">
        <f>+AA97/AA86</f>
        <v>2.3126540017323883E-2</v>
      </c>
      <c r="AB144" s="16">
        <f>+AA144-0.001</f>
        <v>2.2126540017323882E-2</v>
      </c>
      <c r="AC144" s="16">
        <f t="shared" ref="AC144:AM144" si="562">+AB144-0.001</f>
        <v>2.1126540017323881E-2</v>
      </c>
      <c r="AD144" s="16">
        <f t="shared" si="562"/>
        <v>2.012654001732388E-2</v>
      </c>
      <c r="AE144" s="16">
        <f t="shared" si="562"/>
        <v>1.9126540017323879E-2</v>
      </c>
      <c r="AF144" s="16">
        <f t="shared" si="562"/>
        <v>1.8126540017323878E-2</v>
      </c>
      <c r="AG144" s="16">
        <f t="shared" si="562"/>
        <v>1.7126540017323878E-2</v>
      </c>
      <c r="AH144" s="16">
        <f t="shared" si="562"/>
        <v>1.6126540017323877E-2</v>
      </c>
      <c r="AI144" s="16">
        <f t="shared" si="562"/>
        <v>1.5126540017323876E-2</v>
      </c>
      <c r="AJ144" s="16">
        <f t="shared" si="562"/>
        <v>1.4126540017323875E-2</v>
      </c>
      <c r="AK144" s="16">
        <f t="shared" si="562"/>
        <v>1.3126540017323874E-2</v>
      </c>
      <c r="AL144" s="16">
        <f t="shared" si="562"/>
        <v>1.2126540017323873E-2</v>
      </c>
      <c r="AM144" s="16">
        <f t="shared" si="562"/>
        <v>1.1126540017323872E-2</v>
      </c>
      <c r="AN144" s="16">
        <f t="shared" ref="AN144" si="563">+AM144-0.001</f>
        <v>1.0126540017323871E-2</v>
      </c>
      <c r="AO144" s="16">
        <f t="shared" ref="AO144" si="564">+AN144-0.001</f>
        <v>9.1265400173238705E-3</v>
      </c>
      <c r="AP144" s="16">
        <f t="shared" ref="AP144" si="565">+AO144-0.001</f>
        <v>8.1265400173238696E-3</v>
      </c>
      <c r="AQ144" s="16">
        <f t="shared" ref="AQ144" si="566">+AP144-0.001</f>
        <v>7.1265400173238696E-3</v>
      </c>
      <c r="AR144" s="16">
        <f t="shared" ref="AR144" si="567">+AQ144-0.001</f>
        <v>6.1265400173238695E-3</v>
      </c>
      <c r="AS144" s="16">
        <f t="shared" ref="AS144" si="568">+AR144-0.001</f>
        <v>5.1265400173238695E-3</v>
      </c>
      <c r="AT144" s="16">
        <f t="shared" ref="AT144" si="569">+AS144-0.001</f>
        <v>4.1265400173238695E-3</v>
      </c>
      <c r="AU144" s="16">
        <f t="shared" ref="AU144" si="570">+AT144-0.001</f>
        <v>3.1265400173238695E-3</v>
      </c>
      <c r="AV144" s="16">
        <f t="shared" ref="AV144" si="571">+AU144-0.001</f>
        <v>2.1265400173238694E-3</v>
      </c>
      <c r="AW144" s="16">
        <f t="shared" ref="AW144" si="572">+AV144-0.001</f>
        <v>1.1265400173238694E-3</v>
      </c>
      <c r="AX144" s="16">
        <f t="shared" ref="AX144" si="573">+AW144-0.001</f>
        <v>1.2654001732386941E-4</v>
      </c>
      <c r="AY144" s="16">
        <f t="shared" ref="AY144" si="574">+AX144-0.001</f>
        <v>-8.7345998267613061E-4</v>
      </c>
      <c r="AZ144" s="28"/>
      <c r="BA144" s="8"/>
      <c r="BB144" s="8"/>
      <c r="BC144" s="8"/>
      <c r="BD144" s="7"/>
      <c r="BE144" s="7"/>
      <c r="BF144" s="7"/>
      <c r="BG144" s="7"/>
      <c r="BH144" s="7"/>
      <c r="BI144" s="7"/>
      <c r="BJ144" s="7"/>
      <c r="BK144" s="7"/>
      <c r="BL144" s="7"/>
      <c r="BM144" s="7"/>
      <c r="BN144" s="7"/>
    </row>
    <row r="145" spans="1:75">
      <c r="B145" t="s">
        <v>111</v>
      </c>
      <c r="D145" s="8">
        <f t="shared" ref="D145:Q145" si="575">+D106</f>
        <v>0.24126086077995557</v>
      </c>
      <c r="E145" s="8">
        <f t="shared" si="575"/>
        <v>0.24064433481424946</v>
      </c>
      <c r="F145" s="8">
        <f t="shared" si="575"/>
        <v>0.23920119159265188</v>
      </c>
      <c r="G145" s="25">
        <f t="shared" si="575"/>
        <v>0.26529222225132937</v>
      </c>
      <c r="H145" s="8">
        <f t="shared" si="575"/>
        <v>0.23119186466817679</v>
      </c>
      <c r="I145" s="8">
        <f t="shared" si="575"/>
        <v>0.22580344666977173</v>
      </c>
      <c r="J145" s="8">
        <f t="shared" si="575"/>
        <v>0.21940460669274225</v>
      </c>
      <c r="K145" s="8">
        <f t="shared" si="575"/>
        <v>0.20763667798182547</v>
      </c>
      <c r="L145" s="8">
        <f t="shared" si="575"/>
        <v>0.22021535255296976</v>
      </c>
      <c r="M145" s="8">
        <f t="shared" si="575"/>
        <v>0.22347968366512139</v>
      </c>
      <c r="N145" s="8">
        <f t="shared" si="575"/>
        <v>0.19061178703943393</v>
      </c>
      <c r="O145" s="8">
        <f t="shared" si="575"/>
        <v>0.20124909759414403</v>
      </c>
      <c r="P145" s="8">
        <f t="shared" si="575"/>
        <v>0.22542599289740328</v>
      </c>
      <c r="Q145" s="8">
        <f t="shared" si="575"/>
        <v>0.21455730581205865</v>
      </c>
      <c r="R145" s="8">
        <f t="shared" ref="R145:W145" si="576">+R106</f>
        <v>0.21869726628417147</v>
      </c>
      <c r="S145" s="8">
        <f t="shared" si="576"/>
        <v>0.21458625525946701</v>
      </c>
      <c r="T145" s="8">
        <f t="shared" si="576"/>
        <v>0.2140595981765997</v>
      </c>
      <c r="U145" s="8">
        <f t="shared" si="576"/>
        <v>0.21895487754212811</v>
      </c>
      <c r="V145" s="8">
        <f t="shared" si="576"/>
        <v>0.19274150678973567</v>
      </c>
      <c r="W145" s="8">
        <f t="shared" si="576"/>
        <v>0.2034274442115645</v>
      </c>
      <c r="X145" s="8">
        <f>+X106</f>
        <v>0.20947680344267861</v>
      </c>
      <c r="Y145" s="8">
        <f>+Y106</f>
        <v>0.20916305113657435</v>
      </c>
      <c r="Z145" s="8">
        <f>+Z106</f>
        <v>0.19031880949660271</v>
      </c>
      <c r="AA145" s="8">
        <f>+AA106</f>
        <v>0.17508893205843026</v>
      </c>
      <c r="AB145" s="16">
        <f t="shared" ref="AB145:AY145" ca="1" si="577">+OFFSET(AB145,$C$5,0)</f>
        <v>0.1694768034426786</v>
      </c>
      <c r="AC145" s="16">
        <f t="shared" ca="1" si="577"/>
        <v>0.16916305113657434</v>
      </c>
      <c r="AD145" s="16">
        <f t="shared" ca="1" si="577"/>
        <v>0.1503188094966027</v>
      </c>
      <c r="AE145" s="16">
        <f t="shared" ca="1" si="577"/>
        <v>0.13508893205843026</v>
      </c>
      <c r="AF145" s="16">
        <f t="shared" ca="1" si="577"/>
        <v>0.1669768034426786</v>
      </c>
      <c r="AG145" s="16">
        <f t="shared" ca="1" si="577"/>
        <v>0.16666305113657434</v>
      </c>
      <c r="AH145" s="16">
        <f t="shared" ca="1" si="577"/>
        <v>0.1478188094966027</v>
      </c>
      <c r="AI145" s="16">
        <f t="shared" ca="1" si="577"/>
        <v>0.13258893205843025</v>
      </c>
      <c r="AJ145" s="16">
        <f t="shared" ca="1" si="577"/>
        <v>0.16447680344267859</v>
      </c>
      <c r="AK145" s="16">
        <f t="shared" ca="1" si="577"/>
        <v>0.16416305113657434</v>
      </c>
      <c r="AL145" s="16">
        <f t="shared" ca="1" si="577"/>
        <v>0.1453188094966027</v>
      </c>
      <c r="AM145" s="16">
        <f t="shared" ca="1" si="577"/>
        <v>0.13008893205843025</v>
      </c>
      <c r="AN145" s="16">
        <f t="shared" ca="1" si="577"/>
        <v>0.16197680344267859</v>
      </c>
      <c r="AO145" s="16">
        <f t="shared" ca="1" si="577"/>
        <v>0.16166305113657434</v>
      </c>
      <c r="AP145" s="16">
        <f t="shared" ca="1" si="577"/>
        <v>0.14281880949660269</v>
      </c>
      <c r="AQ145" s="16">
        <f t="shared" ca="1" si="577"/>
        <v>0.12758893205843025</v>
      </c>
      <c r="AR145" s="16">
        <f t="shared" ca="1" si="577"/>
        <v>0.15947680344267859</v>
      </c>
      <c r="AS145" s="16">
        <f t="shared" ca="1" si="577"/>
        <v>0.15916305113657434</v>
      </c>
      <c r="AT145" s="16">
        <f t="shared" ca="1" si="577"/>
        <v>0.14031880949660269</v>
      </c>
      <c r="AU145" s="16">
        <f t="shared" ca="1" si="577"/>
        <v>0.12508893205843025</v>
      </c>
      <c r="AV145" s="16">
        <f t="shared" ca="1" si="577"/>
        <v>0.15697680344267859</v>
      </c>
      <c r="AW145" s="16">
        <f t="shared" ca="1" si="577"/>
        <v>0.15666305113657433</v>
      </c>
      <c r="AX145" s="16">
        <f t="shared" ca="1" si="577"/>
        <v>0.13781880949660269</v>
      </c>
      <c r="AY145" s="16">
        <f t="shared" ca="1" si="577"/>
        <v>0.12258893205843024</v>
      </c>
      <c r="AZ145" s="26"/>
      <c r="BA145" s="8"/>
      <c r="BB145" s="8"/>
      <c r="BC145" s="8"/>
      <c r="BD145" s="26"/>
      <c r="BE145" s="26"/>
      <c r="BF145" s="26"/>
      <c r="BG145" s="26"/>
      <c r="BH145" s="26"/>
      <c r="BI145" s="26"/>
      <c r="BJ145" s="26"/>
      <c r="BK145" s="26"/>
      <c r="BL145" s="26"/>
      <c r="BM145" s="26"/>
      <c r="BN145" s="26"/>
    </row>
    <row r="146" spans="1:75">
      <c r="D146" s="8"/>
      <c r="E146" s="8"/>
      <c r="F146" s="8"/>
      <c r="G146" s="25"/>
      <c r="H146" s="8"/>
      <c r="I146" s="8"/>
      <c r="J146" s="8"/>
      <c r="K146" s="8"/>
      <c r="L146" s="8"/>
      <c r="M146" s="8"/>
      <c r="N146" s="8"/>
      <c r="O146" s="8"/>
      <c r="P146" s="8"/>
      <c r="Q146" s="8"/>
      <c r="R146" s="8"/>
      <c r="S146" s="8"/>
      <c r="T146" s="8"/>
      <c r="U146" s="8"/>
      <c r="V146" s="8"/>
      <c r="W146" s="8"/>
      <c r="X146" s="8"/>
      <c r="Y146" s="8"/>
      <c r="Z146" s="8"/>
      <c r="AA146" s="8"/>
      <c r="AB146" s="107">
        <f t="shared" ref="AB146:AY146" si="578">+AB147-0.0025</f>
        <v>0.1669768034426786</v>
      </c>
      <c r="AC146" s="107">
        <f t="shared" si="578"/>
        <v>0.16666305113657434</v>
      </c>
      <c r="AD146" s="107">
        <f t="shared" si="578"/>
        <v>0.1478188094966027</v>
      </c>
      <c r="AE146" s="107">
        <f t="shared" si="578"/>
        <v>0.13258893205843025</v>
      </c>
      <c r="AF146" s="107">
        <f t="shared" si="578"/>
        <v>0.16447680344267859</v>
      </c>
      <c r="AG146" s="107">
        <f t="shared" si="578"/>
        <v>0.16416305113657434</v>
      </c>
      <c r="AH146" s="107">
        <f t="shared" si="578"/>
        <v>0.1453188094966027</v>
      </c>
      <c r="AI146" s="107">
        <f t="shared" si="578"/>
        <v>0.13008893205843025</v>
      </c>
      <c r="AJ146" s="107">
        <f t="shared" si="578"/>
        <v>0.16197680344267859</v>
      </c>
      <c r="AK146" s="107">
        <f t="shared" si="578"/>
        <v>0.16166305113657434</v>
      </c>
      <c r="AL146" s="107">
        <f t="shared" si="578"/>
        <v>0.14281880949660269</v>
      </c>
      <c r="AM146" s="107">
        <f t="shared" si="578"/>
        <v>0.12758893205843025</v>
      </c>
      <c r="AN146" s="107">
        <f t="shared" si="578"/>
        <v>0.15947680344267859</v>
      </c>
      <c r="AO146" s="107">
        <f t="shared" si="578"/>
        <v>0.15916305113657434</v>
      </c>
      <c r="AP146" s="107">
        <f t="shared" si="578"/>
        <v>0.14031880949660269</v>
      </c>
      <c r="AQ146" s="107">
        <f t="shared" si="578"/>
        <v>0.12508893205843025</v>
      </c>
      <c r="AR146" s="107">
        <f t="shared" si="578"/>
        <v>0.15697680344267859</v>
      </c>
      <c r="AS146" s="107">
        <f t="shared" si="578"/>
        <v>0.15666305113657433</v>
      </c>
      <c r="AT146" s="107">
        <f t="shared" si="578"/>
        <v>0.13781880949660269</v>
      </c>
      <c r="AU146" s="107">
        <f t="shared" si="578"/>
        <v>0.12258893205843024</v>
      </c>
      <c r="AV146" s="107">
        <f t="shared" si="578"/>
        <v>0.15447680344267858</v>
      </c>
      <c r="AW146" s="107">
        <f t="shared" si="578"/>
        <v>0.15416305113657433</v>
      </c>
      <c r="AX146" s="107">
        <f t="shared" si="578"/>
        <v>0.13531880949660269</v>
      </c>
      <c r="AY146" s="107">
        <f t="shared" si="578"/>
        <v>0.12008893205843024</v>
      </c>
      <c r="AZ146" s="26"/>
      <c r="BA146" s="8"/>
      <c r="BB146" s="8"/>
      <c r="BC146" s="8"/>
      <c r="BD146" s="26"/>
      <c r="BE146" s="26"/>
      <c r="BF146" s="26"/>
      <c r="BG146" s="26"/>
      <c r="BH146" s="26"/>
      <c r="BI146" s="26"/>
      <c r="BJ146" s="26"/>
      <c r="BK146" s="26"/>
      <c r="BL146" s="26"/>
      <c r="BM146" s="26"/>
      <c r="BN146" s="26"/>
    </row>
    <row r="147" spans="1:75">
      <c r="D147" s="8"/>
      <c r="E147" s="8"/>
      <c r="F147" s="8"/>
      <c r="G147" s="25"/>
      <c r="H147" s="8"/>
      <c r="I147" s="8"/>
      <c r="J147" s="8"/>
      <c r="K147" s="8"/>
      <c r="L147" s="8"/>
      <c r="M147" s="8"/>
      <c r="N147" s="8"/>
      <c r="O147" s="8"/>
      <c r="P147" s="8"/>
      <c r="Q147" s="8"/>
      <c r="R147" s="8"/>
      <c r="S147" s="8"/>
      <c r="T147" s="8"/>
      <c r="U147" s="8"/>
      <c r="V147" s="8"/>
      <c r="W147" s="8"/>
      <c r="X147" s="8"/>
      <c r="Y147" s="8"/>
      <c r="Z147" s="8"/>
      <c r="AA147" s="8"/>
      <c r="AB147" s="378">
        <f>+X145-0.04</f>
        <v>0.1694768034426786</v>
      </c>
      <c r="AC147" s="378">
        <f t="shared" ref="AC147:AE147" si="579">+Y145-0.04</f>
        <v>0.16916305113657434</v>
      </c>
      <c r="AD147" s="378">
        <f t="shared" si="579"/>
        <v>0.1503188094966027</v>
      </c>
      <c r="AE147" s="378">
        <f t="shared" si="579"/>
        <v>0.13508893205843026</v>
      </c>
      <c r="AF147" s="108">
        <f>+AB147-0.0025</f>
        <v>0.1669768034426786</v>
      </c>
      <c r="AG147" s="108">
        <f t="shared" ref="AG147:AY147" si="580">+AC147-0.0025</f>
        <v>0.16666305113657434</v>
      </c>
      <c r="AH147" s="108">
        <f t="shared" si="580"/>
        <v>0.1478188094966027</v>
      </c>
      <c r="AI147" s="108">
        <f t="shared" si="580"/>
        <v>0.13258893205843025</v>
      </c>
      <c r="AJ147" s="108">
        <f t="shared" si="580"/>
        <v>0.16447680344267859</v>
      </c>
      <c r="AK147" s="108">
        <f t="shared" si="580"/>
        <v>0.16416305113657434</v>
      </c>
      <c r="AL147" s="108">
        <f t="shared" si="580"/>
        <v>0.1453188094966027</v>
      </c>
      <c r="AM147" s="108">
        <f t="shared" si="580"/>
        <v>0.13008893205843025</v>
      </c>
      <c r="AN147" s="108">
        <f t="shared" si="580"/>
        <v>0.16197680344267859</v>
      </c>
      <c r="AO147" s="108">
        <f t="shared" si="580"/>
        <v>0.16166305113657434</v>
      </c>
      <c r="AP147" s="108">
        <f t="shared" si="580"/>
        <v>0.14281880949660269</v>
      </c>
      <c r="AQ147" s="108">
        <f t="shared" si="580"/>
        <v>0.12758893205843025</v>
      </c>
      <c r="AR147" s="108">
        <f t="shared" si="580"/>
        <v>0.15947680344267859</v>
      </c>
      <c r="AS147" s="108">
        <f t="shared" si="580"/>
        <v>0.15916305113657434</v>
      </c>
      <c r="AT147" s="108">
        <f t="shared" si="580"/>
        <v>0.14031880949660269</v>
      </c>
      <c r="AU147" s="108">
        <f t="shared" si="580"/>
        <v>0.12508893205843025</v>
      </c>
      <c r="AV147" s="108">
        <f t="shared" si="580"/>
        <v>0.15697680344267859</v>
      </c>
      <c r="AW147" s="108">
        <f t="shared" si="580"/>
        <v>0.15666305113657433</v>
      </c>
      <c r="AX147" s="108">
        <f t="shared" si="580"/>
        <v>0.13781880949660269</v>
      </c>
      <c r="AY147" s="108">
        <f t="shared" si="580"/>
        <v>0.12258893205843024</v>
      </c>
      <c r="AZ147" s="26"/>
      <c r="BA147" s="8"/>
      <c r="BB147" s="8"/>
      <c r="BC147" s="8"/>
      <c r="BD147" s="26"/>
      <c r="BE147" s="26"/>
      <c r="BF147" s="26"/>
      <c r="BG147" s="26"/>
      <c r="BH147" s="26"/>
      <c r="BI147" s="26"/>
      <c r="BJ147" s="26"/>
      <c r="BK147" s="26"/>
      <c r="BL147" s="26"/>
      <c r="BM147" s="26"/>
      <c r="BN147" s="26"/>
    </row>
    <row r="148" spans="1:75">
      <c r="D148" s="8"/>
      <c r="E148" s="8"/>
      <c r="F148" s="8"/>
      <c r="G148" s="25"/>
      <c r="H148" s="8"/>
      <c r="I148" s="8"/>
      <c r="J148" s="8"/>
      <c r="K148" s="8"/>
      <c r="L148" s="8"/>
      <c r="M148" s="8"/>
      <c r="N148" s="8"/>
      <c r="O148" s="8"/>
      <c r="P148" s="8"/>
      <c r="Q148" s="8"/>
      <c r="R148" s="8"/>
      <c r="S148" s="8"/>
      <c r="T148" s="8"/>
      <c r="U148" s="8"/>
      <c r="V148" s="8"/>
      <c r="W148" s="8"/>
      <c r="X148" s="8"/>
      <c r="Y148" s="8"/>
      <c r="Z148" s="8"/>
      <c r="AA148" s="8"/>
      <c r="AB148" s="107">
        <f t="shared" ref="AB148:AM148" si="581">+AB147+0.01</f>
        <v>0.17947680344267861</v>
      </c>
      <c r="AC148" s="107">
        <f t="shared" si="581"/>
        <v>0.17916305113657435</v>
      </c>
      <c r="AD148" s="107">
        <f t="shared" si="581"/>
        <v>0.16031880949660271</v>
      </c>
      <c r="AE148" s="107">
        <f t="shared" si="581"/>
        <v>0.14508893205843026</v>
      </c>
      <c r="AF148" s="107">
        <f t="shared" si="581"/>
        <v>0.1769768034426786</v>
      </c>
      <c r="AG148" s="107">
        <f t="shared" si="581"/>
        <v>0.17666305113657435</v>
      </c>
      <c r="AH148" s="107">
        <f t="shared" si="581"/>
        <v>0.15781880949660271</v>
      </c>
      <c r="AI148" s="107">
        <f t="shared" si="581"/>
        <v>0.14258893205843026</v>
      </c>
      <c r="AJ148" s="107">
        <f t="shared" si="581"/>
        <v>0.1744768034426786</v>
      </c>
      <c r="AK148" s="107">
        <f t="shared" si="581"/>
        <v>0.17416305113657435</v>
      </c>
      <c r="AL148" s="107">
        <f t="shared" si="581"/>
        <v>0.15531880949660271</v>
      </c>
      <c r="AM148" s="107">
        <f t="shared" si="581"/>
        <v>0.14008893205843026</v>
      </c>
      <c r="AN148" s="107">
        <f t="shared" ref="AN148:AY148" si="582">+AN147+0.01</f>
        <v>0.1719768034426786</v>
      </c>
      <c r="AO148" s="107">
        <f t="shared" si="582"/>
        <v>0.17166305113657435</v>
      </c>
      <c r="AP148" s="107">
        <f t="shared" si="582"/>
        <v>0.1528188094966027</v>
      </c>
      <c r="AQ148" s="107">
        <f t="shared" si="582"/>
        <v>0.13758893205843026</v>
      </c>
      <c r="AR148" s="107">
        <f t="shared" si="582"/>
        <v>0.1694768034426786</v>
      </c>
      <c r="AS148" s="107">
        <f t="shared" si="582"/>
        <v>0.16916305113657434</v>
      </c>
      <c r="AT148" s="107">
        <f t="shared" si="582"/>
        <v>0.1503188094966027</v>
      </c>
      <c r="AU148" s="107">
        <f t="shared" si="582"/>
        <v>0.13508893205843026</v>
      </c>
      <c r="AV148" s="107">
        <f t="shared" si="582"/>
        <v>0.1669768034426786</v>
      </c>
      <c r="AW148" s="107">
        <f t="shared" si="582"/>
        <v>0.16666305113657434</v>
      </c>
      <c r="AX148" s="107">
        <f t="shared" si="582"/>
        <v>0.1478188094966027</v>
      </c>
      <c r="AY148" s="107">
        <f t="shared" si="582"/>
        <v>0.13258893205843025</v>
      </c>
      <c r="AZ148" s="26"/>
      <c r="BA148" s="8"/>
      <c r="BB148" s="8"/>
      <c r="BC148" s="8"/>
      <c r="BD148" s="26"/>
      <c r="BE148" s="26"/>
      <c r="BF148" s="26"/>
      <c r="BG148" s="26"/>
      <c r="BH148" s="26"/>
      <c r="BI148" s="26"/>
      <c r="BJ148" s="26"/>
      <c r="BK148" s="26"/>
      <c r="BL148" s="26"/>
      <c r="BM148" s="26"/>
      <c r="BN148" s="26"/>
    </row>
    <row r="149" spans="1:75" s="22" customFormat="1">
      <c r="C149" s="54"/>
      <c r="D149" s="54"/>
      <c r="E149" s="54"/>
      <c r="F149" s="54"/>
      <c r="G149" s="54"/>
      <c r="H149" s="54"/>
      <c r="I149" s="54"/>
      <c r="J149" s="54"/>
      <c r="K149" s="54"/>
      <c r="L149" s="54"/>
      <c r="M149" s="54"/>
      <c r="N149" s="54"/>
      <c r="O149" s="54"/>
      <c r="P149" s="54"/>
      <c r="Q149" s="54"/>
      <c r="R149" s="54"/>
      <c r="S149" s="54"/>
      <c r="T149" s="54"/>
      <c r="U149" s="54"/>
      <c r="V149" s="54"/>
      <c r="W149" s="54"/>
      <c r="X149" s="54"/>
      <c r="Y149" s="54"/>
      <c r="Z149" s="54"/>
      <c r="AA149" s="54"/>
      <c r="AB149" s="54"/>
      <c r="AC149" s="54"/>
      <c r="AD149" s="54"/>
      <c r="AE149" s="54"/>
      <c r="AF149" s="54"/>
      <c r="AG149" s="54"/>
      <c r="AH149" s="54"/>
      <c r="AI149" s="54"/>
      <c r="AJ149" s="54"/>
      <c r="AK149" s="54"/>
      <c r="AL149" s="54"/>
      <c r="AM149" s="54"/>
      <c r="AN149" s="54"/>
      <c r="AO149" s="54"/>
      <c r="AP149" s="54"/>
      <c r="AQ149" s="54"/>
      <c r="AR149" s="54"/>
      <c r="AS149" s="54"/>
      <c r="AT149" s="54"/>
      <c r="AU149" s="54"/>
      <c r="AV149" s="54"/>
      <c r="AW149" s="54"/>
      <c r="AX149" s="54"/>
      <c r="AY149" s="54"/>
      <c r="AZ149" s="54"/>
      <c r="BA149" s="54"/>
      <c r="BB149" s="54"/>
      <c r="BC149" s="54"/>
      <c r="BD149" s="54"/>
      <c r="BE149" s="54"/>
      <c r="BF149" s="54"/>
      <c r="BG149" s="54"/>
      <c r="BH149" s="54"/>
      <c r="BI149" s="54"/>
      <c r="BJ149" s="54"/>
      <c r="BK149" s="54"/>
      <c r="BL149" s="54"/>
      <c r="BM149" s="54"/>
      <c r="BN149" s="54"/>
      <c r="BQ149" s="230"/>
      <c r="BR149"/>
      <c r="BS149"/>
      <c r="BT149"/>
      <c r="BU149"/>
      <c r="BV149"/>
      <c r="BW149"/>
    </row>
    <row r="150" spans="1:75" s="379" customFormat="1">
      <c r="B150" s="380" t="s">
        <v>539</v>
      </c>
      <c r="AB150" s="381">
        <v>0.1</v>
      </c>
      <c r="AC150" s="381">
        <v>0.1</v>
      </c>
      <c r="AD150" s="381">
        <v>0.1</v>
      </c>
      <c r="AE150" s="381">
        <v>0.1</v>
      </c>
      <c r="AF150" s="381"/>
      <c r="AG150" s="381"/>
      <c r="AH150" s="381"/>
      <c r="AI150" s="381"/>
      <c r="AJ150" s="381"/>
      <c r="AK150" s="381"/>
      <c r="AL150" s="381"/>
      <c r="AM150" s="381"/>
      <c r="AN150" s="381"/>
      <c r="AO150" s="381"/>
      <c r="AP150" s="381"/>
      <c r="AQ150" s="381"/>
      <c r="AR150" s="381"/>
      <c r="AS150" s="381"/>
      <c r="AT150" s="381"/>
      <c r="AU150" s="381"/>
      <c r="AV150" s="381"/>
      <c r="AW150" s="381"/>
      <c r="AX150" s="381"/>
      <c r="AY150" s="381"/>
      <c r="BR150"/>
      <c r="BS150"/>
      <c r="BT150"/>
      <c r="BU150"/>
      <c r="BV150"/>
      <c r="BW150"/>
    </row>
    <row r="151" spans="1:75">
      <c r="BA151"/>
    </row>
    <row r="152" spans="1:75">
      <c r="BA152"/>
    </row>
    <row r="153" spans="1:75">
      <c r="A153" s="1" t="s">
        <v>24</v>
      </c>
      <c r="B153" s="2" t="s">
        <v>0</v>
      </c>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65"/>
      <c r="BA153" s="2"/>
      <c r="BB153" s="2"/>
      <c r="BC153" s="2"/>
      <c r="BD153" s="2"/>
      <c r="BE153" s="2"/>
      <c r="BF153" s="2"/>
      <c r="BG153" s="2"/>
      <c r="BH153" s="2"/>
      <c r="BI153" s="2"/>
      <c r="BJ153" s="2"/>
      <c r="BK153" s="2"/>
      <c r="BL153" s="2"/>
      <c r="BM153" s="2"/>
      <c r="BN153" s="2"/>
    </row>
    <row r="154" spans="1:75">
      <c r="B154" s="2" t="s">
        <v>132</v>
      </c>
      <c r="C154" s="2"/>
      <c r="D154" s="3" t="str">
        <f t="shared" ref="D154:AY154" si="583">D11</f>
        <v>1Q12</v>
      </c>
      <c r="E154" s="3" t="str">
        <f t="shared" si="583"/>
        <v>2Q12</v>
      </c>
      <c r="F154" s="3" t="str">
        <f t="shared" si="583"/>
        <v>3Q12</v>
      </c>
      <c r="G154" s="3" t="str">
        <f t="shared" si="583"/>
        <v>4Q12</v>
      </c>
      <c r="H154" s="3" t="str">
        <f t="shared" si="583"/>
        <v>1Q13</v>
      </c>
      <c r="I154" s="3" t="str">
        <f t="shared" si="583"/>
        <v>2Q13</v>
      </c>
      <c r="J154" s="3" t="str">
        <f t="shared" si="583"/>
        <v>3Q13</v>
      </c>
      <c r="K154" s="3" t="str">
        <f t="shared" si="583"/>
        <v>4Q13</v>
      </c>
      <c r="L154" s="3" t="str">
        <f t="shared" si="583"/>
        <v>1Q14</v>
      </c>
      <c r="M154" s="3" t="str">
        <f t="shared" si="583"/>
        <v>2Q14</v>
      </c>
      <c r="N154" s="3" t="str">
        <f t="shared" si="583"/>
        <v>3Q14</v>
      </c>
      <c r="O154" s="3" t="str">
        <f t="shared" si="583"/>
        <v>4Q14</v>
      </c>
      <c r="P154" s="3" t="str">
        <f t="shared" si="583"/>
        <v>1Q15</v>
      </c>
      <c r="Q154" s="3" t="str">
        <f t="shared" si="583"/>
        <v>2Q15</v>
      </c>
      <c r="R154" s="3" t="str">
        <f t="shared" si="583"/>
        <v>3Q15</v>
      </c>
      <c r="S154" s="3" t="str">
        <f t="shared" si="583"/>
        <v>4Q15</v>
      </c>
      <c r="T154" s="3" t="str">
        <f t="shared" si="583"/>
        <v>1Q16</v>
      </c>
      <c r="U154" s="3" t="str">
        <f t="shared" si="583"/>
        <v>2Q16</v>
      </c>
      <c r="V154" s="3" t="str">
        <f t="shared" si="583"/>
        <v>3Q16</v>
      </c>
      <c r="W154" s="3" t="str">
        <f t="shared" si="583"/>
        <v>4Q16</v>
      </c>
      <c r="X154" s="3" t="str">
        <f t="shared" si="583"/>
        <v>1Q17</v>
      </c>
      <c r="Y154" s="3" t="str">
        <f t="shared" si="583"/>
        <v>2Q17</v>
      </c>
      <c r="Z154" s="3" t="str">
        <f t="shared" si="583"/>
        <v>3Q17</v>
      </c>
      <c r="AA154" s="3" t="str">
        <f t="shared" si="583"/>
        <v>4Q17</v>
      </c>
      <c r="AB154" s="3" t="str">
        <f t="shared" si="583"/>
        <v>1Q18E</v>
      </c>
      <c r="AC154" s="3" t="str">
        <f t="shared" si="583"/>
        <v>2Q18E</v>
      </c>
      <c r="AD154" s="3" t="str">
        <f t="shared" si="583"/>
        <v>3Q18E</v>
      </c>
      <c r="AE154" s="3" t="str">
        <f t="shared" si="583"/>
        <v>4Q18E</v>
      </c>
      <c r="AF154" s="3" t="str">
        <f t="shared" si="583"/>
        <v>1Q19E</v>
      </c>
      <c r="AG154" s="3" t="str">
        <f t="shared" si="583"/>
        <v>2Q19E</v>
      </c>
      <c r="AH154" s="3" t="str">
        <f t="shared" si="583"/>
        <v>3Q19E</v>
      </c>
      <c r="AI154" s="3" t="str">
        <f t="shared" si="583"/>
        <v>4Q19E</v>
      </c>
      <c r="AJ154" s="3" t="str">
        <f t="shared" si="583"/>
        <v>1Q20E</v>
      </c>
      <c r="AK154" s="3" t="str">
        <f t="shared" si="583"/>
        <v>2Q20E</v>
      </c>
      <c r="AL154" s="3" t="str">
        <f t="shared" si="583"/>
        <v>3Q20E</v>
      </c>
      <c r="AM154" s="3" t="str">
        <f t="shared" si="583"/>
        <v>4Q20E</v>
      </c>
      <c r="AN154" s="3" t="str">
        <f t="shared" si="583"/>
        <v>1Q21E</v>
      </c>
      <c r="AO154" s="3" t="str">
        <f t="shared" si="583"/>
        <v>2Q21E</v>
      </c>
      <c r="AP154" s="3" t="str">
        <f t="shared" si="583"/>
        <v>3Q21E</v>
      </c>
      <c r="AQ154" s="3" t="str">
        <f t="shared" si="583"/>
        <v>4Q21E</v>
      </c>
      <c r="AR154" s="3" t="str">
        <f t="shared" si="583"/>
        <v>1Q22E</v>
      </c>
      <c r="AS154" s="3" t="str">
        <f t="shared" si="583"/>
        <v>2Q22E</v>
      </c>
      <c r="AT154" s="3" t="str">
        <f t="shared" si="583"/>
        <v>3Q22E</v>
      </c>
      <c r="AU154" s="3" t="str">
        <f t="shared" si="583"/>
        <v>4Q22E</v>
      </c>
      <c r="AV154" s="3" t="str">
        <f t="shared" si="583"/>
        <v>1Q23E</v>
      </c>
      <c r="AW154" s="3" t="str">
        <f t="shared" si="583"/>
        <v>2Q23E</v>
      </c>
      <c r="AX154" s="3" t="str">
        <f t="shared" si="583"/>
        <v>3Q23E</v>
      </c>
      <c r="AY154" s="3" t="str">
        <f t="shared" si="583"/>
        <v>4Q23E</v>
      </c>
      <c r="AZ154" s="66"/>
      <c r="BA154" s="3" t="str">
        <f t="shared" ref="BA154:BN154" si="584">BA11</f>
        <v>2010A</v>
      </c>
      <c r="BB154" s="3" t="str">
        <f t="shared" si="584"/>
        <v>2011A</v>
      </c>
      <c r="BC154" s="3" t="str">
        <f t="shared" si="584"/>
        <v>2012A</v>
      </c>
      <c r="BD154" s="3" t="str">
        <f t="shared" si="584"/>
        <v>2013A</v>
      </c>
      <c r="BE154" s="3" t="str">
        <f t="shared" si="584"/>
        <v>2014A</v>
      </c>
      <c r="BF154" s="3">
        <f t="shared" si="584"/>
        <v>2015</v>
      </c>
      <c r="BG154" s="3">
        <f t="shared" si="584"/>
        <v>2016</v>
      </c>
      <c r="BH154" s="3">
        <f t="shared" si="584"/>
        <v>2017</v>
      </c>
      <c r="BI154" s="3" t="str">
        <f t="shared" si="584"/>
        <v>2018E</v>
      </c>
      <c r="BJ154" s="3" t="str">
        <f t="shared" si="584"/>
        <v>2019E</v>
      </c>
      <c r="BK154" s="3" t="str">
        <f t="shared" si="584"/>
        <v>2020E</v>
      </c>
      <c r="BL154" s="3" t="str">
        <f t="shared" si="584"/>
        <v>2021E</v>
      </c>
      <c r="BM154" s="3" t="str">
        <f t="shared" si="584"/>
        <v>2022E</v>
      </c>
      <c r="BN154" s="3" t="str">
        <f t="shared" si="584"/>
        <v>2023E</v>
      </c>
    </row>
    <row r="155" spans="1:75">
      <c r="BA155"/>
    </row>
    <row r="156" spans="1:75">
      <c r="A156" s="1"/>
      <c r="B156" s="9" t="s">
        <v>36</v>
      </c>
      <c r="BA156"/>
    </row>
    <row r="157" spans="1:75">
      <c r="B157" t="s">
        <v>23</v>
      </c>
      <c r="D157" s="24">
        <f t="shared" ref="D157:AY157" si="585">+D126</f>
        <v>-6.1359999999999948</v>
      </c>
      <c r="E157" s="4">
        <f t="shared" si="585"/>
        <v>-0.26599999999999824</v>
      </c>
      <c r="F157" s="4">
        <f t="shared" si="585"/>
        <v>-1.7570000000000014</v>
      </c>
      <c r="G157" s="24">
        <f t="shared" si="585"/>
        <v>-1.6080000000000076</v>
      </c>
      <c r="H157" s="4">
        <f t="shared" si="585"/>
        <v>-2.0740000000000069</v>
      </c>
      <c r="I157" s="4">
        <f t="shared" si="585"/>
        <v>-1.231999999999994</v>
      </c>
      <c r="J157" s="4">
        <f t="shared" si="585"/>
        <v>2.7090000000000067</v>
      </c>
      <c r="K157" s="4">
        <f t="shared" si="585"/>
        <v>4.4469999999999992</v>
      </c>
      <c r="L157" s="4">
        <f t="shared" si="585"/>
        <v>5.3280000000000038</v>
      </c>
      <c r="M157" s="4">
        <f t="shared" si="585"/>
        <v>3.9209999999999967</v>
      </c>
      <c r="N157" s="4">
        <f t="shared" si="585"/>
        <v>4.0060000000000011</v>
      </c>
      <c r="O157" s="4">
        <f t="shared" si="585"/>
        <v>5.8479999999999981</v>
      </c>
      <c r="P157" s="4">
        <f t="shared" si="585"/>
        <v>5.0370000000000061</v>
      </c>
      <c r="Q157" s="4">
        <f t="shared" si="585"/>
        <v>5.5200000000000085</v>
      </c>
      <c r="R157" s="4">
        <f t="shared" si="585"/>
        <v>8.2380000000000049</v>
      </c>
      <c r="S157" s="4">
        <f t="shared" si="585"/>
        <v>5.3340000000000005</v>
      </c>
      <c r="T157" s="4">
        <f t="shared" si="585"/>
        <v>6.8589999999999982</v>
      </c>
      <c r="U157" s="4">
        <f t="shared" si="585"/>
        <v>5.8070000000000164</v>
      </c>
      <c r="V157" s="4">
        <f t="shared" si="585"/>
        <v>6.5379999999999887</v>
      </c>
      <c r="W157" s="4">
        <f t="shared" si="585"/>
        <v>5.4810000000000008</v>
      </c>
      <c r="X157" s="4">
        <f t="shared" si="585"/>
        <v>5.5680000000000112</v>
      </c>
      <c r="Y157" s="4">
        <f t="shared" si="585"/>
        <v>4.6079999999999952</v>
      </c>
      <c r="Z157" s="4">
        <f t="shared" si="585"/>
        <v>7.3939999999999912</v>
      </c>
      <c r="AA157" s="4">
        <f t="shared" si="585"/>
        <v>-16.113000000000017</v>
      </c>
      <c r="AB157" s="4">
        <f t="shared" ca="1" si="585"/>
        <v>7.241970779534018</v>
      </c>
      <c r="AC157" s="4">
        <f t="shared" ca="1" si="585"/>
        <v>3.6263855998845251</v>
      </c>
      <c r="AD157" s="4">
        <f t="shared" ca="1" si="585"/>
        <v>2.0264405213356222</v>
      </c>
      <c r="AE157" s="4">
        <f t="shared" ca="1" si="585"/>
        <v>1.6218072691218877</v>
      </c>
      <c r="AF157" s="4">
        <f t="shared" ca="1" si="585"/>
        <v>-0.58952071816987228</v>
      </c>
      <c r="AG157" s="4">
        <f t="shared" ca="1" si="585"/>
        <v>-2.2374410343759692</v>
      </c>
      <c r="AH157" s="4">
        <f t="shared" ca="1" si="585"/>
        <v>-1.8148225447715944</v>
      </c>
      <c r="AI157" s="4">
        <f t="shared" ca="1" si="585"/>
        <v>0.30618702466603054</v>
      </c>
      <c r="AJ157" s="4">
        <f t="shared" ca="1" si="585"/>
        <v>0.33009848911637363</v>
      </c>
      <c r="AK157" s="4">
        <f t="shared" ca="1" si="585"/>
        <v>-1.1040158538349374</v>
      </c>
      <c r="AL157" s="4">
        <f t="shared" ca="1" si="585"/>
        <v>-0.26837413570909519</v>
      </c>
      <c r="AM157" s="4">
        <f t="shared" ca="1" si="585"/>
        <v>2.4190633042408081</v>
      </c>
      <c r="AN157" s="4">
        <f t="shared" ca="1" si="585"/>
        <v>2.8589679793082894</v>
      </c>
      <c r="AO157" s="4">
        <f t="shared" ca="1" si="585"/>
        <v>1.5224161060604757</v>
      </c>
      <c r="AP157" s="4">
        <f t="shared" ca="1" si="585"/>
        <v>2.5340153988353649</v>
      </c>
      <c r="AQ157" s="4">
        <f t="shared" ca="1" si="585"/>
        <v>5.5376167650617845</v>
      </c>
      <c r="AR157" s="4">
        <f t="shared" ca="1" si="585"/>
        <v>5.9835813152927955</v>
      </c>
      <c r="AS157" s="4">
        <f t="shared" ca="1" si="585"/>
        <v>5.4391619863371687</v>
      </c>
      <c r="AT157" s="4">
        <f t="shared" ca="1" si="585"/>
        <v>9.7473311294095737</v>
      </c>
      <c r="AU157" s="4">
        <f t="shared" ca="1" si="585"/>
        <v>13.56823160389041</v>
      </c>
      <c r="AV157" s="4">
        <f t="shared" ca="1" si="585"/>
        <v>13.970033651056156</v>
      </c>
      <c r="AW157" s="4">
        <f t="shared" ca="1" si="585"/>
        <v>12.52742161257305</v>
      </c>
      <c r="AX157" s="4">
        <f t="shared" ca="1" si="585"/>
        <v>13.867519958254761</v>
      </c>
      <c r="AY157" s="4">
        <f t="shared" ca="1" si="585"/>
        <v>17.522546756716324</v>
      </c>
      <c r="AZ157" s="54"/>
      <c r="BA157" s="4">
        <f>+BA126</f>
        <v>14.384</v>
      </c>
      <c r="BB157" s="4">
        <f>+BB126</f>
        <v>-0.90900000000002734</v>
      </c>
      <c r="BC157" s="4">
        <f>+BC126</f>
        <v>-9.7670000000000101</v>
      </c>
      <c r="BD157" s="4">
        <f>+SUM(H157:K157)</f>
        <v>3.850000000000005</v>
      </c>
      <c r="BE157" s="4">
        <f>+SUM(L157:O157)</f>
        <v>19.103000000000002</v>
      </c>
      <c r="BF157" s="4">
        <f>+SUM(P157:S157)</f>
        <v>24.129000000000019</v>
      </c>
      <c r="BG157" s="4">
        <f>+SUM(T157:W157)</f>
        <v>24.685000000000006</v>
      </c>
      <c r="BH157" s="4">
        <f>+SUM(X157:AA157)</f>
        <v>1.4569999999999794</v>
      </c>
      <c r="BI157" s="4">
        <f ca="1">+SUM(AB157:AE157)</f>
        <v>14.516604169876054</v>
      </c>
      <c r="BJ157" s="4">
        <f ca="1">+SUM(AF157:AI157)</f>
        <v>-4.3355972726514054</v>
      </c>
      <c r="BK157" s="4">
        <f ca="1">+SUM(AJ157:AM157)</f>
        <v>1.3767718038131491</v>
      </c>
      <c r="BL157" s="4">
        <f ca="1">+SUM(AN157:AQ157)</f>
        <v>12.453016249265914</v>
      </c>
      <c r="BM157" s="4">
        <f ca="1">+SUM(AR157:AU157)</f>
        <v>34.738306034929948</v>
      </c>
      <c r="BN157" s="4">
        <f ca="1">+SUM(AV157:AY157)</f>
        <v>57.88752197860029</v>
      </c>
      <c r="BO157" s="24"/>
    </row>
    <row r="158" spans="1:75">
      <c r="A158" s="39"/>
      <c r="B158" t="s">
        <v>37</v>
      </c>
      <c r="D158" s="39">
        <f>+$BC$158/4</f>
        <v>1.2685</v>
      </c>
      <c r="E158" s="39">
        <v>2</v>
      </c>
      <c r="F158" s="39">
        <v>2</v>
      </c>
      <c r="G158" s="39">
        <v>2</v>
      </c>
      <c r="H158" s="28">
        <v>2.3319999999999999</v>
      </c>
      <c r="I158" s="28">
        <v>2.2200000000000002</v>
      </c>
      <c r="J158" s="28">
        <v>2</v>
      </c>
      <c r="K158" s="28">
        <v>2</v>
      </c>
      <c r="L158" s="28">
        <v>2</v>
      </c>
      <c r="M158" s="28">
        <v>2</v>
      </c>
      <c r="N158" s="28">
        <v>2</v>
      </c>
      <c r="O158" s="28">
        <v>2</v>
      </c>
      <c r="P158" s="28">
        <v>2</v>
      </c>
      <c r="Q158" s="28">
        <v>2</v>
      </c>
      <c r="R158" s="28">
        <v>2</v>
      </c>
      <c r="S158" s="28">
        <v>2</v>
      </c>
      <c r="T158" s="28">
        <v>2</v>
      </c>
      <c r="U158" s="28">
        <v>2</v>
      </c>
      <c r="V158" s="28">
        <v>2</v>
      </c>
      <c r="W158" s="28">
        <v>2</v>
      </c>
      <c r="X158" s="28">
        <v>2</v>
      </c>
      <c r="Y158" s="28">
        <v>2</v>
      </c>
      <c r="Z158" s="28">
        <v>2</v>
      </c>
      <c r="AA158" s="28">
        <v>2</v>
      </c>
      <c r="AB158" s="39">
        <f t="shared" ref="AB158:AY158" ca="1" si="586">+AB190*AB82</f>
        <v>2.0213714137341054</v>
      </c>
      <c r="AC158" s="39">
        <f t="shared" ca="1" si="586"/>
        <v>2.0523997058473085</v>
      </c>
      <c r="AD158" s="39">
        <f t="shared" ca="1" si="586"/>
        <v>2.0796984162460292</v>
      </c>
      <c r="AE158" s="39">
        <f t="shared" ca="1" si="586"/>
        <v>2.1055450485805318</v>
      </c>
      <c r="AF158" s="39">
        <f t="shared" ca="1" si="586"/>
        <v>2.154883229662806</v>
      </c>
      <c r="AG158" s="39">
        <f t="shared" ca="1" si="586"/>
        <v>2.2083140489585538</v>
      </c>
      <c r="AH158" s="39">
        <f t="shared" ca="1" si="586"/>
        <v>2.2591475222916522</v>
      </c>
      <c r="AI158" s="39">
        <f t="shared" ca="1" si="586"/>
        <v>2.3096761070439329</v>
      </c>
      <c r="AJ158" s="39">
        <f t="shared" ca="1" si="586"/>
        <v>2.3607980705334564</v>
      </c>
      <c r="AK158" s="39">
        <f t="shared" ca="1" si="586"/>
        <v>2.4128523798217776</v>
      </c>
      <c r="AL158" s="39">
        <f t="shared" ca="1" si="586"/>
        <v>2.4659884303287618</v>
      </c>
      <c r="AM158" s="39">
        <f t="shared" ca="1" si="586"/>
        <v>2.5202460590928606</v>
      </c>
      <c r="AN158" s="39">
        <f t="shared" ca="1" si="586"/>
        <v>2.575620171144958</v>
      </c>
      <c r="AO158" s="39">
        <f t="shared" ca="1" si="586"/>
        <v>2.6320860615183688</v>
      </c>
      <c r="AP158" s="39">
        <f t="shared" ca="1" si="586"/>
        <v>2.6896477416401781</v>
      </c>
      <c r="AQ158" s="39">
        <f t="shared" ca="1" si="586"/>
        <v>2.7482849165916083</v>
      </c>
      <c r="AR158" s="39">
        <f t="shared" ca="1" si="586"/>
        <v>2.8079663227782787</v>
      </c>
      <c r="AS158" s="39">
        <f t="shared" ca="1" si="586"/>
        <v>2.86865462080537</v>
      </c>
      <c r="AT158" s="39">
        <f t="shared" ca="1" si="586"/>
        <v>2.93034982063307</v>
      </c>
      <c r="AU158" s="39">
        <f t="shared" ca="1" si="586"/>
        <v>2.9930282418700256</v>
      </c>
      <c r="AV158" s="39">
        <f t="shared" ca="1" si="586"/>
        <v>3.0566554680398306</v>
      </c>
      <c r="AW158" s="39">
        <f t="shared" ca="1" si="586"/>
        <v>3.1211910831418903</v>
      </c>
      <c r="AX158" s="39">
        <f t="shared" ca="1" si="586"/>
        <v>3.1866355151352339</v>
      </c>
      <c r="AY158" s="39">
        <f t="shared" ca="1" si="586"/>
        <v>3.2529637649554775</v>
      </c>
      <c r="AZ158" s="54"/>
      <c r="BA158" s="39">
        <f>+BB158</f>
        <v>4.0380000000000003</v>
      </c>
      <c r="BB158" s="28">
        <v>4.0380000000000003</v>
      </c>
      <c r="BC158" s="28">
        <v>5.0739999999999998</v>
      </c>
      <c r="BD158" s="4">
        <f>+SUM(H158:K158)</f>
        <v>8.5519999999999996</v>
      </c>
      <c r="BE158" s="4">
        <f>+SUM(L158:O158)</f>
        <v>8</v>
      </c>
      <c r="BF158" s="4">
        <f>+SUM(P158:S158)</f>
        <v>8</v>
      </c>
      <c r="BG158" s="4">
        <f>+SUM(T158:W158)</f>
        <v>8</v>
      </c>
      <c r="BH158" s="4">
        <f>+SUM(X158:AA158)</f>
        <v>8</v>
      </c>
      <c r="BI158" s="4">
        <f ca="1">+SUM(AB158:AE158)</f>
        <v>8.259014584407975</v>
      </c>
      <c r="BJ158" s="4">
        <f ca="1">+SUM(AF158:AI158)</f>
        <v>8.9320209079569448</v>
      </c>
      <c r="BK158" s="4">
        <f ca="1">+SUM(AJ158:AM158)</f>
        <v>9.7598849397768568</v>
      </c>
      <c r="BL158" s="4">
        <f ca="1">+SUM(AN158:AQ158)</f>
        <v>10.645638890895112</v>
      </c>
      <c r="BM158" s="4">
        <f ca="1">+SUM(AR158:AU158)</f>
        <v>11.599999006086744</v>
      </c>
      <c r="BN158" s="4">
        <f ca="1">+SUM(AV158:AY158)</f>
        <v>12.617445831272434</v>
      </c>
      <c r="BO158" s="24"/>
    </row>
    <row r="159" spans="1:75">
      <c r="A159" s="39"/>
      <c r="B159" t="s">
        <v>38</v>
      </c>
      <c r="D159" s="28">
        <f>15.155-D158-E158-E159</f>
        <v>5.6095000000000006</v>
      </c>
      <c r="E159" s="7">
        <f>8.277-E158</f>
        <v>6.2769999999999992</v>
      </c>
      <c r="F159" s="7">
        <f>7.652-F158</f>
        <v>5.6520000000000001</v>
      </c>
      <c r="G159" s="28">
        <f>30.968-D159-E159-F159-D158-E158-F158-G158</f>
        <v>6.1609999999999978</v>
      </c>
      <c r="H159" s="7">
        <v>7.1749999999999998</v>
      </c>
      <c r="I159" s="7">
        <v>7.89</v>
      </c>
      <c r="J159" s="7">
        <f>10.731-J158</f>
        <v>8.7309999999999999</v>
      </c>
      <c r="K159" s="7">
        <f>11.766-K158</f>
        <v>9.766</v>
      </c>
      <c r="L159" s="7">
        <f>11.864-L158</f>
        <v>9.8640000000000008</v>
      </c>
      <c r="M159" s="7">
        <f>12.203-M158</f>
        <v>10.202999999999999</v>
      </c>
      <c r="N159" s="7">
        <f>13.596-N158</f>
        <v>11.596</v>
      </c>
      <c r="O159" s="7">
        <f>14.192-O158</f>
        <v>12.192</v>
      </c>
      <c r="P159" s="7">
        <f>14.302-P158</f>
        <v>12.302</v>
      </c>
      <c r="Q159" s="7">
        <f>16.325-Q158</f>
        <v>14.324999999999999</v>
      </c>
      <c r="R159" s="7">
        <f>21.022-R158</f>
        <v>19.021999999999998</v>
      </c>
      <c r="S159" s="7">
        <f>22.575-S158</f>
        <v>20.574999999999999</v>
      </c>
      <c r="T159" s="7">
        <f>24.869-T158</f>
        <v>22.869</v>
      </c>
      <c r="U159" s="7">
        <f>26.409-U158</f>
        <v>24.408999999999999</v>
      </c>
      <c r="V159" s="7">
        <f>28.493-V158</f>
        <v>26.492999999999999</v>
      </c>
      <c r="W159" s="7">
        <f>28.703-W158</f>
        <v>26.702999999999999</v>
      </c>
      <c r="X159" s="7">
        <f>29.504-X158</f>
        <v>27.504000000000001</v>
      </c>
      <c r="Y159" s="7">
        <f>30.275-Y158</f>
        <v>28.274999999999999</v>
      </c>
      <c r="Z159" s="7">
        <f>31.237-Z158</f>
        <v>29.236999999999998</v>
      </c>
      <c r="AA159" s="7">
        <f>32.539-AA158</f>
        <v>30.539000000000001</v>
      </c>
      <c r="AB159" s="39">
        <f ca="1">+AB191*AB82</f>
        <v>31.346816751930007</v>
      </c>
      <c r="AC159" s="39">
        <f t="shared" ref="AC159:AY159" ca="1" si="587">+AC191*AC82</f>
        <v>31.827994125068553</v>
      </c>
      <c r="AD159" s="39">
        <f t="shared" ca="1" si="587"/>
        <v>32.251334272563724</v>
      </c>
      <c r="AE159" s="39">
        <f t="shared" ca="1" si="587"/>
        <v>32.652156032453675</v>
      </c>
      <c r="AF159" s="39">
        <f t="shared" ca="1" si="587"/>
        <v>38.336245383409334</v>
      </c>
      <c r="AG159" s="39">
        <f t="shared" ca="1" si="587"/>
        <v>39.286801298162501</v>
      </c>
      <c r="AH159" s="39">
        <f t="shared" ca="1" si="587"/>
        <v>40.191149376315025</v>
      </c>
      <c r="AI159" s="39">
        <f t="shared" ca="1" si="587"/>
        <v>41.09007336313492</v>
      </c>
      <c r="AJ159" s="39">
        <f t="shared" ca="1" si="587"/>
        <v>41.999553798008755</v>
      </c>
      <c r="AK159" s="39">
        <f t="shared" ca="1" si="587"/>
        <v>42.92562104224325</v>
      </c>
      <c r="AL159" s="39">
        <f t="shared" ca="1" si="587"/>
        <v>43.870932900862961</v>
      </c>
      <c r="AM159" s="39">
        <f t="shared" ca="1" si="587"/>
        <v>44.836198090915921</v>
      </c>
      <c r="AN159" s="39">
        <f t="shared" ca="1" si="587"/>
        <v>45.821325970838124</v>
      </c>
      <c r="AO159" s="39">
        <f t="shared" ca="1" si="587"/>
        <v>46.825877029266692</v>
      </c>
      <c r="AP159" s="39">
        <f t="shared" ca="1" si="587"/>
        <v>47.849922631114133</v>
      </c>
      <c r="AQ159" s="39">
        <f t="shared" ca="1" si="587"/>
        <v>48.893101721555929</v>
      </c>
      <c r="AR159" s="39">
        <f t="shared" ca="1" si="587"/>
        <v>49.954858108586308</v>
      </c>
      <c r="AS159" s="39">
        <f t="shared" ca="1" si="587"/>
        <v>51.03452750924896</v>
      </c>
      <c r="AT159" s="39">
        <f t="shared" ca="1" si="587"/>
        <v>52.132110100739673</v>
      </c>
      <c r="AU159" s="39">
        <f t="shared" ca="1" si="587"/>
        <v>53.247184599305712</v>
      </c>
      <c r="AV159" s="39">
        <f t="shared" ca="1" si="587"/>
        <v>54.379138721893142</v>
      </c>
      <c r="AW159" s="39">
        <f t="shared" ca="1" si="587"/>
        <v>55.527253451482906</v>
      </c>
      <c r="AX159" s="39">
        <f t="shared" ca="1" si="587"/>
        <v>56.691536401639446</v>
      </c>
      <c r="AY159" s="39">
        <f t="shared" ca="1" si="587"/>
        <v>57.87154282888276</v>
      </c>
      <c r="AZ159" s="54"/>
      <c r="BA159" s="28">
        <f>17.387-BA158</f>
        <v>13.349</v>
      </c>
      <c r="BB159" s="28">
        <f>23.956-BB158</f>
        <v>19.917999999999999</v>
      </c>
      <c r="BC159" s="28">
        <v>25.893999999999998</v>
      </c>
      <c r="BD159" s="4">
        <f>+SUM(H159:K159)</f>
        <v>33.561999999999998</v>
      </c>
      <c r="BE159" s="4">
        <f>+SUM(L159:O159)</f>
        <v>43.855000000000004</v>
      </c>
      <c r="BF159" s="4">
        <f>+SUM(P159:S159)</f>
        <v>66.224000000000004</v>
      </c>
      <c r="BG159" s="4">
        <f>+SUM(T159:W159)</f>
        <v>100.474</v>
      </c>
      <c r="BH159" s="4">
        <f>+SUM(X159:AA159)</f>
        <v>115.55499999999999</v>
      </c>
      <c r="BI159" s="4">
        <f ca="1">+SUM(AB159:AE159)</f>
        <v>128.07830118201596</v>
      </c>
      <c r="BJ159" s="4">
        <f ca="1">+SUM(AF159:AI159)</f>
        <v>158.90426942102178</v>
      </c>
      <c r="BK159" s="4">
        <f ca="1">+SUM(AJ159:AM159)</f>
        <v>173.63230583203088</v>
      </c>
      <c r="BL159" s="4">
        <f ca="1">+SUM(AN159:AQ159)</f>
        <v>189.39022735277487</v>
      </c>
      <c r="BM159" s="4">
        <f ca="1">+SUM(AR159:AU159)</f>
        <v>206.36868031788066</v>
      </c>
      <c r="BN159" s="4">
        <f ca="1">+SUM(AV159:AY159)</f>
        <v>224.46947140389824</v>
      </c>
      <c r="BO159" s="24"/>
    </row>
    <row r="160" spans="1:75">
      <c r="A160" s="39"/>
      <c r="B160" t="s">
        <v>214</v>
      </c>
      <c r="D160" s="28"/>
      <c r="E160" s="7"/>
      <c r="F160" s="7">
        <v>-0.94799999999999995</v>
      </c>
      <c r="G160" s="28"/>
      <c r="H160" s="7"/>
      <c r="I160" s="7"/>
      <c r="J160" s="7"/>
      <c r="K160" s="7"/>
      <c r="L160" s="7"/>
      <c r="M160" s="7"/>
      <c r="N160" s="7"/>
      <c r="O160" s="7"/>
      <c r="P160" s="7"/>
      <c r="Q160" s="7"/>
      <c r="R160" s="7"/>
      <c r="S160" s="7">
        <v>0.16400000000000001</v>
      </c>
      <c r="T160" s="7"/>
      <c r="U160" s="7"/>
      <c r="V160" s="7"/>
      <c r="W160" s="7"/>
      <c r="X160" s="7"/>
      <c r="Y160" s="7"/>
      <c r="Z160" s="7"/>
      <c r="AA160" s="7"/>
      <c r="AB160" s="39"/>
      <c r="AC160" s="39"/>
      <c r="AD160" s="39"/>
      <c r="AE160" s="39"/>
      <c r="AF160" s="39"/>
      <c r="AG160" s="39"/>
      <c r="AH160" s="39"/>
      <c r="AI160" s="39"/>
      <c r="AJ160" s="39"/>
      <c r="AK160" s="39"/>
      <c r="AL160" s="39"/>
      <c r="AM160" s="39"/>
      <c r="AN160" s="39"/>
      <c r="AO160" s="39"/>
      <c r="AP160" s="39"/>
      <c r="AQ160" s="39"/>
      <c r="AR160" s="39"/>
      <c r="AS160" s="39"/>
      <c r="AT160" s="39"/>
      <c r="AU160" s="39"/>
      <c r="AV160" s="39"/>
      <c r="AW160" s="39"/>
      <c r="AX160" s="39"/>
      <c r="AY160" s="39"/>
      <c r="AZ160" s="54"/>
      <c r="BA160" s="28"/>
      <c r="BB160" s="28"/>
      <c r="BC160" s="28">
        <v>-0.94799999999999995</v>
      </c>
      <c r="BD160" s="4"/>
      <c r="BE160" s="4"/>
      <c r="BF160" s="4"/>
      <c r="BG160" s="4"/>
      <c r="BH160" s="4"/>
      <c r="BI160" s="4"/>
      <c r="BJ160" s="4"/>
      <c r="BK160" s="4"/>
      <c r="BL160" s="4"/>
      <c r="BM160" s="4"/>
      <c r="BN160" s="4"/>
      <c r="BO160" s="24"/>
    </row>
    <row r="161" spans="1:67">
      <c r="A161" s="22"/>
      <c r="B161" t="s">
        <v>36</v>
      </c>
      <c r="D161" s="39">
        <f t="shared" ref="D161:L161" si="588">SUM(D157:D160)</f>
        <v>0.74200000000000621</v>
      </c>
      <c r="E161" s="10">
        <f t="shared" si="588"/>
        <v>8.011000000000001</v>
      </c>
      <c r="F161" s="10">
        <f t="shared" si="588"/>
        <v>4.9469999999999992</v>
      </c>
      <c r="G161" s="39">
        <f t="shared" si="588"/>
        <v>6.5529999999999902</v>
      </c>
      <c r="H161" s="10">
        <f t="shared" si="588"/>
        <v>7.4329999999999927</v>
      </c>
      <c r="I161" s="10">
        <f t="shared" si="588"/>
        <v>8.8780000000000054</v>
      </c>
      <c r="J161" s="10">
        <f t="shared" si="588"/>
        <v>13.440000000000007</v>
      </c>
      <c r="K161" s="10">
        <f t="shared" si="588"/>
        <v>16.213000000000001</v>
      </c>
      <c r="L161" s="10">
        <f t="shared" si="588"/>
        <v>17.192000000000004</v>
      </c>
      <c r="M161" s="10">
        <f t="shared" ref="M161:R161" si="589">SUM(M157:M160)</f>
        <v>16.123999999999995</v>
      </c>
      <c r="N161" s="10">
        <f t="shared" si="589"/>
        <v>17.602</v>
      </c>
      <c r="O161" s="10">
        <f t="shared" si="589"/>
        <v>20.04</v>
      </c>
      <c r="P161" s="10">
        <f t="shared" si="589"/>
        <v>19.339000000000006</v>
      </c>
      <c r="Q161" s="10">
        <f t="shared" si="589"/>
        <v>21.845000000000006</v>
      </c>
      <c r="R161" s="10">
        <f t="shared" si="589"/>
        <v>29.260000000000005</v>
      </c>
      <c r="S161" s="10">
        <f t="shared" ref="S161:X161" si="590">SUM(S157:S160)</f>
        <v>28.073</v>
      </c>
      <c r="T161" s="10">
        <f t="shared" si="590"/>
        <v>31.727999999999998</v>
      </c>
      <c r="U161" s="10">
        <f t="shared" si="590"/>
        <v>32.216000000000015</v>
      </c>
      <c r="V161" s="10">
        <f t="shared" si="590"/>
        <v>35.030999999999992</v>
      </c>
      <c r="W161" s="10">
        <f t="shared" si="590"/>
        <v>34.183999999999997</v>
      </c>
      <c r="X161" s="10">
        <f t="shared" si="590"/>
        <v>35.07200000000001</v>
      </c>
      <c r="Y161" s="10">
        <f>SUM(Y157:Y160)</f>
        <v>34.882999999999996</v>
      </c>
      <c r="Z161" s="10">
        <f>SUM(Z157:Z160)</f>
        <v>38.630999999999986</v>
      </c>
      <c r="AA161" s="10">
        <f>SUM(AA157:AA160)</f>
        <v>16.425999999999984</v>
      </c>
      <c r="AB161" s="10">
        <f t="shared" ref="AB161:AM161" ca="1" si="591">SUM(AB157:AB160)</f>
        <v>40.61015894519813</v>
      </c>
      <c r="AC161" s="10">
        <f t="shared" ca="1" si="591"/>
        <v>37.506779430800385</v>
      </c>
      <c r="AD161" s="10">
        <f t="shared" ca="1" si="591"/>
        <v>36.357473210145372</v>
      </c>
      <c r="AE161" s="10">
        <f t="shared" ca="1" si="591"/>
        <v>36.379508350156094</v>
      </c>
      <c r="AF161" s="10">
        <f t="shared" ca="1" si="591"/>
        <v>39.90160789490227</v>
      </c>
      <c r="AG161" s="10">
        <f t="shared" ca="1" si="591"/>
        <v>39.257674312745088</v>
      </c>
      <c r="AH161" s="10">
        <f t="shared" ca="1" si="591"/>
        <v>40.635474353835079</v>
      </c>
      <c r="AI161" s="10">
        <f t="shared" ca="1" si="591"/>
        <v>43.705936494844885</v>
      </c>
      <c r="AJ161" s="10">
        <f t="shared" ca="1" si="591"/>
        <v>44.690450357658584</v>
      </c>
      <c r="AK161" s="10">
        <f t="shared" ca="1" si="591"/>
        <v>44.234457568230091</v>
      </c>
      <c r="AL161" s="10">
        <f t="shared" ca="1" si="591"/>
        <v>46.06854719548263</v>
      </c>
      <c r="AM161" s="10">
        <f t="shared" ca="1" si="591"/>
        <v>49.775507454249592</v>
      </c>
      <c r="AN161" s="10">
        <f t="shared" ref="AN161:AY161" ca="1" si="592">SUM(AN157:AN160)</f>
        <v>51.255914121291369</v>
      </c>
      <c r="AO161" s="10">
        <f t="shared" ca="1" si="592"/>
        <v>50.980379196845533</v>
      </c>
      <c r="AP161" s="10">
        <f t="shared" ca="1" si="592"/>
        <v>53.073585771589677</v>
      </c>
      <c r="AQ161" s="10">
        <f t="shared" ca="1" si="592"/>
        <v>57.179003403209322</v>
      </c>
      <c r="AR161" s="10">
        <f t="shared" ca="1" si="592"/>
        <v>58.746405746657381</v>
      </c>
      <c r="AS161" s="10">
        <f t="shared" ca="1" si="592"/>
        <v>59.342344116391502</v>
      </c>
      <c r="AT161" s="10">
        <f t="shared" ca="1" si="592"/>
        <v>64.809791050782323</v>
      </c>
      <c r="AU161" s="10">
        <f t="shared" ca="1" si="592"/>
        <v>69.808444445066144</v>
      </c>
      <c r="AV161" s="10">
        <f t="shared" ca="1" si="592"/>
        <v>71.405827840989133</v>
      </c>
      <c r="AW161" s="10">
        <f t="shared" ca="1" si="592"/>
        <v>71.175866147197851</v>
      </c>
      <c r="AX161" s="10">
        <f t="shared" ca="1" si="592"/>
        <v>73.745691875029436</v>
      </c>
      <c r="AY161" s="10">
        <f t="shared" ca="1" si="592"/>
        <v>78.647053350554557</v>
      </c>
      <c r="AZ161" s="54"/>
      <c r="BA161" s="10">
        <f t="shared" ref="BA161:BG161" si="593">SUM(BA157:BA160)</f>
        <v>31.771000000000001</v>
      </c>
      <c r="BB161" s="10">
        <f t="shared" si="593"/>
        <v>23.046999999999972</v>
      </c>
      <c r="BC161" s="10">
        <f t="shared" si="593"/>
        <v>20.252999999999986</v>
      </c>
      <c r="BD161" s="10">
        <f t="shared" si="593"/>
        <v>45.963999999999999</v>
      </c>
      <c r="BE161" s="10">
        <f t="shared" si="593"/>
        <v>70.957999999999998</v>
      </c>
      <c r="BF161" s="10">
        <f t="shared" si="593"/>
        <v>98.353000000000023</v>
      </c>
      <c r="BG161" s="10">
        <f t="shared" si="593"/>
        <v>133.15899999999999</v>
      </c>
      <c r="BH161" s="10">
        <f>SUM(BH157:BH160)</f>
        <v>125.01199999999997</v>
      </c>
      <c r="BI161" s="10">
        <f ca="1">SUM(BI157:BI160)</f>
        <v>150.8539199363</v>
      </c>
      <c r="BJ161" s="10">
        <f ca="1">SUM(BJ157:BJ160)</f>
        <v>163.50069305632732</v>
      </c>
      <c r="BK161" s="10">
        <f ca="1">SUM(BK157:BK160)</f>
        <v>184.76896257562089</v>
      </c>
      <c r="BL161" s="10">
        <f t="shared" ref="BL161:BN161" ca="1" si="594">SUM(BL157:BL160)</f>
        <v>212.48888249293589</v>
      </c>
      <c r="BM161" s="10">
        <f t="shared" ca="1" si="594"/>
        <v>252.70698535889736</v>
      </c>
      <c r="BN161" s="10">
        <f t="shared" ca="1" si="594"/>
        <v>294.97443921377095</v>
      </c>
      <c r="BO161" s="39"/>
    </row>
    <row r="162" spans="1:67">
      <c r="A162" s="39"/>
      <c r="B162" t="s">
        <v>39</v>
      </c>
      <c r="D162" s="28">
        <v>1.4339999999999999</v>
      </c>
      <c r="E162" s="7"/>
      <c r="F162" s="7"/>
      <c r="G162" s="28">
        <f>1.434-D162-E162-F162</f>
        <v>0</v>
      </c>
      <c r="H162" s="7">
        <v>1.0980000000000001</v>
      </c>
      <c r="I162" s="7">
        <v>2.1789999999999998</v>
      </c>
      <c r="J162" s="7"/>
      <c r="K162" s="7">
        <v>0.153</v>
      </c>
      <c r="L162" s="7"/>
      <c r="M162" s="7">
        <v>0.11</v>
      </c>
      <c r="N162" s="7">
        <v>0.47</v>
      </c>
      <c r="O162" s="7">
        <v>0.29099999999999998</v>
      </c>
      <c r="P162" s="7"/>
      <c r="Q162" s="7">
        <v>8.3000000000000004E-2</v>
      </c>
      <c r="R162" s="7"/>
      <c r="S162" s="7">
        <v>0.38500000000000001</v>
      </c>
      <c r="T162" s="7"/>
      <c r="U162" s="7"/>
      <c r="V162" s="7"/>
      <c r="W162" s="7">
        <v>0.193</v>
      </c>
      <c r="X162" s="7"/>
      <c r="Y162" s="7"/>
      <c r="Z162" s="7"/>
      <c r="AA162" s="7"/>
      <c r="AB162" s="39"/>
      <c r="AC162" s="39"/>
      <c r="AD162" s="39"/>
      <c r="AE162" s="39"/>
      <c r="AF162" s="39"/>
      <c r="AG162" s="39"/>
      <c r="AH162" s="39"/>
      <c r="AI162" s="39"/>
      <c r="AJ162" s="39"/>
      <c r="AK162" s="39"/>
      <c r="AL162" s="39"/>
      <c r="AM162" s="39"/>
      <c r="AN162" s="39"/>
      <c r="AO162" s="39"/>
      <c r="AP162" s="39"/>
      <c r="AQ162" s="39"/>
      <c r="AR162" s="39"/>
      <c r="AS162" s="39"/>
      <c r="AT162" s="39"/>
      <c r="AU162" s="39"/>
      <c r="AV162" s="39"/>
      <c r="AW162" s="39"/>
      <c r="AX162" s="39"/>
      <c r="AY162" s="39"/>
      <c r="AZ162" s="54"/>
      <c r="BA162" s="39"/>
      <c r="BB162" s="39"/>
      <c r="BC162" s="28">
        <v>1.4339999999999999</v>
      </c>
      <c r="BD162" s="4">
        <f>+SUM(H162:K162)</f>
        <v>3.43</v>
      </c>
      <c r="BE162" s="4">
        <f>+SUM(L162:O162)</f>
        <v>0.871</v>
      </c>
      <c r="BF162" s="4">
        <f>+SUM(P162:S162)</f>
        <v>0.46800000000000003</v>
      </c>
      <c r="BG162" s="4">
        <f>+SUM(T162:W162)</f>
        <v>0.193</v>
      </c>
      <c r="BH162" s="4">
        <f>+SUM(X162:AA162)</f>
        <v>0</v>
      </c>
      <c r="BI162" s="4">
        <f>+SUM(AB162:AE162)</f>
        <v>0</v>
      </c>
      <c r="BJ162" s="4">
        <f>+SUM(AF162:AI162)</f>
        <v>0</v>
      </c>
      <c r="BK162" s="4">
        <f>+SUM(AJ162:AM162)</f>
        <v>0</v>
      </c>
      <c r="BL162" s="4">
        <f t="shared" ref="BL162:BL170" si="595">+SUM(AN162:AQ162)</f>
        <v>0</v>
      </c>
      <c r="BM162" s="4">
        <f t="shared" ref="BM162:BM170" si="596">+SUM(AR162:AU162)</f>
        <v>0</v>
      </c>
      <c r="BN162" s="4">
        <f t="shared" ref="BN162:BN170" si="597">+SUM(AV162:AY162)</f>
        <v>0</v>
      </c>
      <c r="BO162" s="24"/>
    </row>
    <row r="163" spans="1:67">
      <c r="A163" s="39"/>
      <c r="B163" t="s">
        <v>54</v>
      </c>
      <c r="D163" s="28">
        <v>3.2909999999999999</v>
      </c>
      <c r="E163" s="7"/>
      <c r="F163" s="7"/>
      <c r="G163" s="28">
        <f>3.291-D163-E163-F163</f>
        <v>0</v>
      </c>
      <c r="H163" s="7"/>
      <c r="I163" s="7"/>
      <c r="J163" s="7"/>
      <c r="K163" s="7"/>
      <c r="L163" s="7"/>
      <c r="M163" s="7">
        <v>1.046</v>
      </c>
      <c r="N163" s="7">
        <v>0.22600000000000001</v>
      </c>
      <c r="O163" s="7">
        <v>2.5999999999999999E-2</v>
      </c>
      <c r="P163" s="7"/>
      <c r="Q163" s="7">
        <v>0.42199999999999999</v>
      </c>
      <c r="R163" s="7">
        <v>1.36</v>
      </c>
      <c r="S163" s="7">
        <v>4.5519999999999996</v>
      </c>
      <c r="T163" s="7">
        <v>2.0529999999999999</v>
      </c>
      <c r="U163" s="7">
        <v>3.0259999999999998</v>
      </c>
      <c r="V163" s="7">
        <v>3.355</v>
      </c>
      <c r="W163" s="7">
        <v>1.1339999999999999</v>
      </c>
      <c r="X163" s="7">
        <v>0.27200000000000002</v>
      </c>
      <c r="Y163" s="7">
        <v>1.7999999999999999E-2</v>
      </c>
      <c r="Z163" s="7"/>
      <c r="AA163" s="7">
        <v>19.992000000000001</v>
      </c>
      <c r="AB163" s="360"/>
      <c r="AC163" s="39"/>
      <c r="AD163" s="39"/>
      <c r="AE163" s="39"/>
      <c r="AF163" s="39"/>
      <c r="AG163" s="39"/>
      <c r="AH163" s="39"/>
      <c r="AI163" s="39"/>
      <c r="AJ163" s="39"/>
      <c r="AK163" s="39"/>
      <c r="AL163" s="39"/>
      <c r="AM163" s="39"/>
      <c r="AN163" s="39"/>
      <c r="AO163" s="39"/>
      <c r="AP163" s="39"/>
      <c r="AQ163" s="39"/>
      <c r="AR163" s="39"/>
      <c r="AS163" s="39"/>
      <c r="AT163" s="39"/>
      <c r="AU163" s="39"/>
      <c r="AV163" s="39"/>
      <c r="AW163" s="39"/>
      <c r="AX163" s="39"/>
      <c r="AY163" s="39"/>
      <c r="AZ163" s="54"/>
      <c r="BA163" s="39"/>
      <c r="BB163" s="39"/>
      <c r="BC163" s="28">
        <v>3.2909999999999999</v>
      </c>
      <c r="BD163" s="4">
        <f t="shared" ref="BD163:BD168" si="598">+SUM(H163:K163)</f>
        <v>0</v>
      </c>
      <c r="BE163" s="4">
        <f t="shared" ref="BE163:BE168" si="599">+SUM(L163:O163)</f>
        <v>1.298</v>
      </c>
      <c r="BF163" s="4">
        <f t="shared" ref="BF163:BF168" si="600">+SUM(P163:S163)</f>
        <v>6.3339999999999996</v>
      </c>
      <c r="BG163" s="4">
        <f t="shared" ref="BG163:BG168" si="601">+SUM(T163:W163)</f>
        <v>9.5679999999999996</v>
      </c>
      <c r="BH163" s="4">
        <f t="shared" ref="BH163:BH168" si="602">+SUM(X163:AA163)</f>
        <v>20.282</v>
      </c>
      <c r="BI163" s="4">
        <f t="shared" ref="BI163:BI168" si="603">+SUM(AB163:AE163)</f>
        <v>0</v>
      </c>
      <c r="BJ163" s="4">
        <f t="shared" ref="BJ163:BJ168" si="604">+SUM(AF163:AI163)</f>
        <v>0</v>
      </c>
      <c r="BK163" s="4">
        <f t="shared" ref="BK163:BK168" si="605">+SUM(AJ163:AM163)</f>
        <v>0</v>
      </c>
      <c r="BL163" s="4">
        <f t="shared" si="595"/>
        <v>0</v>
      </c>
      <c r="BM163" s="4">
        <f t="shared" si="596"/>
        <v>0</v>
      </c>
      <c r="BN163" s="4">
        <f t="shared" si="597"/>
        <v>0</v>
      </c>
      <c r="BO163" s="24"/>
    </row>
    <row r="164" spans="1:67">
      <c r="A164" s="39"/>
      <c r="B164" t="s">
        <v>210</v>
      </c>
      <c r="D164" s="28"/>
      <c r="E164" s="7"/>
      <c r="F164" s="7"/>
      <c r="G164" s="28"/>
      <c r="H164" s="7"/>
      <c r="I164" s="7"/>
      <c r="J164" s="7"/>
      <c r="K164" s="7"/>
      <c r="L164" s="7"/>
      <c r="M164" s="7"/>
      <c r="N164" s="7"/>
      <c r="O164" s="7"/>
      <c r="P164" s="7"/>
      <c r="Q164" s="7"/>
      <c r="R164" s="7"/>
      <c r="S164" s="7"/>
      <c r="T164" s="7"/>
      <c r="U164" s="7"/>
      <c r="V164" s="7"/>
      <c r="W164" s="7"/>
      <c r="X164" s="7"/>
      <c r="Y164" s="7"/>
      <c r="Z164" s="7"/>
      <c r="AA164" s="7"/>
      <c r="AB164" s="39"/>
      <c r="AC164" s="39"/>
      <c r="AD164" s="39"/>
      <c r="AE164" s="39"/>
      <c r="AF164" s="39"/>
      <c r="AG164" s="39"/>
      <c r="AH164" s="39"/>
      <c r="AI164" s="39"/>
      <c r="AJ164" s="39"/>
      <c r="AK164" s="39"/>
      <c r="AL164" s="39"/>
      <c r="AM164" s="39"/>
      <c r="AN164" s="39"/>
      <c r="AO164" s="39"/>
      <c r="AP164" s="39"/>
      <c r="AQ164" s="39"/>
      <c r="AR164" s="39"/>
      <c r="AS164" s="39"/>
      <c r="AT164" s="39"/>
      <c r="AU164" s="39"/>
      <c r="AV164" s="39"/>
      <c r="AW164" s="39"/>
      <c r="AX164" s="39"/>
      <c r="AY164" s="39"/>
      <c r="AZ164" s="54"/>
      <c r="BA164" s="28"/>
      <c r="BB164" s="28">
        <v>-3.3570000000000002</v>
      </c>
      <c r="BC164" s="39"/>
      <c r="BD164" s="4">
        <f t="shared" si="598"/>
        <v>0</v>
      </c>
      <c r="BE164" s="4">
        <f t="shared" si="599"/>
        <v>0</v>
      </c>
      <c r="BF164" s="4">
        <f t="shared" si="600"/>
        <v>0</v>
      </c>
      <c r="BG164" s="4">
        <f t="shared" si="601"/>
        <v>0</v>
      </c>
      <c r="BH164" s="4">
        <f t="shared" si="602"/>
        <v>0</v>
      </c>
      <c r="BI164" s="4">
        <f t="shared" si="603"/>
        <v>0</v>
      </c>
      <c r="BJ164" s="4">
        <f t="shared" si="604"/>
        <v>0</v>
      </c>
      <c r="BK164" s="4">
        <f t="shared" si="605"/>
        <v>0</v>
      </c>
      <c r="BL164" s="4">
        <f t="shared" si="595"/>
        <v>0</v>
      </c>
      <c r="BM164" s="4">
        <f t="shared" si="596"/>
        <v>0</v>
      </c>
      <c r="BN164" s="4">
        <f t="shared" si="597"/>
        <v>0</v>
      </c>
      <c r="BO164" s="24"/>
    </row>
    <row r="165" spans="1:67">
      <c r="A165" s="39"/>
      <c r="B165" t="s">
        <v>191</v>
      </c>
      <c r="D165" s="28"/>
      <c r="E165" s="7"/>
      <c r="F165" s="7">
        <v>0.40400000000000003</v>
      </c>
      <c r="G165" s="28">
        <f>0.897-D165-E165-F165</f>
        <v>0.49299999999999999</v>
      </c>
      <c r="H165" s="7"/>
      <c r="I165" s="7"/>
      <c r="J165" s="7"/>
      <c r="K165" s="7">
        <v>6.6000000000000003E-2</v>
      </c>
      <c r="L165" s="7">
        <v>6.4000000000000001E-2</v>
      </c>
      <c r="M165" s="7">
        <v>1.089</v>
      </c>
      <c r="N165" s="7">
        <v>-0.19500000000000001</v>
      </c>
      <c r="O165" s="7">
        <v>0.06</v>
      </c>
      <c r="P165" s="7">
        <v>0.105</v>
      </c>
      <c r="Q165" s="7">
        <v>4.2469999999999999</v>
      </c>
      <c r="R165" s="7">
        <v>0.122</v>
      </c>
      <c r="S165" s="7">
        <v>0.47399999999999998</v>
      </c>
      <c r="T165" s="7">
        <v>3.4000000000000002E-2</v>
      </c>
      <c r="U165" s="7">
        <v>0.80700000000000005</v>
      </c>
      <c r="V165" s="7">
        <v>0.11</v>
      </c>
      <c r="W165" s="7">
        <v>0.38700000000000001</v>
      </c>
      <c r="X165" s="7">
        <v>6.4000000000000001E-2</v>
      </c>
      <c r="Y165" s="7">
        <v>0.14299999999999999</v>
      </c>
      <c r="Z165" s="7">
        <v>1.1140000000000001</v>
      </c>
      <c r="AA165" s="7">
        <v>9.4489999999999998</v>
      </c>
      <c r="AB165" s="39"/>
      <c r="AC165" s="39"/>
      <c r="AD165" s="39"/>
      <c r="AE165" s="39"/>
      <c r="AF165" s="39"/>
      <c r="AG165" s="39"/>
      <c r="AH165" s="39"/>
      <c r="AI165" s="39"/>
      <c r="AJ165" s="39"/>
      <c r="AK165" s="39"/>
      <c r="AL165" s="39"/>
      <c r="AM165" s="39"/>
      <c r="AN165" s="39"/>
      <c r="AO165" s="39"/>
      <c r="AP165" s="39"/>
      <c r="AQ165" s="39"/>
      <c r="AR165" s="39"/>
      <c r="AS165" s="39"/>
      <c r="AT165" s="39"/>
      <c r="AU165" s="39"/>
      <c r="AV165" s="39"/>
      <c r="AW165" s="39"/>
      <c r="AX165" s="39"/>
      <c r="AY165" s="39"/>
      <c r="AZ165" s="54"/>
      <c r="BA165" s="39"/>
      <c r="BB165" s="39"/>
      <c r="BC165" s="28">
        <v>0.89700000000000002</v>
      </c>
      <c r="BD165" s="4">
        <f t="shared" si="598"/>
        <v>6.6000000000000003E-2</v>
      </c>
      <c r="BE165" s="4">
        <f t="shared" si="599"/>
        <v>1.018</v>
      </c>
      <c r="BF165" s="4">
        <f t="shared" si="600"/>
        <v>4.9480000000000004</v>
      </c>
      <c r="BG165" s="4">
        <f t="shared" si="601"/>
        <v>1.3380000000000001</v>
      </c>
      <c r="BH165" s="4">
        <f t="shared" si="602"/>
        <v>10.77</v>
      </c>
      <c r="BI165" s="4">
        <f t="shared" si="603"/>
        <v>0</v>
      </c>
      <c r="BJ165" s="4">
        <f t="shared" si="604"/>
        <v>0</v>
      </c>
      <c r="BK165" s="4">
        <f t="shared" si="605"/>
        <v>0</v>
      </c>
      <c r="BL165" s="4">
        <f t="shared" si="595"/>
        <v>0</v>
      </c>
      <c r="BM165" s="4">
        <f t="shared" si="596"/>
        <v>0</v>
      </c>
      <c r="BN165" s="4">
        <f t="shared" si="597"/>
        <v>0</v>
      </c>
      <c r="BO165" s="24"/>
    </row>
    <row r="166" spans="1:67">
      <c r="A166" s="39"/>
      <c r="B166" t="s">
        <v>211</v>
      </c>
      <c r="D166" s="28"/>
      <c r="E166" s="7"/>
      <c r="F166" s="7"/>
      <c r="G166" s="28"/>
      <c r="H166" s="7"/>
      <c r="I166" s="7"/>
      <c r="J166" s="7"/>
      <c r="K166" s="7"/>
      <c r="L166" s="7"/>
      <c r="M166" s="7"/>
      <c r="N166" s="7"/>
      <c r="O166" s="7"/>
      <c r="P166" s="7"/>
      <c r="Q166" s="7"/>
      <c r="R166" s="7"/>
      <c r="S166" s="7"/>
      <c r="T166" s="7"/>
      <c r="U166" s="7"/>
      <c r="V166" s="7"/>
      <c r="W166" s="7"/>
      <c r="X166" s="7"/>
      <c r="Y166" s="7"/>
      <c r="Z166" s="7"/>
      <c r="AA166" s="7"/>
      <c r="AB166" s="39"/>
      <c r="AC166" s="39"/>
      <c r="AD166" s="39"/>
      <c r="AE166" s="39"/>
      <c r="AF166" s="39"/>
      <c r="AG166" s="39"/>
      <c r="AH166" s="39"/>
      <c r="AI166" s="39"/>
      <c r="AJ166" s="39"/>
      <c r="AK166" s="39"/>
      <c r="AL166" s="39"/>
      <c r="AM166" s="39"/>
      <c r="AN166" s="39"/>
      <c r="AO166" s="39"/>
      <c r="AP166" s="39"/>
      <c r="AQ166" s="39"/>
      <c r="AR166" s="39"/>
      <c r="AS166" s="39"/>
      <c r="AT166" s="39"/>
      <c r="AU166" s="39"/>
      <c r="AV166" s="39"/>
      <c r="AW166" s="39"/>
      <c r="AX166" s="39"/>
      <c r="AY166" s="39"/>
      <c r="AZ166" s="54"/>
      <c r="BA166" s="28">
        <v>-4.8440000000000003</v>
      </c>
      <c r="BB166" s="28">
        <v>-0.96</v>
      </c>
      <c r="BC166" s="39"/>
      <c r="BD166" s="4">
        <f t="shared" si="598"/>
        <v>0</v>
      </c>
      <c r="BE166" s="4">
        <f t="shared" si="599"/>
        <v>0</v>
      </c>
      <c r="BF166" s="4">
        <f t="shared" si="600"/>
        <v>0</v>
      </c>
      <c r="BG166" s="4">
        <f t="shared" si="601"/>
        <v>0</v>
      </c>
      <c r="BH166" s="4">
        <f t="shared" si="602"/>
        <v>0</v>
      </c>
      <c r="BI166" s="4">
        <f t="shared" si="603"/>
        <v>0</v>
      </c>
      <c r="BJ166" s="4">
        <f t="shared" si="604"/>
        <v>0</v>
      </c>
      <c r="BK166" s="4">
        <f t="shared" si="605"/>
        <v>0</v>
      </c>
      <c r="BL166" s="4">
        <f t="shared" si="595"/>
        <v>0</v>
      </c>
      <c r="BM166" s="4">
        <f t="shared" si="596"/>
        <v>0</v>
      </c>
      <c r="BN166" s="4">
        <f t="shared" si="597"/>
        <v>0</v>
      </c>
      <c r="BO166" s="24"/>
    </row>
    <row r="167" spans="1:67">
      <c r="A167" s="39"/>
      <c r="B167" t="s">
        <v>212</v>
      </c>
      <c r="D167" s="28"/>
      <c r="E167" s="7"/>
      <c r="F167" s="7"/>
      <c r="G167" s="28"/>
      <c r="H167" s="7"/>
      <c r="I167" s="7"/>
      <c r="J167" s="7"/>
      <c r="K167" s="7"/>
      <c r="L167" s="7"/>
      <c r="M167" s="7"/>
      <c r="N167" s="7"/>
      <c r="O167" s="7"/>
      <c r="P167" s="7"/>
      <c r="Q167" s="7"/>
      <c r="R167" s="7"/>
      <c r="S167" s="7"/>
      <c r="T167" s="7"/>
      <c r="U167" s="7"/>
      <c r="V167" s="7"/>
      <c r="W167" s="7"/>
      <c r="X167" s="7"/>
      <c r="Y167" s="7"/>
      <c r="Z167" s="7"/>
      <c r="AA167" s="7"/>
      <c r="AB167" s="39"/>
      <c r="AC167" s="39"/>
      <c r="AD167" s="39"/>
      <c r="AE167" s="39"/>
      <c r="AF167" s="39"/>
      <c r="AG167" s="39"/>
      <c r="AH167" s="39"/>
      <c r="AI167" s="39"/>
      <c r="AJ167" s="39"/>
      <c r="AK167" s="39"/>
      <c r="AL167" s="39"/>
      <c r="AM167" s="39"/>
      <c r="AN167" s="39"/>
      <c r="AO167" s="39"/>
      <c r="AP167" s="39"/>
      <c r="AQ167" s="39"/>
      <c r="AR167" s="39"/>
      <c r="AS167" s="39"/>
      <c r="AT167" s="39"/>
      <c r="AU167" s="39"/>
      <c r="AV167" s="39"/>
      <c r="AW167" s="39"/>
      <c r="AX167" s="39"/>
      <c r="AY167" s="39"/>
      <c r="AZ167" s="54"/>
      <c r="BA167" s="28">
        <v>-22.213999999999999</v>
      </c>
      <c r="BB167" s="39"/>
      <c r="BC167" s="39"/>
      <c r="BD167" s="4">
        <f t="shared" si="598"/>
        <v>0</v>
      </c>
      <c r="BE167" s="4">
        <f t="shared" si="599"/>
        <v>0</v>
      </c>
      <c r="BF167" s="4">
        <f t="shared" si="600"/>
        <v>0</v>
      </c>
      <c r="BG167" s="4">
        <f t="shared" si="601"/>
        <v>0</v>
      </c>
      <c r="BH167" s="4">
        <f t="shared" si="602"/>
        <v>0</v>
      </c>
      <c r="BI167" s="4">
        <f t="shared" si="603"/>
        <v>0</v>
      </c>
      <c r="BJ167" s="4">
        <f t="shared" si="604"/>
        <v>0</v>
      </c>
      <c r="BK167" s="4">
        <f t="shared" si="605"/>
        <v>0</v>
      </c>
      <c r="BL167" s="4">
        <f t="shared" si="595"/>
        <v>0</v>
      </c>
      <c r="BM167" s="4">
        <f t="shared" si="596"/>
        <v>0</v>
      </c>
      <c r="BN167" s="4">
        <f t="shared" si="597"/>
        <v>0</v>
      </c>
      <c r="BO167" s="24"/>
    </row>
    <row r="168" spans="1:67">
      <c r="A168" s="39"/>
      <c r="B168" t="s">
        <v>213</v>
      </c>
      <c r="D168" s="28">
        <v>-0.307</v>
      </c>
      <c r="E168" s="7"/>
      <c r="F168" s="7"/>
      <c r="G168" s="28"/>
      <c r="H168" s="7"/>
      <c r="I168" s="7"/>
      <c r="J168" s="7"/>
      <c r="K168" s="7"/>
      <c r="L168" s="7"/>
      <c r="M168" s="7"/>
      <c r="N168" s="7"/>
      <c r="O168" s="7"/>
      <c r="P168" s="7"/>
      <c r="Q168" s="7">
        <v>-3.1749999999999998</v>
      </c>
      <c r="R168" s="7">
        <v>-1.206</v>
      </c>
      <c r="S168" s="7">
        <v>-1.97</v>
      </c>
      <c r="T168" s="7">
        <v>-0.748</v>
      </c>
      <c r="U168" s="7">
        <v>-1.1830000000000001</v>
      </c>
      <c r="V168" s="7">
        <v>-1.1359999999999999</v>
      </c>
      <c r="W168" s="7">
        <v>-0.52500000000000002</v>
      </c>
      <c r="X168" s="7"/>
      <c r="Y168" s="7"/>
      <c r="Z168" s="7"/>
      <c r="AA168" s="7"/>
      <c r="AB168" s="39"/>
      <c r="AC168" s="39"/>
      <c r="AD168" s="39"/>
      <c r="AE168" s="39"/>
      <c r="AF168" s="39"/>
      <c r="AG168" s="39"/>
      <c r="AH168" s="39"/>
      <c r="AI168" s="39"/>
      <c r="AJ168" s="39"/>
      <c r="AK168" s="39"/>
      <c r="AL168" s="39"/>
      <c r="AM168" s="39"/>
      <c r="AN168" s="39"/>
      <c r="AO168" s="39"/>
      <c r="AP168" s="39"/>
      <c r="AQ168" s="39"/>
      <c r="AR168" s="39"/>
      <c r="AS168" s="39"/>
      <c r="AT168" s="39"/>
      <c r="AU168" s="39"/>
      <c r="AV168" s="39"/>
      <c r="AW168" s="39"/>
      <c r="AX168" s="39"/>
      <c r="AY168" s="39"/>
      <c r="AZ168" s="54"/>
      <c r="BA168" s="28">
        <v>-2.2570000000000001</v>
      </c>
      <c r="BB168" s="28">
        <v>-4.83</v>
      </c>
      <c r="BC168" s="28">
        <v>-0.307</v>
      </c>
      <c r="BD168" s="4">
        <f t="shared" si="598"/>
        <v>0</v>
      </c>
      <c r="BE168" s="4">
        <f t="shared" si="599"/>
        <v>0</v>
      </c>
      <c r="BF168" s="4">
        <f t="shared" si="600"/>
        <v>-6.351</v>
      </c>
      <c r="BG168" s="4">
        <f t="shared" si="601"/>
        <v>-3.5920000000000001</v>
      </c>
      <c r="BH168" s="4">
        <f t="shared" si="602"/>
        <v>0</v>
      </c>
      <c r="BI168" s="4">
        <f t="shared" si="603"/>
        <v>0</v>
      </c>
      <c r="BJ168" s="4">
        <f t="shared" si="604"/>
        <v>0</v>
      </c>
      <c r="BK168" s="4">
        <f t="shared" si="605"/>
        <v>0</v>
      </c>
      <c r="BL168" s="4">
        <f t="shared" si="595"/>
        <v>0</v>
      </c>
      <c r="BM168" s="4">
        <f t="shared" si="596"/>
        <v>0</v>
      </c>
      <c r="BN168" s="4">
        <f t="shared" si="597"/>
        <v>0</v>
      </c>
      <c r="BO168" s="24"/>
    </row>
    <row r="169" spans="1:67">
      <c r="B169" t="s">
        <v>40</v>
      </c>
      <c r="D169" s="39">
        <f t="shared" ref="D169:L169" si="606">+SUM(D161:D168)</f>
        <v>5.1600000000000055</v>
      </c>
      <c r="E169" s="10">
        <f t="shared" si="606"/>
        <v>8.011000000000001</v>
      </c>
      <c r="F169" s="10">
        <f t="shared" si="606"/>
        <v>5.3509999999999991</v>
      </c>
      <c r="G169" s="39">
        <f t="shared" si="606"/>
        <v>7.0459999999999905</v>
      </c>
      <c r="H169" s="10">
        <f t="shared" si="606"/>
        <v>8.5309999999999935</v>
      </c>
      <c r="I169" s="10">
        <f t="shared" si="606"/>
        <v>11.057000000000006</v>
      </c>
      <c r="J169" s="10">
        <f t="shared" si="606"/>
        <v>13.440000000000007</v>
      </c>
      <c r="K169" s="10">
        <f t="shared" si="606"/>
        <v>16.431999999999999</v>
      </c>
      <c r="L169" s="10">
        <f t="shared" si="606"/>
        <v>17.256000000000004</v>
      </c>
      <c r="M169" s="10">
        <f t="shared" ref="M169:R169" si="607">+SUM(M161:M168)</f>
        <v>18.368999999999993</v>
      </c>
      <c r="N169" s="10">
        <f t="shared" si="607"/>
        <v>18.102999999999998</v>
      </c>
      <c r="O169" s="10">
        <f t="shared" si="607"/>
        <v>20.416999999999998</v>
      </c>
      <c r="P169" s="10">
        <f t="shared" si="607"/>
        <v>19.444000000000006</v>
      </c>
      <c r="Q169" s="10">
        <f t="shared" si="607"/>
        <v>23.422000000000004</v>
      </c>
      <c r="R169" s="10">
        <f t="shared" si="607"/>
        <v>29.536000000000005</v>
      </c>
      <c r="S169" s="10">
        <f t="shared" ref="S169:X169" si="608">+SUM(S161:S168)</f>
        <v>31.514000000000003</v>
      </c>
      <c r="T169" s="10">
        <f t="shared" si="608"/>
        <v>33.067</v>
      </c>
      <c r="U169" s="10">
        <f t="shared" si="608"/>
        <v>34.866000000000021</v>
      </c>
      <c r="V169" s="10">
        <f t="shared" si="608"/>
        <v>37.359999999999985</v>
      </c>
      <c r="W169" s="10">
        <f t="shared" si="608"/>
        <v>35.372999999999998</v>
      </c>
      <c r="X169" s="10">
        <f t="shared" si="608"/>
        <v>35.408000000000008</v>
      </c>
      <c r="Y169" s="10">
        <f>+SUM(Y161:Y168)</f>
        <v>35.043999999999997</v>
      </c>
      <c r="Z169" s="10">
        <f>+SUM(Z161:Z168)</f>
        <v>39.744999999999983</v>
      </c>
      <c r="AA169" s="10">
        <f>+SUM(AA161:AA168)</f>
        <v>45.866999999999983</v>
      </c>
      <c r="AB169" s="10">
        <f t="shared" ref="AB169:AM169" ca="1" si="609">+SUM(AB161:AB168)</f>
        <v>40.61015894519813</v>
      </c>
      <c r="AC169" s="10">
        <f t="shared" ca="1" si="609"/>
        <v>37.506779430800385</v>
      </c>
      <c r="AD169" s="10">
        <f t="shared" ca="1" si="609"/>
        <v>36.357473210145372</v>
      </c>
      <c r="AE169" s="10">
        <f t="shared" ca="1" si="609"/>
        <v>36.379508350156094</v>
      </c>
      <c r="AF169" s="10">
        <f t="shared" ca="1" si="609"/>
        <v>39.90160789490227</v>
      </c>
      <c r="AG169" s="10">
        <f t="shared" ca="1" si="609"/>
        <v>39.257674312745088</v>
      </c>
      <c r="AH169" s="10">
        <f t="shared" ca="1" si="609"/>
        <v>40.635474353835079</v>
      </c>
      <c r="AI169" s="10">
        <f t="shared" ca="1" si="609"/>
        <v>43.705936494844885</v>
      </c>
      <c r="AJ169" s="10">
        <f t="shared" ca="1" si="609"/>
        <v>44.690450357658584</v>
      </c>
      <c r="AK169" s="10">
        <f t="shared" ca="1" si="609"/>
        <v>44.234457568230091</v>
      </c>
      <c r="AL169" s="10">
        <f t="shared" ca="1" si="609"/>
        <v>46.06854719548263</v>
      </c>
      <c r="AM169" s="10">
        <f t="shared" ca="1" si="609"/>
        <v>49.775507454249592</v>
      </c>
      <c r="AN169" s="10">
        <f t="shared" ref="AN169:AY169" ca="1" si="610">+SUM(AN161:AN168)</f>
        <v>51.255914121291369</v>
      </c>
      <c r="AO169" s="10">
        <f t="shared" ca="1" si="610"/>
        <v>50.980379196845533</v>
      </c>
      <c r="AP169" s="10">
        <f t="shared" ca="1" si="610"/>
        <v>53.073585771589677</v>
      </c>
      <c r="AQ169" s="10">
        <f t="shared" ca="1" si="610"/>
        <v>57.179003403209322</v>
      </c>
      <c r="AR169" s="10">
        <f t="shared" ca="1" si="610"/>
        <v>58.746405746657381</v>
      </c>
      <c r="AS169" s="10">
        <f t="shared" ca="1" si="610"/>
        <v>59.342344116391502</v>
      </c>
      <c r="AT169" s="10">
        <f t="shared" ca="1" si="610"/>
        <v>64.809791050782323</v>
      </c>
      <c r="AU169" s="10">
        <f t="shared" ca="1" si="610"/>
        <v>69.808444445066144</v>
      </c>
      <c r="AV169" s="10">
        <f t="shared" ca="1" si="610"/>
        <v>71.405827840989133</v>
      </c>
      <c r="AW169" s="10">
        <f t="shared" ca="1" si="610"/>
        <v>71.175866147197851</v>
      </c>
      <c r="AX169" s="10">
        <f t="shared" ca="1" si="610"/>
        <v>73.745691875029436</v>
      </c>
      <c r="AY169" s="10">
        <f t="shared" ca="1" si="610"/>
        <v>78.647053350554557</v>
      </c>
      <c r="AZ169" s="54"/>
      <c r="BA169" s="10">
        <f>+SUM(BA161:BA168)</f>
        <v>2.4560000000000008</v>
      </c>
      <c r="BB169" s="10">
        <f>+SUM(BB161:BB168)</f>
        <v>13.899999999999972</v>
      </c>
      <c r="BC169" s="10">
        <f>+SUM(BC161:BC168)</f>
        <v>25.567999999999987</v>
      </c>
      <c r="BD169" s="10">
        <f>+SUM(BD161:BD168)</f>
        <v>49.46</v>
      </c>
      <c r="BE169" s="10">
        <f>+SUM(L169:O169)</f>
        <v>74.144999999999996</v>
      </c>
      <c r="BF169" s="10">
        <f>+SUM(P169:S169)</f>
        <v>103.91600000000003</v>
      </c>
      <c r="BG169" s="10">
        <f>+SUM(T169:W169)</f>
        <v>140.666</v>
      </c>
      <c r="BH169" s="10">
        <f>+SUM(X169:AA169)</f>
        <v>156.06399999999996</v>
      </c>
      <c r="BI169" s="10">
        <f ca="1">+SUM(AB169:AE169)</f>
        <v>150.85391993629997</v>
      </c>
      <c r="BJ169" s="10">
        <f ca="1">+SUM(AF169:AI169)</f>
        <v>163.50069305632732</v>
      </c>
      <c r="BK169" s="10">
        <f ca="1">+SUM(AJ169:AM169)</f>
        <v>184.76896257562089</v>
      </c>
      <c r="BL169" s="10">
        <f t="shared" ca="1" si="595"/>
        <v>212.48888249293589</v>
      </c>
      <c r="BM169" s="10">
        <f t="shared" ca="1" si="596"/>
        <v>252.70698535889733</v>
      </c>
      <c r="BN169" s="10">
        <f t="shared" ca="1" si="597"/>
        <v>294.97443921377101</v>
      </c>
      <c r="BO169" s="39"/>
    </row>
    <row r="170" spans="1:67">
      <c r="B170" t="s">
        <v>239</v>
      </c>
      <c r="D170" s="10"/>
      <c r="E170" s="10"/>
      <c r="F170" s="10"/>
      <c r="G170" s="39"/>
      <c r="H170" s="10"/>
      <c r="I170" s="10"/>
      <c r="J170" s="10"/>
      <c r="K170" s="81">
        <f t="shared" ref="K170:AY170" si="611">+K169/K132</f>
        <v>0.44659194386943701</v>
      </c>
      <c r="L170" s="81">
        <f t="shared" si="611"/>
        <v>0.46767188296798412</v>
      </c>
      <c r="M170" s="81">
        <f t="shared" si="611"/>
        <v>0.49409516069981751</v>
      </c>
      <c r="N170" s="81">
        <f t="shared" si="611"/>
        <v>0.48576836611891888</v>
      </c>
      <c r="O170" s="81">
        <f t="shared" si="611"/>
        <v>0.54981957235956258</v>
      </c>
      <c r="P170" s="81">
        <f t="shared" si="611"/>
        <v>0.4678436866967961</v>
      </c>
      <c r="Q170" s="81">
        <f t="shared" si="611"/>
        <v>0.52036296105231428</v>
      </c>
      <c r="R170" s="81">
        <f t="shared" si="611"/>
        <v>0.60607283088727404</v>
      </c>
      <c r="S170" s="81">
        <f t="shared" si="611"/>
        <v>0.64538555878851345</v>
      </c>
      <c r="T170" s="81">
        <f t="shared" si="611"/>
        <v>0.67519705566956534</v>
      </c>
      <c r="U170" s="81">
        <f t="shared" si="611"/>
        <v>0.62737355744433032</v>
      </c>
      <c r="V170" s="81">
        <f t="shared" si="611"/>
        <v>0.67088465641358785</v>
      </c>
      <c r="W170" s="81">
        <f t="shared" si="611"/>
        <v>0.63652501572283193</v>
      </c>
      <c r="X170" s="81">
        <f t="shared" si="611"/>
        <v>0.63660256172840624</v>
      </c>
      <c r="Y170" s="81">
        <f t="shared" si="611"/>
        <v>0.63189673115334721</v>
      </c>
      <c r="Z170" s="81">
        <f t="shared" si="611"/>
        <v>0.69933141136990917</v>
      </c>
      <c r="AA170" s="81">
        <f t="shared" si="611"/>
        <v>0.79376248436253094</v>
      </c>
      <c r="AB170" s="81">
        <f t="shared" ca="1" si="611"/>
        <v>0.70185292036386582</v>
      </c>
      <c r="AC170" s="81">
        <f t="shared" ca="1" si="611"/>
        <v>0.64734174353899676</v>
      </c>
      <c r="AD170" s="81">
        <f t="shared" ca="1" si="611"/>
        <v>0.62664274763337569</v>
      </c>
      <c r="AE170" s="81">
        <f t="shared" ca="1" si="611"/>
        <v>0.62615146127667209</v>
      </c>
      <c r="AF170" s="81">
        <f t="shared" ca="1" si="611"/>
        <v>0.6858113958074179</v>
      </c>
      <c r="AG170" s="81">
        <f t="shared" ca="1" si="611"/>
        <v>0.67377314428387558</v>
      </c>
      <c r="AH170" s="81">
        <f t="shared" ca="1" si="611"/>
        <v>0.69639090692078331</v>
      </c>
      <c r="AI170" s="81">
        <f t="shared" ca="1" si="611"/>
        <v>0.7478839321863866</v>
      </c>
      <c r="AJ170" s="81">
        <f t="shared" ca="1" si="611"/>
        <v>0.76356700473936534</v>
      </c>
      <c r="AK170" s="81">
        <f t="shared" ca="1" si="611"/>
        <v>0.7545977104600976</v>
      </c>
      <c r="AL170" s="81">
        <f t="shared" ca="1" si="611"/>
        <v>0.78463012258589682</v>
      </c>
      <c r="AM170" s="81">
        <f t="shared" ca="1" si="611"/>
        <v>0.84638611579093892</v>
      </c>
      <c r="AN170" s="81">
        <f t="shared" ca="1" si="611"/>
        <v>0.87012430064225066</v>
      </c>
      <c r="AO170" s="81">
        <f t="shared" ca="1" si="611"/>
        <v>0.86398750979214245</v>
      </c>
      <c r="AP170" s="81">
        <f t="shared" ca="1" si="611"/>
        <v>0.89790858305701216</v>
      </c>
      <c r="AQ170" s="81">
        <f t="shared" ca="1" si="611"/>
        <v>0.96566260106911761</v>
      </c>
      <c r="AR170" s="81">
        <f t="shared" ca="1" si="611"/>
        <v>0.99036892274331467</v>
      </c>
      <c r="AS170" s="81">
        <f t="shared" ca="1" si="611"/>
        <v>0.99859375578391485</v>
      </c>
      <c r="AT170" s="81">
        <f t="shared" ca="1" si="611"/>
        <v>0.89101039462704701</v>
      </c>
      <c r="AU170" s="81">
        <f t="shared" ca="1" si="611"/>
        <v>0.87048431680186666</v>
      </c>
      <c r="AV170" s="81">
        <f t="shared" ca="1" si="611"/>
        <v>0.88913235695222548</v>
      </c>
      <c r="AW170" s="81">
        <f t="shared" ca="1" si="611"/>
        <v>0.88497416273689056</v>
      </c>
      <c r="AX170" s="81">
        <f t="shared" ca="1" si="611"/>
        <v>0.91555529087725063</v>
      </c>
      <c r="AY170" s="81">
        <f t="shared" ca="1" si="611"/>
        <v>0.9749193622169261</v>
      </c>
      <c r="AZ170" s="54"/>
      <c r="BA170" s="10"/>
      <c r="BB170" s="10"/>
      <c r="BC170" s="10"/>
      <c r="BD170" s="81">
        <f>+BD169/BD132</f>
        <v>1.3442330540276508</v>
      </c>
      <c r="BE170" s="81">
        <f>+SUM(L170:O170)</f>
        <v>1.997354982146283</v>
      </c>
      <c r="BF170" s="81">
        <f>+SUM(P170:S170)</f>
        <v>2.2396650374248979</v>
      </c>
      <c r="BG170" s="81">
        <f>+SUM(T170:W170)</f>
        <v>2.6099802852503151</v>
      </c>
      <c r="BH170" s="81">
        <f>+SUM(X170:AA170)</f>
        <v>2.7615931886141936</v>
      </c>
      <c r="BI170" s="81">
        <f ca="1">+SUM(AB170:AE170)</f>
        <v>2.6019888728129104</v>
      </c>
      <c r="BJ170" s="81">
        <f ca="1">+SUM(AF170:AI170)</f>
        <v>2.8038593791984634</v>
      </c>
      <c r="BK170" s="81">
        <f ca="1">+SUM(AJ170:AM170)</f>
        <v>3.1491809535762987</v>
      </c>
      <c r="BL170" s="81">
        <f t="shared" ca="1" si="595"/>
        <v>3.5976829945605231</v>
      </c>
      <c r="BM170" s="81">
        <f t="shared" ca="1" si="596"/>
        <v>3.7504573899561433</v>
      </c>
      <c r="BN170" s="81">
        <f t="shared" ca="1" si="597"/>
        <v>3.6645811727832927</v>
      </c>
      <c r="BO170" s="308"/>
    </row>
    <row r="171" spans="1:67">
      <c r="D171" s="10"/>
      <c r="E171" s="10"/>
      <c r="F171" s="10"/>
      <c r="G171" s="39"/>
      <c r="H171" s="10"/>
      <c r="I171" s="10"/>
      <c r="J171" s="10"/>
      <c r="K171" s="10"/>
      <c r="L171" s="10"/>
      <c r="M171" s="10"/>
      <c r="N171" s="10"/>
      <c r="O171" s="10"/>
      <c r="P171" s="10"/>
      <c r="Q171" s="10"/>
      <c r="R171" s="10"/>
      <c r="S171" s="10"/>
      <c r="T171" s="10"/>
      <c r="U171" s="10"/>
      <c r="V171" s="10"/>
      <c r="W171" s="10"/>
      <c r="X171" s="10"/>
      <c r="Y171" s="10"/>
      <c r="Z171" s="10"/>
      <c r="AA171" s="10"/>
      <c r="AB171" s="7"/>
      <c r="AC171" s="7"/>
      <c r="AD171" s="7"/>
      <c r="AE171" s="7"/>
      <c r="AF171" s="7"/>
      <c r="AG171" s="7"/>
      <c r="AH171" s="7"/>
      <c r="AI171" s="7"/>
      <c r="AJ171" s="7"/>
      <c r="AK171" s="7"/>
      <c r="AL171" s="7"/>
      <c r="AM171" s="7"/>
      <c r="AN171" s="7"/>
      <c r="AO171" s="7"/>
      <c r="AP171" s="7"/>
      <c r="AQ171" s="7"/>
      <c r="AR171" s="7"/>
      <c r="AS171" s="7"/>
      <c r="AT171" s="7"/>
      <c r="AU171" s="7"/>
      <c r="AV171" s="7"/>
      <c r="AW171" s="7"/>
      <c r="AX171" s="7"/>
      <c r="AY171" s="7"/>
      <c r="AZ171" s="54"/>
      <c r="BA171" s="7"/>
      <c r="BB171" s="7"/>
      <c r="BC171" s="7"/>
      <c r="BD171" s="7"/>
      <c r="BE171" s="7"/>
      <c r="BF171" s="7"/>
      <c r="BG171" s="7"/>
      <c r="BH171" s="7"/>
      <c r="BI171" s="7"/>
      <c r="BJ171" s="7"/>
      <c r="BK171" s="7"/>
      <c r="BL171" s="7"/>
      <c r="BM171" s="7"/>
      <c r="BN171" s="7"/>
      <c r="BO171" s="28"/>
    </row>
    <row r="172" spans="1:67">
      <c r="B172" s="9" t="s">
        <v>42</v>
      </c>
      <c r="D172" s="10"/>
      <c r="E172" s="10"/>
      <c r="F172" s="10"/>
      <c r="G172" s="39"/>
      <c r="H172" s="10"/>
      <c r="I172" s="10"/>
      <c r="J172" s="10"/>
      <c r="K172" s="10"/>
      <c r="L172" s="10"/>
      <c r="M172" s="10"/>
      <c r="N172" s="10"/>
      <c r="O172" s="10"/>
      <c r="P172" s="10"/>
      <c r="Q172" s="10"/>
      <c r="R172" s="10"/>
      <c r="S172" s="10"/>
      <c r="T172" s="10"/>
      <c r="U172" s="10"/>
      <c r="V172" s="10"/>
      <c r="W172" s="10"/>
      <c r="X172" s="10"/>
      <c r="Y172" s="10"/>
      <c r="Z172" s="10"/>
      <c r="AA172" s="10"/>
      <c r="AB172" s="7"/>
      <c r="AC172" s="7"/>
      <c r="AD172" s="7"/>
      <c r="AE172" s="7"/>
      <c r="AF172" s="7"/>
      <c r="AG172" s="7"/>
      <c r="AH172" s="7"/>
      <c r="AI172" s="7"/>
      <c r="AJ172" s="7"/>
      <c r="AK172" s="7"/>
      <c r="AL172" s="7"/>
      <c r="AM172" s="7"/>
      <c r="AN172" s="7"/>
      <c r="AO172" s="7"/>
      <c r="AP172" s="7"/>
      <c r="AQ172" s="7"/>
      <c r="AR172" s="7"/>
      <c r="AS172" s="7"/>
      <c r="AT172" s="7"/>
      <c r="AU172" s="7"/>
      <c r="AV172" s="7"/>
      <c r="AW172" s="7"/>
      <c r="AX172" s="7"/>
      <c r="AY172" s="7"/>
      <c r="AZ172" s="54"/>
      <c r="BA172" s="7"/>
      <c r="BB172" s="7"/>
      <c r="BC172" s="7"/>
      <c r="BD172" s="7"/>
      <c r="BE172" s="7"/>
      <c r="BF172" s="81"/>
      <c r="BG172" s="7"/>
      <c r="BH172" s="7"/>
      <c r="BI172" s="7"/>
      <c r="BJ172" s="7"/>
      <c r="BK172" s="7"/>
      <c r="BL172" s="7"/>
      <c r="BM172" s="7"/>
      <c r="BN172" s="7"/>
      <c r="BO172" s="28"/>
    </row>
    <row r="173" spans="1:67">
      <c r="B173" t="s">
        <v>41</v>
      </c>
      <c r="D173" s="34"/>
      <c r="E173" s="34"/>
      <c r="F173" s="7">
        <v>-0.37</v>
      </c>
      <c r="G173" s="34"/>
      <c r="H173" s="7">
        <v>-0.75900000000000001</v>
      </c>
      <c r="I173" s="7">
        <v>-0.98899999999999999</v>
      </c>
      <c r="J173" s="7">
        <v>-0.49199999999999999</v>
      </c>
      <c r="K173" s="7">
        <v>-0.29799999999999999</v>
      </c>
      <c r="L173" s="7">
        <v>-7.2999999999999995E-2</v>
      </c>
      <c r="M173" s="7">
        <v>-2.1999999999999999E-2</v>
      </c>
      <c r="N173" s="7">
        <v>-1.877</v>
      </c>
      <c r="O173" s="7">
        <v>-0.71199999999999997</v>
      </c>
      <c r="P173" s="7">
        <v>-1.7000000000000001E-2</v>
      </c>
      <c r="Q173" s="7">
        <v>-0.60899999999999999</v>
      </c>
      <c r="R173" s="7">
        <v>-1.4079999999999999</v>
      </c>
      <c r="S173" s="7">
        <v>-2.7109999999999999</v>
      </c>
      <c r="T173" s="7">
        <v>-0.33500000000000002</v>
      </c>
      <c r="U173" s="7">
        <v>-0.38</v>
      </c>
      <c r="V173" s="7">
        <v>-1.7310000000000001</v>
      </c>
      <c r="W173" s="7">
        <v>-2.613</v>
      </c>
      <c r="X173" s="7">
        <v>-0.79600000000000004</v>
      </c>
      <c r="Y173" s="7">
        <v>-1.1719999999999999</v>
      </c>
      <c r="Z173" s="7">
        <v>-2.1930000000000001</v>
      </c>
      <c r="AA173" s="7">
        <v>-0.84799999999999998</v>
      </c>
      <c r="AB173" s="10">
        <f ca="1">-AB327</f>
        <v>-2.0206164794052235</v>
      </c>
      <c r="AC173" s="10">
        <f t="shared" ref="AC173:AM173" ca="1" si="612">-AC327</f>
        <v>-2.0539948101984185</v>
      </c>
      <c r="AD173" s="10">
        <f t="shared" ca="1" si="612"/>
        <v>-2.0915599756587251</v>
      </c>
      <c r="AE173" s="10">
        <f t="shared" ca="1" si="612"/>
        <v>-2.1163217591085264</v>
      </c>
      <c r="AF173" s="10">
        <f t="shared" ca="1" si="612"/>
        <v>-2.1351435048181524</v>
      </c>
      <c r="AG173" s="10">
        <f t="shared" ca="1" si="612"/>
        <v>-2.1975827602400755</v>
      </c>
      <c r="AH173" s="10">
        <f t="shared" ca="1" si="612"/>
        <v>-2.2578150787707583</v>
      </c>
      <c r="AI173" s="10">
        <f t="shared" ca="1" si="612"/>
        <v>-2.3056579607546759</v>
      </c>
      <c r="AJ173" s="10">
        <f t="shared" ca="1" si="612"/>
        <v>-2.3351561108838887</v>
      </c>
      <c r="AK173" s="10">
        <f t="shared" ca="1" si="612"/>
        <v>-2.3963829537878976</v>
      </c>
      <c r="AL173" s="10">
        <f t="shared" ca="1" si="612"/>
        <v>-2.4592210974404027</v>
      </c>
      <c r="AM173" s="10">
        <f t="shared" ca="1" si="612"/>
        <v>-2.5104104524213815</v>
      </c>
      <c r="AN173" s="10">
        <f t="shared" ref="AN173:AY173" ca="1" si="613">-AN327</f>
        <v>-2.5425772578149761</v>
      </c>
      <c r="AO173" s="10">
        <f t="shared" ca="1" si="613"/>
        <v>-2.6087251640721418</v>
      </c>
      <c r="AP173" s="10">
        <f t="shared" ca="1" si="613"/>
        <v>-2.676645415162461</v>
      </c>
      <c r="AQ173" s="10">
        <f t="shared" ca="1" si="613"/>
        <v>-2.7318657920389806</v>
      </c>
      <c r="AR173" s="10">
        <f t="shared" ca="1" si="613"/>
        <v>-2.7662799432803413</v>
      </c>
      <c r="AS173" s="10">
        <f t="shared" ca="1" si="613"/>
        <v>-2.8373225739408441</v>
      </c>
      <c r="AT173" s="10">
        <f t="shared" ca="1" si="613"/>
        <v>-2.9101326360522477</v>
      </c>
      <c r="AU173" s="10">
        <f t="shared" ca="1" si="613"/>
        <v>-2.968992088601047</v>
      </c>
      <c r="AV173" s="10">
        <f t="shared" ca="1" si="613"/>
        <v>-3.0051072133747461</v>
      </c>
      <c r="AW173" s="10">
        <f t="shared" ca="1" si="613"/>
        <v>-3.0807425910199595</v>
      </c>
      <c r="AX173" s="10">
        <f t="shared" ca="1" si="613"/>
        <v>-3.1581066620683629</v>
      </c>
      <c r="AY173" s="10">
        <f t="shared" ca="1" si="613"/>
        <v>-3.2201780439675547</v>
      </c>
      <c r="AZ173" s="54"/>
      <c r="BA173" s="34"/>
      <c r="BB173" s="7">
        <v>-0.997</v>
      </c>
      <c r="BC173" s="7">
        <v>-1.7250000000000001</v>
      </c>
      <c r="BD173" s="4">
        <f t="shared" ref="BD173:BD180" si="614">+SUM(H173:K173)</f>
        <v>-2.5380000000000003</v>
      </c>
      <c r="BE173" s="4">
        <f>+SUM(L173:O173)</f>
        <v>-2.6840000000000002</v>
      </c>
      <c r="BF173" s="4">
        <f>+SUM(P173:S173)</f>
        <v>-4.7449999999999992</v>
      </c>
      <c r="BG173" s="4">
        <f t="shared" ref="BG173:BG182" si="615">+SUM(T173:W173)</f>
        <v>-5.0590000000000002</v>
      </c>
      <c r="BH173" s="4">
        <f t="shared" ref="BH173:BH182" si="616">+SUM(X173:AA173)</f>
        <v>-5.0089999999999995</v>
      </c>
      <c r="BI173" s="4">
        <f t="shared" ref="BI173:BI182" ca="1" si="617">+SUM(AB173:AE173)</f>
        <v>-8.2824930243708934</v>
      </c>
      <c r="BJ173" s="4">
        <f t="shared" ref="BJ173:BJ182" ca="1" si="618">+SUM(AF173:AI173)</f>
        <v>-8.8961993045836625</v>
      </c>
      <c r="BK173" s="4">
        <f t="shared" ref="BK173:BK182" ca="1" si="619">+SUM(AJ173:AM173)</f>
        <v>-9.7011706145335701</v>
      </c>
      <c r="BL173" s="4">
        <f t="shared" ref="BL173:BL182" ca="1" si="620">+SUM(AN173:AQ173)</f>
        <v>-10.559813629088561</v>
      </c>
      <c r="BM173" s="4">
        <f t="shared" ref="BM173:BM182" ca="1" si="621">+SUM(AR173:AU173)</f>
        <v>-11.48272724187448</v>
      </c>
      <c r="BN173" s="4">
        <f t="shared" ref="BN173:BN182" ca="1" si="622">+SUM(AV173:AY173)</f>
        <v>-12.464134510430622</v>
      </c>
      <c r="BO173" s="24"/>
    </row>
    <row r="174" spans="1:67">
      <c r="A174" s="39"/>
      <c r="B174" t="s">
        <v>43</v>
      </c>
      <c r="D174" s="34"/>
      <c r="E174" s="34"/>
      <c r="F174" s="28">
        <v>-1.5409999999999999</v>
      </c>
      <c r="G174" s="34"/>
      <c r="H174" s="28">
        <v>-1.97</v>
      </c>
      <c r="I174" s="28">
        <v>-2.544</v>
      </c>
      <c r="J174" s="28">
        <v>-2.3740000000000001</v>
      </c>
      <c r="K174" s="28">
        <v>-2.407</v>
      </c>
      <c r="L174" s="28">
        <v>-2.2490000000000001</v>
      </c>
      <c r="M174" s="28">
        <v>-2.839</v>
      </c>
      <c r="N174" s="28">
        <v>-5.516</v>
      </c>
      <c r="O174" s="28">
        <v>-3.6150000000000002</v>
      </c>
      <c r="P174" s="28">
        <v>-3.0840000000000001</v>
      </c>
      <c r="Q174" s="28">
        <v>-3.782</v>
      </c>
      <c r="R174" s="28">
        <v>-3.0049999999999999</v>
      </c>
      <c r="S174" s="28">
        <v>-3.2370000000000001</v>
      </c>
      <c r="T174" s="28">
        <v>-5.8070000000000004</v>
      </c>
      <c r="U174" s="28">
        <v>-3.3879999999999999</v>
      </c>
      <c r="V174" s="28">
        <v>-4.4020000000000001</v>
      </c>
      <c r="W174" s="28">
        <v>-5.1539999999999999</v>
      </c>
      <c r="X174" s="28">
        <v>-4.1689999999999996</v>
      </c>
      <c r="Y174" s="28">
        <v>-4.0549999999999997</v>
      </c>
      <c r="Z174" s="28">
        <v>-5.5919999999999996</v>
      </c>
      <c r="AA174" s="28">
        <v>-6.2990000000000004</v>
      </c>
      <c r="AB174" s="10">
        <f t="shared" ref="AB174:AY174" ca="1" si="623">-AB192*AB102</f>
        <v>-5.6894069359426727</v>
      </c>
      <c r="AC174" s="10">
        <f t="shared" ca="1" si="623"/>
        <v>-5.778058466664902</v>
      </c>
      <c r="AD174" s="10">
        <f t="shared" ca="1" si="623"/>
        <v>-5.7466222683052717</v>
      </c>
      <c r="AE174" s="10">
        <f t="shared" ca="1" si="623"/>
        <v>-5.859219201308651</v>
      </c>
      <c r="AF174" s="10">
        <f t="shared" ca="1" si="623"/>
        <v>-6.2531907386295762</v>
      </c>
      <c r="AG174" s="10">
        <f t="shared" ca="1" si="623"/>
        <v>-6.2900101380339937</v>
      </c>
      <c r="AH174" s="10">
        <f t="shared" ca="1" si="623"/>
        <v>-6.3096576251493142</v>
      </c>
      <c r="AI174" s="10">
        <f t="shared" ca="1" si="623"/>
        <v>-6.4870651338548857</v>
      </c>
      <c r="AJ174" s="10">
        <f t="shared" ca="1" si="623"/>
        <v>-6.9194180518568578</v>
      </c>
      <c r="AK174" s="10">
        <f t="shared" ca="1" si="623"/>
        <v>-6.9415842408469297</v>
      </c>
      <c r="AL174" s="10">
        <f t="shared" ca="1" si="623"/>
        <v>-6.9572290534689678</v>
      </c>
      <c r="AM174" s="10">
        <f t="shared" ca="1" si="623"/>
        <v>-7.1496334686529543</v>
      </c>
      <c r="AN174" s="10">
        <f t="shared" ca="1" si="623"/>
        <v>-7.6216348868329202</v>
      </c>
      <c r="AO174" s="10">
        <f t="shared" ca="1" si="623"/>
        <v>-7.6465500739221595</v>
      </c>
      <c r="AP174" s="10">
        <f t="shared" ca="1" si="623"/>
        <v>-7.6645463909064464</v>
      </c>
      <c r="AQ174" s="10">
        <f t="shared" ca="1" si="623"/>
        <v>-7.8744551188064298</v>
      </c>
      <c r="AR174" s="10">
        <f t="shared" ca="1" si="623"/>
        <v>-8.3875103691852519</v>
      </c>
      <c r="AS174" s="10">
        <f t="shared" ca="1" si="623"/>
        <v>-8.4143534906666098</v>
      </c>
      <c r="AT174" s="10">
        <f t="shared" ca="1" si="623"/>
        <v>-8.433394484372549</v>
      </c>
      <c r="AU174" s="10">
        <f t="shared" ca="1" si="623"/>
        <v>-8.6602465027069222</v>
      </c>
      <c r="AV174" s="10">
        <f t="shared" ca="1" si="623"/>
        <v>-9.2151794869097685</v>
      </c>
      <c r="AW174" s="10">
        <f t="shared" ca="1" si="623"/>
        <v>-9.2423767165693409</v>
      </c>
      <c r="AX174" s="10">
        <f t="shared" ca="1" si="623"/>
        <v>-9.2608117909343459</v>
      </c>
      <c r="AY174" s="10">
        <f t="shared" ca="1" si="623"/>
        <v>-9.5038718028319096</v>
      </c>
      <c r="AZ174" s="54"/>
      <c r="BA174" s="34"/>
      <c r="BB174" s="7">
        <v>-4.9390000000000001</v>
      </c>
      <c r="BC174" s="7">
        <v>-6.8559999999999999</v>
      </c>
      <c r="BD174" s="4">
        <f t="shared" si="614"/>
        <v>-9.2949999999999999</v>
      </c>
      <c r="BE174" s="4">
        <f t="shared" ref="BE174:BE180" si="624">+SUM(L174:O174)</f>
        <v>-14.218999999999999</v>
      </c>
      <c r="BF174" s="4">
        <f t="shared" ref="BF174:BF182" si="625">+SUM(P174:S174)</f>
        <v>-13.107999999999999</v>
      </c>
      <c r="BG174" s="4">
        <f t="shared" si="615"/>
        <v>-18.751000000000001</v>
      </c>
      <c r="BH174" s="4">
        <f t="shared" si="616"/>
        <v>-20.114999999999998</v>
      </c>
      <c r="BI174" s="4">
        <f t="shared" ca="1" si="617"/>
        <v>-23.073306872221497</v>
      </c>
      <c r="BJ174" s="4">
        <f t="shared" ca="1" si="618"/>
        <v>-25.339923635667766</v>
      </c>
      <c r="BK174" s="4">
        <f t="shared" ca="1" si="619"/>
        <v>-27.96786481482571</v>
      </c>
      <c r="BL174" s="4">
        <f t="shared" ca="1" si="620"/>
        <v>-30.807186470467954</v>
      </c>
      <c r="BM174" s="4">
        <f t="shared" ca="1" si="621"/>
        <v>-33.895504846931331</v>
      </c>
      <c r="BN174" s="4">
        <f t="shared" ca="1" si="622"/>
        <v>-37.222239797245365</v>
      </c>
      <c r="BO174" s="24"/>
    </row>
    <row r="175" spans="1:67">
      <c r="A175" s="39"/>
      <c r="B175" t="s">
        <v>44</v>
      </c>
      <c r="D175" s="34"/>
      <c r="E175" s="34"/>
      <c r="F175" s="7">
        <v>0.82799999999999996</v>
      </c>
      <c r="G175" s="34"/>
      <c r="H175" s="7">
        <v>0.91200000000000003</v>
      </c>
      <c r="I175" s="7">
        <v>0.69299999999999995</v>
      </c>
      <c r="J175" s="7">
        <v>0.58799999999999997</v>
      </c>
      <c r="K175" s="7">
        <v>0.58199999999999996</v>
      </c>
      <c r="L175" s="7">
        <v>0.58199999999999996</v>
      </c>
      <c r="M175" s="7">
        <v>0.621</v>
      </c>
      <c r="N175" s="7">
        <v>0.52200000000000002</v>
      </c>
      <c r="O175" s="7">
        <v>0.84199999999999997</v>
      </c>
      <c r="P175" s="7">
        <v>0.84899999999999998</v>
      </c>
      <c r="Q175" s="7">
        <v>0.85399999999999998</v>
      </c>
      <c r="R175" s="7">
        <v>0.84899999999999998</v>
      </c>
      <c r="S175" s="7">
        <v>0.872</v>
      </c>
      <c r="T175" s="7">
        <v>0.877</v>
      </c>
      <c r="U175" s="7">
        <v>0.877</v>
      </c>
      <c r="V175" s="7">
        <v>0.879</v>
      </c>
      <c r="W175" s="7">
        <v>0.91200000000000003</v>
      </c>
      <c r="X175" s="7">
        <v>0.98</v>
      </c>
      <c r="Y175" s="7">
        <v>0.97099999999999997</v>
      </c>
      <c r="Z175" s="7">
        <v>0.99199999999999999</v>
      </c>
      <c r="AA175" s="7">
        <v>0.92500000000000004</v>
      </c>
      <c r="AB175" s="10">
        <f t="shared" ref="AB175:AM175" si="626">+AA175</f>
        <v>0.92500000000000004</v>
      </c>
      <c r="AC175" s="10">
        <f t="shared" si="626"/>
        <v>0.92500000000000004</v>
      </c>
      <c r="AD175" s="10">
        <f t="shared" si="626"/>
        <v>0.92500000000000004</v>
      </c>
      <c r="AE175" s="10">
        <f t="shared" si="626"/>
        <v>0.92500000000000004</v>
      </c>
      <c r="AF175" s="10">
        <f t="shared" si="626"/>
        <v>0.92500000000000004</v>
      </c>
      <c r="AG175" s="10">
        <f t="shared" si="626"/>
        <v>0.92500000000000004</v>
      </c>
      <c r="AH175" s="10">
        <f t="shared" si="626"/>
        <v>0.92500000000000004</v>
      </c>
      <c r="AI175" s="10">
        <f t="shared" si="626"/>
        <v>0.92500000000000004</v>
      </c>
      <c r="AJ175" s="10">
        <f t="shared" si="626"/>
        <v>0.92500000000000004</v>
      </c>
      <c r="AK175" s="10">
        <f t="shared" si="626"/>
        <v>0.92500000000000004</v>
      </c>
      <c r="AL175" s="10">
        <f t="shared" si="626"/>
        <v>0.92500000000000004</v>
      </c>
      <c r="AM175" s="10">
        <f t="shared" si="626"/>
        <v>0.92500000000000004</v>
      </c>
      <c r="AN175" s="10">
        <f t="shared" ref="AN175" si="627">+AM175</f>
        <v>0.92500000000000004</v>
      </c>
      <c r="AO175" s="10">
        <f t="shared" ref="AO175" si="628">+AN175</f>
        <v>0.92500000000000004</v>
      </c>
      <c r="AP175" s="10">
        <f t="shared" ref="AP175" si="629">+AO175</f>
        <v>0.92500000000000004</v>
      </c>
      <c r="AQ175" s="10">
        <f t="shared" ref="AQ175" si="630">+AP175</f>
        <v>0.92500000000000004</v>
      </c>
      <c r="AR175" s="10">
        <f t="shared" ref="AR175" si="631">+AQ175</f>
        <v>0.92500000000000004</v>
      </c>
      <c r="AS175" s="10">
        <f t="shared" ref="AS175" si="632">+AR175</f>
        <v>0.92500000000000004</v>
      </c>
      <c r="AT175" s="10">
        <f t="shared" ref="AT175" si="633">+AS175</f>
        <v>0.92500000000000004</v>
      </c>
      <c r="AU175" s="10">
        <f t="shared" ref="AU175" si="634">+AT175</f>
        <v>0.92500000000000004</v>
      </c>
      <c r="AV175" s="10">
        <f t="shared" ref="AV175" si="635">+AU175</f>
        <v>0.92500000000000004</v>
      </c>
      <c r="AW175" s="10">
        <f t="shared" ref="AW175" si="636">+AV175</f>
        <v>0.92500000000000004</v>
      </c>
      <c r="AX175" s="10">
        <f t="shared" ref="AX175" si="637">+AW175</f>
        <v>0.92500000000000004</v>
      </c>
      <c r="AY175" s="10">
        <f t="shared" ref="AY175" si="638">+AX175</f>
        <v>0.92500000000000004</v>
      </c>
      <c r="AZ175" s="54"/>
      <c r="BA175" s="34"/>
      <c r="BB175" s="7">
        <v>3.46</v>
      </c>
      <c r="BC175" s="7">
        <v>3.37</v>
      </c>
      <c r="BD175" s="4">
        <f t="shared" si="614"/>
        <v>2.7749999999999999</v>
      </c>
      <c r="BE175" s="4">
        <f t="shared" si="624"/>
        <v>2.5669999999999997</v>
      </c>
      <c r="BF175" s="4">
        <f t="shared" si="625"/>
        <v>3.4239999999999995</v>
      </c>
      <c r="BG175" s="4">
        <f t="shared" si="615"/>
        <v>3.5449999999999999</v>
      </c>
      <c r="BH175" s="4">
        <f t="shared" si="616"/>
        <v>3.8680000000000003</v>
      </c>
      <c r="BI175" s="4">
        <f t="shared" si="617"/>
        <v>3.7</v>
      </c>
      <c r="BJ175" s="4">
        <f t="shared" si="618"/>
        <v>3.7</v>
      </c>
      <c r="BK175" s="4">
        <f t="shared" si="619"/>
        <v>3.7</v>
      </c>
      <c r="BL175" s="4">
        <f t="shared" si="620"/>
        <v>3.7</v>
      </c>
      <c r="BM175" s="4">
        <f t="shared" si="621"/>
        <v>3.7</v>
      </c>
      <c r="BN175" s="4">
        <f t="shared" si="622"/>
        <v>3.7</v>
      </c>
      <c r="BO175" s="24"/>
    </row>
    <row r="176" spans="1:67">
      <c r="A176" s="39"/>
      <c r="B176" t="s">
        <v>45</v>
      </c>
      <c r="D176" s="34"/>
      <c r="E176" s="34"/>
      <c r="F176" s="7">
        <v>1.042</v>
      </c>
      <c r="G176" s="34"/>
      <c r="H176" s="7">
        <v>1.3080000000000001</v>
      </c>
      <c r="I176" s="7">
        <v>1.1359999999999999</v>
      </c>
      <c r="J176" s="7">
        <v>1.4059999999999999</v>
      </c>
      <c r="K176" s="7">
        <v>1.395</v>
      </c>
      <c r="L176" s="7">
        <v>1.3819999999999999</v>
      </c>
      <c r="M176" s="7">
        <v>1.6160000000000001</v>
      </c>
      <c r="N176" s="7">
        <v>1.6120000000000001</v>
      </c>
      <c r="O176" s="7">
        <v>1.8169999999999999</v>
      </c>
      <c r="P176" s="7">
        <v>1.9410000000000001</v>
      </c>
      <c r="Q176" s="7">
        <v>1.6819999999999999</v>
      </c>
      <c r="R176" s="7">
        <v>3.4630000000000001</v>
      </c>
      <c r="S176" s="7">
        <v>4.4450000000000003</v>
      </c>
      <c r="T176" s="7">
        <v>3.77</v>
      </c>
      <c r="U176" s="7">
        <v>3.9460000000000002</v>
      </c>
      <c r="V176" s="7">
        <v>4.2069999999999999</v>
      </c>
      <c r="W176" s="7">
        <v>4.3899999999999997</v>
      </c>
      <c r="X176" s="7">
        <v>4.4429999999999996</v>
      </c>
      <c r="Y176" s="7">
        <v>4.2539999999999996</v>
      </c>
      <c r="Z176" s="7">
        <v>4.0709999999999997</v>
      </c>
      <c r="AA176" s="7">
        <v>4.601</v>
      </c>
      <c r="AB176" s="10">
        <f ca="1">+AB116-AB159</f>
        <v>7.9987398662393545</v>
      </c>
      <c r="AC176" s="10">
        <f t="shared" ref="AC176:AY176" ca="1" si="639">+AC116-AC159</f>
        <v>9.7595524469054702</v>
      </c>
      <c r="AD176" s="10">
        <f t="shared" ca="1" si="639"/>
        <v>11.619205630222943</v>
      </c>
      <c r="AE176" s="10">
        <f t="shared" ca="1" si="639"/>
        <v>13.52840534623008</v>
      </c>
      <c r="AF176" s="10">
        <f t="shared" ca="1" si="639"/>
        <v>9.0795159285467477</v>
      </c>
      <c r="AG176" s="10">
        <f t="shared" ca="1" si="639"/>
        <v>9.3283200235291019</v>
      </c>
      <c r="AH176" s="10">
        <f t="shared" ca="1" si="639"/>
        <v>9.5822705878750654</v>
      </c>
      <c r="AI176" s="10">
        <f t="shared" ca="1" si="639"/>
        <v>9.7906888699218726</v>
      </c>
      <c r="AJ176" s="10">
        <f t="shared" ca="1" si="639"/>
        <v>9.9262512809309911</v>
      </c>
      <c r="AK176" s="10">
        <f t="shared" ca="1" si="639"/>
        <v>9.9941560091914212</v>
      </c>
      <c r="AL176" s="10">
        <f t="shared" ca="1" si="639"/>
        <v>9.9883509782153652</v>
      </c>
      <c r="AM176" s="10">
        <f t="shared" ca="1" si="639"/>
        <v>9.982148705560391</v>
      </c>
      <c r="AN176" s="10">
        <f t="shared" ca="1" si="639"/>
        <v>9.9683725662421168</v>
      </c>
      <c r="AO176" s="10">
        <f t="shared" ca="1" si="639"/>
        <v>9.9604440179418745</v>
      </c>
      <c r="AP176" s="10">
        <f t="shared" ca="1" si="639"/>
        <v>9.9589687922772043</v>
      </c>
      <c r="AQ176" s="10">
        <f t="shared" ca="1" si="639"/>
        <v>9.9594561564287432</v>
      </c>
      <c r="AR176" s="10">
        <f t="shared" ca="1" si="639"/>
        <v>9.9545136104111052</v>
      </c>
      <c r="AS176" s="10">
        <f t="shared" ca="1" si="639"/>
        <v>9.9587987729308267</v>
      </c>
      <c r="AT176" s="10">
        <f t="shared" ca="1" si="639"/>
        <v>9.972986686241569</v>
      </c>
      <c r="AU176" s="10">
        <f t="shared" ca="1" si="639"/>
        <v>9.9921690226400273</v>
      </c>
      <c r="AV176" s="10">
        <f t="shared" ca="1" si="639"/>
        <v>10.008268951681103</v>
      </c>
      <c r="AW176" s="10">
        <f t="shared" ca="1" si="639"/>
        <v>10.037103582800867</v>
      </c>
      <c r="AX176" s="10">
        <f t="shared" ca="1" si="639"/>
        <v>10.079325722621114</v>
      </c>
      <c r="AY176" s="10">
        <f t="shared" ca="1" si="639"/>
        <v>10.129537782721037</v>
      </c>
      <c r="AZ176" s="54"/>
      <c r="BA176" s="34"/>
      <c r="BB176" s="7">
        <v>2.2090000000000001</v>
      </c>
      <c r="BC176" s="7">
        <v>3.8410000000000002</v>
      </c>
      <c r="BD176" s="4">
        <f t="shared" si="614"/>
        <v>5.2449999999999992</v>
      </c>
      <c r="BE176" s="4">
        <f t="shared" si="624"/>
        <v>6.4270000000000005</v>
      </c>
      <c r="BF176" s="4">
        <f t="shared" si="625"/>
        <v>11.531000000000001</v>
      </c>
      <c r="BG176" s="4">
        <f t="shared" si="615"/>
        <v>16.312999999999999</v>
      </c>
      <c r="BH176" s="4">
        <f t="shared" si="616"/>
        <v>17.369</v>
      </c>
      <c r="BI176" s="4">
        <f t="shared" ca="1" si="617"/>
        <v>42.905903289597845</v>
      </c>
      <c r="BJ176" s="4">
        <f t="shared" ca="1" si="618"/>
        <v>37.780795409872788</v>
      </c>
      <c r="BK176" s="4">
        <f t="shared" ca="1" si="619"/>
        <v>39.890906973898169</v>
      </c>
      <c r="BL176" s="4">
        <f t="shared" ca="1" si="620"/>
        <v>39.847241532889939</v>
      </c>
      <c r="BM176" s="4">
        <f t="shared" ca="1" si="621"/>
        <v>39.878468092223528</v>
      </c>
      <c r="BN176" s="4">
        <f t="shared" ca="1" si="622"/>
        <v>40.254236039824121</v>
      </c>
      <c r="BO176" s="24"/>
    </row>
    <row r="177" spans="1:75">
      <c r="A177" s="39"/>
      <c r="B177" t="s">
        <v>46</v>
      </c>
      <c r="D177" s="34"/>
      <c r="E177" s="34"/>
      <c r="F177" s="7">
        <v>-5.2999999999999999E-2</v>
      </c>
      <c r="G177" s="34"/>
      <c r="H177" s="7">
        <v>-0.114</v>
      </c>
      <c r="I177" s="7">
        <v>-8.5000000000000006E-2</v>
      </c>
      <c r="J177" s="7">
        <v>-0.22900000000000001</v>
      </c>
      <c r="K177" s="7">
        <v>-0.14899999999999999</v>
      </c>
      <c r="L177" s="7">
        <v>-0.152</v>
      </c>
      <c r="M177" s="7">
        <v>-0.17</v>
      </c>
      <c r="N177" s="7">
        <v>-0.96099999999999997</v>
      </c>
      <c r="O177" s="7">
        <v>-0.36899999999999999</v>
      </c>
      <c r="P177" s="7">
        <v>-0.436</v>
      </c>
      <c r="Q177" s="7">
        <v>-1.371</v>
      </c>
      <c r="R177" s="7">
        <v>-1.4630000000000001</v>
      </c>
      <c r="S177" s="7">
        <v>-2.3980000000000001</v>
      </c>
      <c r="T177" s="7">
        <v>-1.61</v>
      </c>
      <c r="U177" s="7">
        <v>-3.2429999999999999</v>
      </c>
      <c r="V177" s="7">
        <v>-0.95699999999999996</v>
      </c>
      <c r="W177" s="7">
        <v>-0.98399999999999999</v>
      </c>
      <c r="X177" s="7">
        <v>-1.127</v>
      </c>
      <c r="Y177" s="7">
        <v>-0.63700000000000001</v>
      </c>
      <c r="Z177" s="7">
        <v>-1.149</v>
      </c>
      <c r="AA177" s="7">
        <v>-2.0539999999999998</v>
      </c>
      <c r="AB177" s="10">
        <f t="shared" ref="AB177:AY177" ca="1" si="640">-AB194*AB82</f>
        <v>-2.0759484419049259</v>
      </c>
      <c r="AC177" s="10">
        <f t="shared" ca="1" si="640"/>
        <v>-2.1078144979051854</v>
      </c>
      <c r="AD177" s="10">
        <f t="shared" ca="1" si="640"/>
        <v>-2.1358502734846718</v>
      </c>
      <c r="AE177" s="10">
        <f t="shared" ca="1" si="640"/>
        <v>-2.1623947648922055</v>
      </c>
      <c r="AF177" s="10">
        <f t="shared" ca="1" si="640"/>
        <v>-2.2130650768637015</v>
      </c>
      <c r="AG177" s="10">
        <f t="shared" ca="1" si="640"/>
        <v>-2.2679385282804345</v>
      </c>
      <c r="AH177" s="10">
        <f t="shared" ca="1" si="640"/>
        <v>-2.3201445053935266</v>
      </c>
      <c r="AI177" s="10">
        <f t="shared" ca="1" si="640"/>
        <v>-2.3720373619341188</v>
      </c>
      <c r="AJ177" s="10">
        <f t="shared" ca="1" si="640"/>
        <v>-2.4245396184378589</v>
      </c>
      <c r="AK177" s="10">
        <f t="shared" ca="1" si="640"/>
        <v>-2.4779993940769649</v>
      </c>
      <c r="AL177" s="10">
        <f t="shared" ca="1" si="640"/>
        <v>-2.5325701179476381</v>
      </c>
      <c r="AM177" s="10">
        <f t="shared" ca="1" si="640"/>
        <v>-2.5882927026883671</v>
      </c>
      <c r="AN177" s="10">
        <f t="shared" ca="1" si="640"/>
        <v>-2.6451619157658715</v>
      </c>
      <c r="AO177" s="10">
        <f t="shared" ca="1" si="640"/>
        <v>-2.7031523851793642</v>
      </c>
      <c r="AP177" s="10">
        <f t="shared" ca="1" si="640"/>
        <v>-2.7622682306644624</v>
      </c>
      <c r="AQ177" s="10">
        <f t="shared" ca="1" si="640"/>
        <v>-2.8224886093395809</v>
      </c>
      <c r="AR177" s="10">
        <f t="shared" ca="1" si="640"/>
        <v>-2.883781413493292</v>
      </c>
      <c r="AS177" s="10">
        <f t="shared" ca="1" si="640"/>
        <v>-2.9461082955671145</v>
      </c>
      <c r="AT177" s="10">
        <f t="shared" ca="1" si="640"/>
        <v>-3.0094692657901621</v>
      </c>
      <c r="AU177" s="10">
        <f t="shared" ca="1" si="640"/>
        <v>-3.0738400044005156</v>
      </c>
      <c r="AV177" s="10">
        <f t="shared" ca="1" si="640"/>
        <v>-3.1391851656769054</v>
      </c>
      <c r="AW177" s="10">
        <f t="shared" ca="1" si="640"/>
        <v>-3.2054632423867209</v>
      </c>
      <c r="AX177" s="10">
        <f t="shared" ca="1" si="640"/>
        <v>-3.2726746740438846</v>
      </c>
      <c r="AY177" s="10">
        <f t="shared" ca="1" si="640"/>
        <v>-3.3407937866092752</v>
      </c>
      <c r="AZ177" s="54"/>
      <c r="BA177" s="34"/>
      <c r="BB177" s="7">
        <v>-0.46500000000000002</v>
      </c>
      <c r="BC177" s="7">
        <v>1.4E-2</v>
      </c>
      <c r="BD177" s="4">
        <f t="shared" si="614"/>
        <v>-0.57700000000000007</v>
      </c>
      <c r="BE177" s="4">
        <f t="shared" si="624"/>
        <v>-1.6519999999999999</v>
      </c>
      <c r="BF177" s="4">
        <f t="shared" si="625"/>
        <v>-5.6680000000000001</v>
      </c>
      <c r="BG177" s="4">
        <f t="shared" si="615"/>
        <v>-6.7939999999999996</v>
      </c>
      <c r="BH177" s="4">
        <f t="shared" si="616"/>
        <v>-4.9670000000000005</v>
      </c>
      <c r="BI177" s="4">
        <f t="shared" ca="1" si="617"/>
        <v>-8.4820079781869886</v>
      </c>
      <c r="BJ177" s="4">
        <f t="shared" ca="1" si="618"/>
        <v>-9.173185472471781</v>
      </c>
      <c r="BK177" s="4">
        <f t="shared" ca="1" si="619"/>
        <v>-10.023401833150828</v>
      </c>
      <c r="BL177" s="4">
        <f t="shared" ca="1" si="620"/>
        <v>-10.933071140949279</v>
      </c>
      <c r="BM177" s="4">
        <f t="shared" ca="1" si="621"/>
        <v>-11.913198979251085</v>
      </c>
      <c r="BN177" s="4">
        <f t="shared" ca="1" si="622"/>
        <v>-12.958116868716786</v>
      </c>
      <c r="BO177" s="24"/>
    </row>
    <row r="178" spans="1:75">
      <c r="A178" s="39"/>
      <c r="B178" t="s">
        <v>47</v>
      </c>
      <c r="D178" s="34"/>
      <c r="E178" s="34"/>
      <c r="F178" s="7">
        <v>7.6999999999999999E-2</v>
      </c>
      <c r="G178" s="34"/>
      <c r="H178" s="7">
        <v>7.6999999999999999E-2</v>
      </c>
      <c r="I178" s="7">
        <v>8.5000000000000006E-2</v>
      </c>
      <c r="J178" s="7">
        <v>8.3000000000000004E-2</v>
      </c>
      <c r="K178" s="7">
        <v>8.2000000000000003E-2</v>
      </c>
      <c r="L178" s="7">
        <v>7.4999999999999997E-2</v>
      </c>
      <c r="M178" s="7">
        <v>7.3999999999999996E-2</v>
      </c>
      <c r="N178" s="7">
        <v>7.1999999999999995E-2</v>
      </c>
      <c r="O178" s="7">
        <v>7.0999999999999994E-2</v>
      </c>
      <c r="P178" s="7">
        <v>7.0999999999999994E-2</v>
      </c>
      <c r="Q178" s="7">
        <v>0.21099999999999999</v>
      </c>
      <c r="R178" s="7">
        <v>0.98399999999999999</v>
      </c>
      <c r="S178" s="7"/>
      <c r="T178" s="7"/>
      <c r="U178" s="7"/>
      <c r="V178" s="7"/>
      <c r="W178" s="7"/>
      <c r="X178" s="7"/>
      <c r="Y178" s="7"/>
      <c r="Z178" s="7"/>
      <c r="AA178" s="7"/>
      <c r="AB178" s="10">
        <f t="shared" ref="AB178:AY178" ca="1" si="641">AB195*AB82</f>
        <v>0</v>
      </c>
      <c r="AC178" s="10">
        <f t="shared" ca="1" si="641"/>
        <v>0</v>
      </c>
      <c r="AD178" s="10">
        <f t="shared" ca="1" si="641"/>
        <v>0</v>
      </c>
      <c r="AE178" s="10">
        <f t="shared" ca="1" si="641"/>
        <v>0</v>
      </c>
      <c r="AF178" s="10">
        <f t="shared" ca="1" si="641"/>
        <v>0</v>
      </c>
      <c r="AG178" s="10">
        <f t="shared" ca="1" si="641"/>
        <v>0</v>
      </c>
      <c r="AH178" s="10">
        <f t="shared" ca="1" si="641"/>
        <v>0</v>
      </c>
      <c r="AI178" s="10">
        <f t="shared" ca="1" si="641"/>
        <v>0</v>
      </c>
      <c r="AJ178" s="10">
        <f t="shared" ca="1" si="641"/>
        <v>0</v>
      </c>
      <c r="AK178" s="10">
        <f t="shared" ca="1" si="641"/>
        <v>0</v>
      </c>
      <c r="AL178" s="10">
        <f t="shared" ca="1" si="641"/>
        <v>0</v>
      </c>
      <c r="AM178" s="10">
        <f t="shared" ca="1" si="641"/>
        <v>0</v>
      </c>
      <c r="AN178" s="10">
        <f t="shared" ca="1" si="641"/>
        <v>0</v>
      </c>
      <c r="AO178" s="10">
        <f t="shared" ca="1" si="641"/>
        <v>0</v>
      </c>
      <c r="AP178" s="10">
        <f t="shared" ca="1" si="641"/>
        <v>0</v>
      </c>
      <c r="AQ178" s="10">
        <f t="shared" ca="1" si="641"/>
        <v>0</v>
      </c>
      <c r="AR178" s="10">
        <f t="shared" ca="1" si="641"/>
        <v>0</v>
      </c>
      <c r="AS178" s="10">
        <f t="shared" ca="1" si="641"/>
        <v>0</v>
      </c>
      <c r="AT178" s="10">
        <f t="shared" ca="1" si="641"/>
        <v>0</v>
      </c>
      <c r="AU178" s="10">
        <f t="shared" ca="1" si="641"/>
        <v>0</v>
      </c>
      <c r="AV178" s="10">
        <f t="shared" ca="1" si="641"/>
        <v>0</v>
      </c>
      <c r="AW178" s="10">
        <f t="shared" ca="1" si="641"/>
        <v>0</v>
      </c>
      <c r="AX178" s="10">
        <f t="shared" ca="1" si="641"/>
        <v>0</v>
      </c>
      <c r="AY178" s="10">
        <f t="shared" ca="1" si="641"/>
        <v>0</v>
      </c>
      <c r="AZ178" s="54"/>
      <c r="BA178" s="34"/>
      <c r="BB178" s="7">
        <v>4.8000000000000001E-2</v>
      </c>
      <c r="BC178" s="7">
        <v>0.31900000000000001</v>
      </c>
      <c r="BD178" s="4">
        <f t="shared" si="614"/>
        <v>0.32700000000000001</v>
      </c>
      <c r="BE178" s="4">
        <f t="shared" si="624"/>
        <v>0.29199999999999998</v>
      </c>
      <c r="BF178" s="4">
        <f t="shared" si="625"/>
        <v>1.266</v>
      </c>
      <c r="BG178" s="4">
        <f t="shared" si="615"/>
        <v>0</v>
      </c>
      <c r="BH178" s="4">
        <f t="shared" si="616"/>
        <v>0</v>
      </c>
      <c r="BI178" s="4">
        <f t="shared" ca="1" si="617"/>
        <v>0</v>
      </c>
      <c r="BJ178" s="4">
        <f t="shared" ca="1" si="618"/>
        <v>0</v>
      </c>
      <c r="BK178" s="4">
        <f t="shared" ca="1" si="619"/>
        <v>0</v>
      </c>
      <c r="BL178" s="4">
        <f t="shared" ca="1" si="620"/>
        <v>0</v>
      </c>
      <c r="BM178" s="4">
        <f t="shared" ca="1" si="621"/>
        <v>0</v>
      </c>
      <c r="BN178" s="4">
        <f t="shared" ca="1" si="622"/>
        <v>0</v>
      </c>
      <c r="BO178" s="24"/>
    </row>
    <row r="179" spans="1:75">
      <c r="A179" s="39"/>
      <c r="B179" s="58" t="s">
        <v>433</v>
      </c>
      <c r="D179" s="34"/>
      <c r="E179" s="34"/>
      <c r="F179" s="7"/>
      <c r="G179" s="34"/>
      <c r="H179" s="7"/>
      <c r="I179" s="7"/>
      <c r="J179" s="7"/>
      <c r="K179" s="7"/>
      <c r="L179" s="7"/>
      <c r="M179" s="7"/>
      <c r="N179" s="7"/>
      <c r="O179" s="7"/>
      <c r="P179" s="7"/>
      <c r="Q179" s="7"/>
      <c r="R179" s="7">
        <v>-1.3540000000000001</v>
      </c>
      <c r="S179" s="7">
        <v>-2.4</v>
      </c>
      <c r="T179" s="7">
        <v>-1.857</v>
      </c>
      <c r="U179" s="7">
        <v>-1.2709999999999999</v>
      </c>
      <c r="V179" s="7">
        <v>-3.0760000000000001</v>
      </c>
      <c r="W179" s="7">
        <v>-0.182</v>
      </c>
      <c r="X179" s="7">
        <v>-1.5209999999999999</v>
      </c>
      <c r="Y179" s="7">
        <v>-1.429</v>
      </c>
      <c r="Z179" s="7">
        <v>-2.4540000000000002</v>
      </c>
      <c r="AA179" s="7">
        <v>-4.3739999999999997</v>
      </c>
      <c r="AB179" s="10">
        <f t="shared" ref="AB179:AM179" si="642">+AA179</f>
        <v>-4.3739999999999997</v>
      </c>
      <c r="AC179" s="10">
        <f t="shared" si="642"/>
        <v>-4.3739999999999997</v>
      </c>
      <c r="AD179" s="10">
        <f t="shared" si="642"/>
        <v>-4.3739999999999997</v>
      </c>
      <c r="AE179" s="10">
        <f t="shared" si="642"/>
        <v>-4.3739999999999997</v>
      </c>
      <c r="AF179" s="291">
        <v>-2</v>
      </c>
      <c r="AG179" s="10">
        <f t="shared" si="642"/>
        <v>-2</v>
      </c>
      <c r="AH179" s="10">
        <f t="shared" si="642"/>
        <v>-2</v>
      </c>
      <c r="AI179" s="10">
        <f t="shared" si="642"/>
        <v>-2</v>
      </c>
      <c r="AJ179" s="10">
        <f t="shared" si="642"/>
        <v>-2</v>
      </c>
      <c r="AK179" s="10">
        <f t="shared" si="642"/>
        <v>-2</v>
      </c>
      <c r="AL179" s="10">
        <f t="shared" si="642"/>
        <v>-2</v>
      </c>
      <c r="AM179" s="10">
        <f t="shared" si="642"/>
        <v>-2</v>
      </c>
      <c r="AN179" s="10">
        <f t="shared" ref="AN179" si="643">+AM179</f>
        <v>-2</v>
      </c>
      <c r="AO179" s="10">
        <f t="shared" ref="AO179" si="644">+AN179</f>
        <v>-2</v>
      </c>
      <c r="AP179" s="10">
        <f t="shared" ref="AP179" si="645">+AO179</f>
        <v>-2</v>
      </c>
      <c r="AQ179" s="10">
        <f t="shared" ref="AQ179" si="646">+AP179</f>
        <v>-2</v>
      </c>
      <c r="AR179" s="10">
        <f t="shared" ref="AR179" si="647">+AQ179</f>
        <v>-2</v>
      </c>
      <c r="AS179" s="10">
        <f t="shared" ref="AS179" si="648">+AR179</f>
        <v>-2</v>
      </c>
      <c r="AT179" s="10">
        <f t="shared" ref="AT179" si="649">+AS179</f>
        <v>-2</v>
      </c>
      <c r="AU179" s="10">
        <f t="shared" ref="AU179" si="650">+AT179</f>
        <v>-2</v>
      </c>
      <c r="AV179" s="10">
        <f t="shared" ref="AV179" si="651">+AU179</f>
        <v>-2</v>
      </c>
      <c r="AW179" s="10">
        <f t="shared" ref="AW179" si="652">+AV179</f>
        <v>-2</v>
      </c>
      <c r="AX179" s="10">
        <f t="shared" ref="AX179" si="653">+AW179</f>
        <v>-2</v>
      </c>
      <c r="AY179" s="10">
        <f t="shared" ref="AY179" si="654">+AX179</f>
        <v>-2</v>
      </c>
      <c r="AZ179" s="54"/>
      <c r="BA179" s="34"/>
      <c r="BB179" s="7"/>
      <c r="BC179" s="7"/>
      <c r="BD179" s="4">
        <f t="shared" si="614"/>
        <v>0</v>
      </c>
      <c r="BE179" s="4">
        <f t="shared" si="624"/>
        <v>0</v>
      </c>
      <c r="BF179" s="4">
        <f>+SUM(P179:S179)</f>
        <v>-3.754</v>
      </c>
      <c r="BG179" s="4">
        <f>+SUM(T179:W179)</f>
        <v>-6.386000000000001</v>
      </c>
      <c r="BH179" s="4">
        <f>+SUM(X179:AA179)</f>
        <v>-9.7779999999999987</v>
      </c>
      <c r="BI179" s="4">
        <f>+SUM(AB179:AE179)</f>
        <v>-17.495999999999999</v>
      </c>
      <c r="BJ179" s="4">
        <f>+SUM(AF179:AI179)</f>
        <v>-8</v>
      </c>
      <c r="BK179" s="4">
        <f>+SUM(AJ179:AM179)</f>
        <v>-8</v>
      </c>
      <c r="BL179" s="4">
        <f t="shared" si="620"/>
        <v>-8</v>
      </c>
      <c r="BM179" s="4">
        <f t="shared" si="621"/>
        <v>-8</v>
      </c>
      <c r="BN179" s="4">
        <f t="shared" si="622"/>
        <v>-8</v>
      </c>
      <c r="BO179" s="24"/>
    </row>
    <row r="180" spans="1:75">
      <c r="B180" t="s">
        <v>48</v>
      </c>
      <c r="D180" s="34"/>
      <c r="E180" s="34"/>
      <c r="F180" s="7">
        <v>0.153</v>
      </c>
      <c r="G180" s="34"/>
      <c r="H180" s="7">
        <v>0.375</v>
      </c>
      <c r="I180" s="7">
        <v>0.42</v>
      </c>
      <c r="J180" s="7">
        <v>0.51</v>
      </c>
      <c r="K180" s="7">
        <v>0.65500000000000003</v>
      </c>
      <c r="L180" s="10">
        <f t="shared" ref="L180:AY180" si="655">+L110</f>
        <v>0.91100000000000003</v>
      </c>
      <c r="M180" s="10">
        <f t="shared" si="655"/>
        <v>1.0649999999999999</v>
      </c>
      <c r="N180" s="10">
        <f t="shared" si="655"/>
        <v>0.92500000000000004</v>
      </c>
      <c r="O180" s="10">
        <f t="shared" si="655"/>
        <v>1.252</v>
      </c>
      <c r="P180" s="10">
        <f t="shared" si="655"/>
        <v>1.3069999999999999</v>
      </c>
      <c r="Q180" s="10">
        <f t="shared" si="655"/>
        <v>1.831</v>
      </c>
      <c r="R180" s="10">
        <f t="shared" si="655"/>
        <v>2.0680000000000001</v>
      </c>
      <c r="S180" s="10">
        <f t="shared" si="655"/>
        <v>1.758</v>
      </c>
      <c r="T180" s="10">
        <f t="shared" si="655"/>
        <v>2.0499999999999998</v>
      </c>
      <c r="U180" s="10">
        <f t="shared" si="655"/>
        <v>3.2</v>
      </c>
      <c r="V180" s="10">
        <f t="shared" si="655"/>
        <v>2.637</v>
      </c>
      <c r="W180" s="10">
        <f t="shared" si="655"/>
        <v>2.698</v>
      </c>
      <c r="X180" s="10">
        <f t="shared" si="655"/>
        <v>3.0819999999999999</v>
      </c>
      <c r="Y180" s="10">
        <f t="shared" si="655"/>
        <v>3.7320000000000002</v>
      </c>
      <c r="Z180" s="10">
        <f t="shared" si="655"/>
        <v>3.6930000000000001</v>
      </c>
      <c r="AA180" s="10">
        <f t="shared" si="655"/>
        <v>3.3559999999999999</v>
      </c>
      <c r="AB180" s="10">
        <f t="shared" ca="1" si="655"/>
        <v>2.851371574069653</v>
      </c>
      <c r="AC180" s="10">
        <f t="shared" ca="1" si="655"/>
        <v>2.898473052545977</v>
      </c>
      <c r="AD180" s="10">
        <f t="shared" ca="1" si="655"/>
        <v>2.9514827384811673</v>
      </c>
      <c r="AE180" s="10">
        <f t="shared" ca="1" si="655"/>
        <v>2.9864250673058903</v>
      </c>
      <c r="AF180" s="10">
        <f t="shared" ca="1" si="655"/>
        <v>3.0129851746977656</v>
      </c>
      <c r="AG180" s="10">
        <f t="shared" ca="1" si="655"/>
        <v>3.101095669604029</v>
      </c>
      <c r="AH180" s="10">
        <f t="shared" ca="1" si="655"/>
        <v>3.1860918688576603</v>
      </c>
      <c r="AI180" s="10">
        <f t="shared" ca="1" si="655"/>
        <v>3.2536048457639297</v>
      </c>
      <c r="AJ180" s="10">
        <f t="shared" ca="1" si="655"/>
        <v>3.295230848334608</v>
      </c>
      <c r="AK180" s="10">
        <f t="shared" ca="1" si="655"/>
        <v>3.3816304601391729</v>
      </c>
      <c r="AL180" s="10">
        <f t="shared" ca="1" si="655"/>
        <v>3.4703038419532217</v>
      </c>
      <c r="AM180" s="10">
        <f t="shared" ca="1" si="655"/>
        <v>3.5425391588356652</v>
      </c>
      <c r="AN180" s="10">
        <f t="shared" ca="1" si="655"/>
        <v>3.5879310060579175</v>
      </c>
      <c r="AO180" s="10">
        <f t="shared" ca="1" si="655"/>
        <v>3.6812749243661678</v>
      </c>
      <c r="AP180" s="10">
        <f t="shared" ca="1" si="655"/>
        <v>3.7771198683407001</v>
      </c>
      <c r="AQ180" s="10">
        <f t="shared" ca="1" si="655"/>
        <v>3.8550435191373462</v>
      </c>
      <c r="AR180" s="10">
        <f t="shared" ca="1" si="655"/>
        <v>3.9036066846838495</v>
      </c>
      <c r="AS180" s="10">
        <f t="shared" ca="1" si="655"/>
        <v>4.0038577415653185</v>
      </c>
      <c r="AT180" s="10">
        <f t="shared" ca="1" si="655"/>
        <v>4.1066028906456697</v>
      </c>
      <c r="AU180" s="10">
        <f t="shared" ca="1" si="655"/>
        <v>4.1896617845889423</v>
      </c>
      <c r="AV180" s="10">
        <f t="shared" ca="1" si="655"/>
        <v>4.2406252609454329</v>
      </c>
      <c r="AW180" s="10">
        <f t="shared" ca="1" si="655"/>
        <v>4.3473573241596588</v>
      </c>
      <c r="AX180" s="10">
        <f t="shared" ca="1" si="655"/>
        <v>4.4565288147864477</v>
      </c>
      <c r="AY180" s="10">
        <f t="shared" ca="1" si="655"/>
        <v>4.5441201888618856</v>
      </c>
      <c r="AZ180" s="54"/>
      <c r="BA180" s="34"/>
      <c r="BB180" s="7">
        <v>0.76400000000000001</v>
      </c>
      <c r="BC180" s="7">
        <v>0.65600000000000003</v>
      </c>
      <c r="BD180" s="4">
        <f t="shared" si="614"/>
        <v>1.96</v>
      </c>
      <c r="BE180" s="4">
        <f t="shared" si="624"/>
        <v>4.1529999999999996</v>
      </c>
      <c r="BF180" s="4">
        <f t="shared" si="625"/>
        <v>6.9639999999999995</v>
      </c>
      <c r="BG180" s="4">
        <f t="shared" si="615"/>
        <v>10.585000000000001</v>
      </c>
      <c r="BH180" s="4">
        <f t="shared" si="616"/>
        <v>13.863</v>
      </c>
      <c r="BI180" s="4">
        <f t="shared" ca="1" si="617"/>
        <v>11.687752432402689</v>
      </c>
      <c r="BJ180" s="4">
        <f t="shared" ca="1" si="618"/>
        <v>12.553777558923384</v>
      </c>
      <c r="BK180" s="4">
        <f t="shared" ca="1" si="619"/>
        <v>13.689704309262666</v>
      </c>
      <c r="BL180" s="4">
        <f t="shared" ca="1" si="620"/>
        <v>14.901369317902132</v>
      </c>
      <c r="BM180" s="4">
        <f t="shared" ca="1" si="621"/>
        <v>16.203729101483781</v>
      </c>
      <c r="BN180" s="4">
        <f t="shared" ca="1" si="622"/>
        <v>17.588631588753426</v>
      </c>
      <c r="BO180" s="24"/>
    </row>
    <row r="181" spans="1:75">
      <c r="B181" t="s">
        <v>49</v>
      </c>
      <c r="D181" s="192"/>
      <c r="E181" s="192"/>
      <c r="F181" s="10">
        <f>+F169+SUM(F173:F180)</f>
        <v>5.4869999999999992</v>
      </c>
      <c r="G181" s="192"/>
      <c r="H181" s="10">
        <f t="shared" ref="H181:AM181" si="656">+H169+SUM(H173:H180)</f>
        <v>8.3599999999999941</v>
      </c>
      <c r="I181" s="10">
        <f t="shared" si="656"/>
        <v>9.773000000000005</v>
      </c>
      <c r="J181" s="10">
        <f t="shared" si="656"/>
        <v>12.932000000000006</v>
      </c>
      <c r="K181" s="10">
        <f t="shared" si="656"/>
        <v>16.291999999999998</v>
      </c>
      <c r="L181" s="10">
        <f t="shared" si="656"/>
        <v>17.732000000000003</v>
      </c>
      <c r="M181" s="10">
        <f t="shared" si="656"/>
        <v>18.713999999999992</v>
      </c>
      <c r="N181" s="10">
        <f t="shared" si="656"/>
        <v>12.879999999999999</v>
      </c>
      <c r="O181" s="10">
        <f t="shared" si="656"/>
        <v>19.702999999999999</v>
      </c>
      <c r="P181" s="10">
        <f t="shared" si="656"/>
        <v>20.075000000000006</v>
      </c>
      <c r="Q181" s="10">
        <f t="shared" si="656"/>
        <v>22.238000000000003</v>
      </c>
      <c r="R181" s="10">
        <f t="shared" si="656"/>
        <v>29.670000000000005</v>
      </c>
      <c r="S181" s="10">
        <f t="shared" ref="S181:X181" si="657">+S169+SUM(S173:S180)</f>
        <v>27.843000000000004</v>
      </c>
      <c r="T181" s="10">
        <f t="shared" si="657"/>
        <v>30.155000000000001</v>
      </c>
      <c r="U181" s="10">
        <f t="shared" si="657"/>
        <v>34.607000000000021</v>
      </c>
      <c r="V181" s="10">
        <f t="shared" si="657"/>
        <v>34.916999999999987</v>
      </c>
      <c r="W181" s="10">
        <f t="shared" si="657"/>
        <v>34.44</v>
      </c>
      <c r="X181" s="10">
        <f t="shared" si="657"/>
        <v>36.300000000000011</v>
      </c>
      <c r="Y181" s="10">
        <f>+Y169+SUM(Y173:Y180)</f>
        <v>36.707999999999998</v>
      </c>
      <c r="Z181" s="10">
        <f>+Z169+SUM(Z173:Z180)</f>
        <v>37.112999999999985</v>
      </c>
      <c r="AA181" s="10">
        <f>+AA169+SUM(AA173:AA180)</f>
        <v>41.173999999999985</v>
      </c>
      <c r="AB181" s="10">
        <f t="shared" ca="1" si="656"/>
        <v>38.225298528254314</v>
      </c>
      <c r="AC181" s="10">
        <f t="shared" ca="1" si="656"/>
        <v>36.775937155483327</v>
      </c>
      <c r="AD181" s="10">
        <f t="shared" ca="1" si="656"/>
        <v>37.505129061400815</v>
      </c>
      <c r="AE181" s="10">
        <f t="shared" ca="1" si="656"/>
        <v>39.307403038382681</v>
      </c>
      <c r="AF181" s="10">
        <f t="shared" ca="1" si="656"/>
        <v>40.317709677835353</v>
      </c>
      <c r="AG181" s="10">
        <f t="shared" ca="1" si="656"/>
        <v>39.856558579323718</v>
      </c>
      <c r="AH181" s="10">
        <f t="shared" ca="1" si="656"/>
        <v>41.441219601254204</v>
      </c>
      <c r="AI181" s="10">
        <f t="shared" ca="1" si="656"/>
        <v>44.510469753987003</v>
      </c>
      <c r="AJ181" s="10">
        <f t="shared" ca="1" si="656"/>
        <v>45.157818705745576</v>
      </c>
      <c r="AK181" s="10">
        <f t="shared" ca="1" si="656"/>
        <v>44.719277448848892</v>
      </c>
      <c r="AL181" s="10">
        <f t="shared" ca="1" si="656"/>
        <v>46.503181746794212</v>
      </c>
      <c r="AM181" s="10">
        <f t="shared" ca="1" si="656"/>
        <v>49.976858694882942</v>
      </c>
      <c r="AN181" s="10">
        <f t="shared" ref="AN181:AY181" ca="1" si="658">+AN169+SUM(AN173:AN180)</f>
        <v>50.927843633177638</v>
      </c>
      <c r="AO181" s="10">
        <f t="shared" ca="1" si="658"/>
        <v>50.588670515979913</v>
      </c>
      <c r="AP181" s="10">
        <f t="shared" ca="1" si="658"/>
        <v>52.63121439547421</v>
      </c>
      <c r="AQ181" s="10">
        <f t="shared" ca="1" si="658"/>
        <v>56.489693558590417</v>
      </c>
      <c r="AR181" s="10">
        <f t="shared" ca="1" si="658"/>
        <v>57.49195431579345</v>
      </c>
      <c r="AS181" s="10">
        <f t="shared" ca="1" si="658"/>
        <v>58.032216270713079</v>
      </c>
      <c r="AT181" s="10">
        <f t="shared" ca="1" si="658"/>
        <v>63.461384241454603</v>
      </c>
      <c r="AU181" s="10">
        <f t="shared" ca="1" si="658"/>
        <v>68.212196656586627</v>
      </c>
      <c r="AV181" s="10">
        <f t="shared" ca="1" si="658"/>
        <v>69.220250187654244</v>
      </c>
      <c r="AW181" s="10">
        <f t="shared" ca="1" si="658"/>
        <v>68.956744504182353</v>
      </c>
      <c r="AX181" s="10">
        <f t="shared" ca="1" si="658"/>
        <v>71.514953285390405</v>
      </c>
      <c r="AY181" s="10">
        <f t="shared" ca="1" si="658"/>
        <v>76.180867688728739</v>
      </c>
      <c r="AZ181" s="54"/>
      <c r="BA181" s="192"/>
      <c r="BB181" s="10">
        <f>+BB169+SUM(BB173:BB180)</f>
        <v>13.979999999999972</v>
      </c>
      <c r="BC181" s="10">
        <f>+BC169+SUM(BC173:BC180)</f>
        <v>25.186999999999987</v>
      </c>
      <c r="BD181" s="10">
        <f>+BD169+SUM(BD173:BD180)</f>
        <v>47.356999999999999</v>
      </c>
      <c r="BE181" s="10">
        <f>+SUM(L181:O181)</f>
        <v>69.028999999999996</v>
      </c>
      <c r="BF181" s="10">
        <f t="shared" si="625"/>
        <v>99.826000000000022</v>
      </c>
      <c r="BG181" s="10">
        <f t="shared" si="615"/>
        <v>134.11900000000003</v>
      </c>
      <c r="BH181" s="10">
        <f t="shared" si="616"/>
        <v>151.29499999999999</v>
      </c>
      <c r="BI181" s="10">
        <f t="shared" ca="1" si="617"/>
        <v>151.81376778352114</v>
      </c>
      <c r="BJ181" s="10">
        <f t="shared" ca="1" si="618"/>
        <v>166.12595761240027</v>
      </c>
      <c r="BK181" s="10">
        <f t="shared" ca="1" si="619"/>
        <v>186.35713659627163</v>
      </c>
      <c r="BL181" s="10">
        <f t="shared" ca="1" si="620"/>
        <v>210.63742210322221</v>
      </c>
      <c r="BM181" s="10">
        <f t="shared" ca="1" si="621"/>
        <v>247.19775148454775</v>
      </c>
      <c r="BN181" s="10">
        <f t="shared" ca="1" si="622"/>
        <v>285.87281566595573</v>
      </c>
      <c r="BO181" s="39"/>
    </row>
    <row r="182" spans="1:75">
      <c r="B182" t="s">
        <v>216</v>
      </c>
      <c r="D182" s="192"/>
      <c r="E182" s="192"/>
      <c r="F182" s="10"/>
      <c r="G182" s="192"/>
      <c r="H182" s="10"/>
      <c r="I182" s="10"/>
      <c r="J182" s="81"/>
      <c r="K182" s="81">
        <f t="shared" ref="K182:AY182" si="659">+K181/K132</f>
        <v>0.44278699790170811</v>
      </c>
      <c r="L182" s="81">
        <f t="shared" si="659"/>
        <v>0.48057242865022565</v>
      </c>
      <c r="M182" s="81">
        <f t="shared" si="659"/>
        <v>0.50337507960892725</v>
      </c>
      <c r="N182" s="81">
        <f t="shared" si="659"/>
        <v>0.34561655833904192</v>
      </c>
      <c r="O182" s="81">
        <f t="shared" si="659"/>
        <v>0.53059191037862874</v>
      </c>
      <c r="P182" s="81">
        <f t="shared" si="659"/>
        <v>0.48302622970778553</v>
      </c>
      <c r="Q182" s="81">
        <f t="shared" si="659"/>
        <v>0.49405821568958092</v>
      </c>
      <c r="R182" s="81">
        <f t="shared" si="659"/>
        <v>0.60882248416933304</v>
      </c>
      <c r="S182" s="81">
        <f t="shared" si="659"/>
        <v>0.5702059438138154</v>
      </c>
      <c r="T182" s="81">
        <f t="shared" si="659"/>
        <v>0.61573675306848952</v>
      </c>
      <c r="U182" s="81">
        <f t="shared" si="659"/>
        <v>0.62271315041805597</v>
      </c>
      <c r="V182" s="81">
        <f t="shared" si="659"/>
        <v>0.62701497719468013</v>
      </c>
      <c r="W182" s="81">
        <f t="shared" si="659"/>
        <v>0.61973600038148668</v>
      </c>
      <c r="X182" s="81">
        <f t="shared" si="659"/>
        <v>0.6526398833806244</v>
      </c>
      <c r="Y182" s="81">
        <f t="shared" si="659"/>
        <v>0.66190118728390224</v>
      </c>
      <c r="Z182" s="81">
        <f t="shared" si="659"/>
        <v>0.65302017034020476</v>
      </c>
      <c r="AA182" s="81">
        <f t="shared" si="659"/>
        <v>0.71254663551448427</v>
      </c>
      <c r="AB182" s="81">
        <f t="shared" ca="1" si="659"/>
        <v>0.66063610930555494</v>
      </c>
      <c r="AC182" s="81">
        <f t="shared" ca="1" si="659"/>
        <v>0.63472789825727571</v>
      </c>
      <c r="AD182" s="81">
        <f t="shared" ca="1" si="659"/>
        <v>0.64642328111026071</v>
      </c>
      <c r="AE182" s="81">
        <f t="shared" ca="1" si="659"/>
        <v>0.67654536764427742</v>
      </c>
      <c r="AF182" s="81">
        <f t="shared" ca="1" si="659"/>
        <v>0.69296317137753849</v>
      </c>
      <c r="AG182" s="81">
        <f t="shared" ca="1" si="659"/>
        <v>0.68405169853903236</v>
      </c>
      <c r="AH182" s="81">
        <f t="shared" ca="1" si="659"/>
        <v>0.7101993753223429</v>
      </c>
      <c r="AI182" s="81">
        <f t="shared" ca="1" si="659"/>
        <v>0.76165088344466492</v>
      </c>
      <c r="AJ182" s="81">
        <f t="shared" ca="1" si="659"/>
        <v>0.77155231360966658</v>
      </c>
      <c r="AK182" s="81">
        <f t="shared" ca="1" si="659"/>
        <v>0.76286827580694705</v>
      </c>
      <c r="AL182" s="81">
        <f t="shared" ca="1" si="659"/>
        <v>0.7920327298317601</v>
      </c>
      <c r="AM182" s="81">
        <f t="shared" ca="1" si="659"/>
        <v>0.84980990598787431</v>
      </c>
      <c r="AN182" s="81">
        <f t="shared" ca="1" si="659"/>
        <v>0.86455495105742397</v>
      </c>
      <c r="AO182" s="81">
        <f t="shared" ca="1" si="659"/>
        <v>0.85734904587569527</v>
      </c>
      <c r="AP182" s="81">
        <f t="shared" ca="1" si="659"/>
        <v>0.89042446360779559</v>
      </c>
      <c r="AQ182" s="81">
        <f t="shared" ca="1" si="659"/>
        <v>0.95402125200951027</v>
      </c>
      <c r="AR182" s="81">
        <f t="shared" ca="1" si="659"/>
        <v>0.96922091042786829</v>
      </c>
      <c r="AS182" s="81">
        <f t="shared" ca="1" si="659"/>
        <v>0.9765473485269468</v>
      </c>
      <c r="AT182" s="81">
        <f t="shared" ca="1" si="659"/>
        <v>0.87247238572719599</v>
      </c>
      <c r="AU182" s="81">
        <f t="shared" ca="1" si="659"/>
        <v>0.85057972393137915</v>
      </c>
      <c r="AV182" s="81">
        <f t="shared" ca="1" si="659"/>
        <v>0.86191794226132445</v>
      </c>
      <c r="AW182" s="81">
        <f t="shared" ca="1" si="659"/>
        <v>0.8573824322200112</v>
      </c>
      <c r="AX182" s="81">
        <f t="shared" ca="1" si="659"/>
        <v>0.88786059487020663</v>
      </c>
      <c r="AY182" s="81">
        <f t="shared" ca="1" si="659"/>
        <v>0.94434819584634522</v>
      </c>
      <c r="AZ182" s="54"/>
      <c r="BA182" s="192"/>
      <c r="BB182" s="10"/>
      <c r="BC182" s="10"/>
      <c r="BD182" s="81">
        <f>+BD181/BD132</f>
        <v>1.287077329955266</v>
      </c>
      <c r="BE182" s="81">
        <f>+SUM(L182:O182)</f>
        <v>1.8601559769768237</v>
      </c>
      <c r="BF182" s="81">
        <f t="shared" si="625"/>
        <v>2.1561128733805148</v>
      </c>
      <c r="BG182" s="81">
        <f t="shared" si="615"/>
        <v>2.4852008810627124</v>
      </c>
      <c r="BH182" s="81">
        <f t="shared" si="616"/>
        <v>2.6801078765192159</v>
      </c>
      <c r="BI182" s="81">
        <f t="shared" ca="1" si="617"/>
        <v>2.618332656317369</v>
      </c>
      <c r="BJ182" s="81">
        <f t="shared" ca="1" si="618"/>
        <v>2.8488651286835784</v>
      </c>
      <c r="BK182" s="81">
        <f t="shared" ca="1" si="619"/>
        <v>3.1762632252362479</v>
      </c>
      <c r="BL182" s="81">
        <f t="shared" ca="1" si="620"/>
        <v>3.5663497125504251</v>
      </c>
      <c r="BM182" s="81">
        <f t="shared" ca="1" si="621"/>
        <v>3.6688203686133902</v>
      </c>
      <c r="BN182" s="81">
        <f t="shared" ca="1" si="622"/>
        <v>3.5515091651978876</v>
      </c>
      <c r="BO182" s="308"/>
    </row>
    <row r="183" spans="1:75">
      <c r="D183" s="10"/>
      <c r="E183" s="10"/>
      <c r="F183" s="10"/>
      <c r="G183" s="39"/>
      <c r="H183" s="10"/>
      <c r="I183" s="10"/>
      <c r="J183" s="10"/>
      <c r="K183" s="10"/>
      <c r="L183" s="10"/>
      <c r="M183" s="10"/>
      <c r="N183" s="10"/>
      <c r="O183" s="10"/>
      <c r="P183" s="10"/>
      <c r="Q183" s="10"/>
      <c r="R183" s="10"/>
      <c r="S183" s="10"/>
      <c r="T183" s="10"/>
      <c r="U183" s="10"/>
      <c r="V183" s="10"/>
      <c r="W183" s="10"/>
      <c r="X183" s="10"/>
      <c r="Y183" s="10"/>
      <c r="Z183" s="10"/>
      <c r="AA183" s="10"/>
      <c r="AB183" s="7"/>
      <c r="AC183" s="7"/>
      <c r="AD183" s="7"/>
      <c r="AE183" s="7"/>
      <c r="AF183" s="7"/>
      <c r="AG183" s="7"/>
      <c r="AH183" s="7"/>
      <c r="AI183" s="7"/>
      <c r="AJ183" s="7"/>
      <c r="AK183" s="7"/>
      <c r="AL183" s="7"/>
      <c r="AM183" s="7"/>
      <c r="AN183" s="7"/>
      <c r="AO183" s="7"/>
      <c r="AP183" s="7"/>
      <c r="AQ183" s="7"/>
      <c r="AR183" s="7"/>
      <c r="AS183" s="7"/>
      <c r="AT183" s="7"/>
      <c r="AU183" s="7"/>
      <c r="AV183" s="7"/>
      <c r="AW183" s="7"/>
      <c r="AX183" s="7"/>
      <c r="AY183" s="7"/>
      <c r="AZ183" s="28"/>
      <c r="BA183" s="7"/>
      <c r="BB183" s="7"/>
      <c r="BC183" s="7"/>
      <c r="BD183" s="7"/>
      <c r="BE183" s="7"/>
      <c r="BF183" s="7"/>
      <c r="BG183" s="7"/>
      <c r="BH183" s="7"/>
      <c r="BI183" s="7"/>
      <c r="BJ183" s="7"/>
      <c r="BK183" s="7"/>
      <c r="BL183" s="7"/>
      <c r="BM183" s="7"/>
      <c r="BN183" s="7"/>
    </row>
    <row r="184" spans="1:75">
      <c r="B184" s="9" t="s">
        <v>163</v>
      </c>
      <c r="G184" s="22"/>
      <c r="BA184"/>
    </row>
    <row r="185" spans="1:75">
      <c r="B185" t="s">
        <v>163</v>
      </c>
      <c r="D185" s="22"/>
      <c r="E185" s="22"/>
      <c r="G185" s="22"/>
      <c r="K185" s="39">
        <f t="shared" ref="K185:AE185" si="660">+K187*K383</f>
        <v>8.8306115999999992</v>
      </c>
      <c r="L185" s="39">
        <f t="shared" si="660"/>
        <v>10.700322560000002</v>
      </c>
      <c r="M185" s="39">
        <f t="shared" si="660"/>
        <v>10.78134421</v>
      </c>
      <c r="N185" s="39">
        <f t="shared" si="660"/>
        <v>10.807352569999999</v>
      </c>
      <c r="O185" s="39">
        <f t="shared" si="660"/>
        <v>10.76886</v>
      </c>
      <c r="P185" s="39">
        <f t="shared" si="660"/>
        <v>13.2994848</v>
      </c>
      <c r="Q185" s="39">
        <f t="shared" si="660"/>
        <v>14.403484800000001</v>
      </c>
      <c r="R185" s="39">
        <f t="shared" si="660"/>
        <v>15.594693440000002</v>
      </c>
      <c r="S185" s="39">
        <f t="shared" si="660"/>
        <v>17.57870136</v>
      </c>
      <c r="T185" s="39">
        <f t="shared" si="660"/>
        <v>17.630586359999999</v>
      </c>
      <c r="U185" s="39">
        <f t="shared" si="660"/>
        <v>20.006836199999999</v>
      </c>
      <c r="V185" s="39">
        <f t="shared" si="660"/>
        <v>20.047559400000001</v>
      </c>
      <c r="W185" s="39">
        <f t="shared" si="660"/>
        <v>21.673099499999999</v>
      </c>
      <c r="X185" s="39">
        <f t="shared" si="660"/>
        <v>21.691901400000003</v>
      </c>
      <c r="Y185" s="39">
        <f t="shared" si="660"/>
        <v>21.628787310000003</v>
      </c>
      <c r="Z185" s="39">
        <f t="shared" si="660"/>
        <v>22.16481306</v>
      </c>
      <c r="AA185" s="39">
        <f t="shared" si="660"/>
        <v>22.535872319999999</v>
      </c>
      <c r="AB185" s="24">
        <f t="shared" ca="1" si="660"/>
        <v>23.723154359604553</v>
      </c>
      <c r="AC185" s="24">
        <f t="shared" ca="1" si="660"/>
        <v>23.755272574511146</v>
      </c>
      <c r="AD185" s="24">
        <f t="shared" ca="1" si="660"/>
        <v>23.787978194045667</v>
      </c>
      <c r="AE185" s="24">
        <f t="shared" ca="1" si="660"/>
        <v>23.821071012359056</v>
      </c>
      <c r="AF185" s="383">
        <f ca="1">0.6*SUM(AF181:AI181)/4</f>
        <v>24.918893641860041</v>
      </c>
      <c r="AG185" s="24">
        <f ca="1">+AG187*AG383</f>
        <v>24.9547905048667</v>
      </c>
      <c r="AH185" s="24">
        <f ca="1">+AH187*AH383</f>
        <v>24.991671244943198</v>
      </c>
      <c r="AI185" s="24">
        <f ca="1">+AI187*AI383</f>
        <v>25.029333484315874</v>
      </c>
      <c r="AJ185" s="383">
        <f ca="1">0.55*SUM(AJ181:AM181)/4</f>
        <v>25.624106281987352</v>
      </c>
      <c r="AK185" s="24">
        <f ca="1">+AK187*AK383</f>
        <v>25.664119692700925</v>
      </c>
      <c r="AL185" s="24">
        <f ca="1">+AL187*AL383</f>
        <v>25.705182338240043</v>
      </c>
      <c r="AM185" s="24">
        <f ca="1">+AM187*AM383</f>
        <v>25.747099713897221</v>
      </c>
      <c r="AN185" s="383">
        <f ca="1">0.55*SUM(AN181:AQ181)/4</f>
        <v>28.962645539193055</v>
      </c>
      <c r="AO185" s="24">
        <f ca="1">+AO187*AO383</f>
        <v>29.01156391983525</v>
      </c>
      <c r="AP185" s="24">
        <f ca="1">+AP187*AP383</f>
        <v>29.06175592973587</v>
      </c>
      <c r="AQ185" s="24">
        <f ca="1">+AQ187*AQ383</f>
        <v>29.112983422964689</v>
      </c>
      <c r="AR185" s="383">
        <f ca="1">0.55*SUM(AR181:AU181)/4</f>
        <v>33.989690829125315</v>
      </c>
      <c r="AS185" s="24">
        <f ca="1">+AS187*AS383</f>
        <v>34.051697702352499</v>
      </c>
      <c r="AT185" s="24">
        <f ca="1">+AT187*AT383</f>
        <v>41.679333776230941</v>
      </c>
      <c r="AU185" s="24">
        <f ca="1">+AU187*AU383</f>
        <v>45.952582913246339</v>
      </c>
      <c r="AV185" s="383">
        <f ca="1">0.55*SUM(AV181:AY181)/4</f>
        <v>39.307512154068917</v>
      </c>
      <c r="AW185" s="24">
        <f ca="1">+AW187*AW383</f>
        <v>39.365020639215409</v>
      </c>
      <c r="AX185" s="24">
        <f ca="1">+AX187*AX383</f>
        <v>39.42397328608569</v>
      </c>
      <c r="AY185" s="24">
        <f ca="1">+AY187*AY383</f>
        <v>39.484084624744874</v>
      </c>
      <c r="BA185" s="4"/>
      <c r="BB185" s="4"/>
      <c r="BC185" s="4"/>
      <c r="BD185" s="4">
        <f>+SUM(H185:K185)</f>
        <v>8.8306115999999992</v>
      </c>
      <c r="BE185" s="4">
        <f>+SUM(L185:O185)</f>
        <v>43.05787934</v>
      </c>
      <c r="BF185" s="4">
        <f>+SUM(P185:S185)</f>
        <v>60.8763644</v>
      </c>
      <c r="BG185" s="4">
        <f>+SUM(T185:W185)</f>
        <v>79.358081459999994</v>
      </c>
      <c r="BH185" s="4">
        <f>+SUM(X185:AA185)</f>
        <v>88.021374090000009</v>
      </c>
      <c r="BI185" s="4">
        <f ca="1">+SUM(AB185:AE185)</f>
        <v>95.087476140520423</v>
      </c>
      <c r="BJ185" s="4">
        <f ca="1">+SUM(AF185:AI185)</f>
        <v>99.894688875985807</v>
      </c>
      <c r="BK185" s="4">
        <f ca="1">+SUM(AJ185:AM185)</f>
        <v>102.74050802682555</v>
      </c>
      <c r="BL185" s="4">
        <f ca="1">+SUM(AN185:AQ185)</f>
        <v>116.14894881172886</v>
      </c>
      <c r="BM185" s="4">
        <f ca="1">+SUM(AR185:AU185)</f>
        <v>155.67330522095511</v>
      </c>
      <c r="BN185" s="4">
        <f ca="1">+SUM(AV185:AY185)</f>
        <v>157.58059070411488</v>
      </c>
    </row>
    <row r="186" spans="1:75" s="58" customFormat="1">
      <c r="B186" s="309" t="s">
        <v>178</v>
      </c>
      <c r="D186" s="306"/>
      <c r="E186" s="306"/>
      <c r="F186" s="310"/>
      <c r="G186" s="306"/>
      <c r="H186" s="310"/>
      <c r="I186" s="310"/>
      <c r="J186" s="310"/>
      <c r="K186" s="306">
        <f t="shared" ref="K186:S186" si="661">+K185/K181</f>
        <v>0.54202133562484656</v>
      </c>
      <c r="L186" s="306">
        <f t="shared" si="661"/>
        <v>0.60344702007669748</v>
      </c>
      <c r="M186" s="306">
        <f t="shared" si="661"/>
        <v>0.57611115795661028</v>
      </c>
      <c r="N186" s="306">
        <f t="shared" si="661"/>
        <v>0.83908016847826083</v>
      </c>
      <c r="O186" s="306">
        <f t="shared" si="661"/>
        <v>0.54655940719687357</v>
      </c>
      <c r="P186" s="306">
        <f t="shared" si="661"/>
        <v>0.6624899028642588</v>
      </c>
      <c r="Q186" s="306">
        <f t="shared" si="661"/>
        <v>0.64769695116467307</v>
      </c>
      <c r="R186" s="306">
        <f t="shared" si="661"/>
        <v>0.52560476710481963</v>
      </c>
      <c r="S186" s="306">
        <f t="shared" si="661"/>
        <v>0.63135083719426777</v>
      </c>
      <c r="T186" s="306">
        <f t="shared" ref="T186:Y186" si="662">+T185/T181</f>
        <v>0.58466544055712144</v>
      </c>
      <c r="U186" s="306">
        <f t="shared" si="662"/>
        <v>0.5781153003727566</v>
      </c>
      <c r="V186" s="306">
        <f t="shared" si="662"/>
        <v>0.57414896468768817</v>
      </c>
      <c r="W186" s="306">
        <f t="shared" si="662"/>
        <v>0.62930021777003486</v>
      </c>
      <c r="X186" s="306">
        <f t="shared" si="662"/>
        <v>0.59757304132231392</v>
      </c>
      <c r="Y186" s="306">
        <f t="shared" si="662"/>
        <v>0.58921181513566534</v>
      </c>
      <c r="Z186" s="306">
        <f t="shared" ref="Z186:AA186" si="663">+Z185/Z181</f>
        <v>0.59722504405464416</v>
      </c>
      <c r="AA186" s="306">
        <f t="shared" si="663"/>
        <v>0.54733259629863529</v>
      </c>
      <c r="AB186" s="306">
        <f ca="1">+AB185/AB181</f>
        <v>0.62061397223803316</v>
      </c>
      <c r="AC186" s="306">
        <f t="shared" ref="AC186:AD186" ca="1" si="664">+AC185/AC181</f>
        <v>0.64594608355124439</v>
      </c>
      <c r="AD186" s="306">
        <f t="shared" ca="1" si="664"/>
        <v>0.63425933437268345</v>
      </c>
      <c r="AE186" s="306">
        <f t="shared" ref="AE186:AY186" ca="1" si="665">+AE185/AE181</f>
        <v>0.60601996496940758</v>
      </c>
      <c r="AF186" s="306">
        <f t="shared" ca="1" si="665"/>
        <v>0.61806322434925398</v>
      </c>
      <c r="AG186" s="306">
        <f t="shared" ca="1" si="665"/>
        <v>0.62611503336899821</v>
      </c>
      <c r="AH186" s="306">
        <f t="shared" ca="1" si="665"/>
        <v>0.60306312134179652</v>
      </c>
      <c r="AI186" s="306">
        <f t="shared" ca="1" si="665"/>
        <v>0.56232463109589814</v>
      </c>
      <c r="AJ186" s="306">
        <f t="shared" ref="AJ186" ca="1" si="666">+AJ185/AJ181</f>
        <v>0.56743454436888274</v>
      </c>
      <c r="AK186" s="306">
        <f t="shared" ca="1" si="665"/>
        <v>0.57389388104618266</v>
      </c>
      <c r="AL186" s="306">
        <f t="shared" ca="1" si="665"/>
        <v>0.55276179763790201</v>
      </c>
      <c r="AM186" s="306">
        <f t="shared" ca="1" si="665"/>
        <v>0.51518043322985863</v>
      </c>
      <c r="AN186" s="306">
        <f t="shared" ref="AN186" ca="1" si="667">+AN185/AN181</f>
        <v>0.56869962427242737</v>
      </c>
      <c r="AO186" s="306">
        <f t="shared" ca="1" si="665"/>
        <v>0.57347946929483151</v>
      </c>
      <c r="AP186" s="306">
        <f t="shared" ca="1" si="665"/>
        <v>0.55217718731253351</v>
      </c>
      <c r="AQ186" s="306">
        <f t="shared" ca="1" si="665"/>
        <v>0.51536805369229099</v>
      </c>
      <c r="AR186" s="306">
        <f t="shared" ref="AR186" ca="1" si="668">+AR185/AR181</f>
        <v>0.59120778261295082</v>
      </c>
      <c r="AS186" s="306">
        <f t="shared" ca="1" si="665"/>
        <v>0.58677231183978151</v>
      </c>
      <c r="AT186" s="306">
        <f t="shared" ca="1" si="665"/>
        <v>0.65676685553614089</v>
      </c>
      <c r="AU186" s="306">
        <f t="shared" ca="1" si="665"/>
        <v>0.67367106127066967</v>
      </c>
      <c r="AV186" s="306">
        <f t="shared" ref="AV186" ca="1" si="669">+AV185/AV181</f>
        <v>0.56786145741321803</v>
      </c>
      <c r="AW186" s="306">
        <f t="shared" ca="1" si="665"/>
        <v>0.57086541602653307</v>
      </c>
      <c r="AX186" s="306">
        <f t="shared" ca="1" si="665"/>
        <v>0.55126895110675411</v>
      </c>
      <c r="AY186" s="306">
        <f t="shared" ca="1" si="665"/>
        <v>0.51829397357450546</v>
      </c>
      <c r="AZ186" s="314"/>
      <c r="BA186" s="306"/>
      <c r="BB186" s="306"/>
      <c r="BC186" s="306"/>
      <c r="BD186" s="306">
        <f t="shared" ref="BD186:BK186" si="670">+BD185/BD181</f>
        <v>0.18646898241020335</v>
      </c>
      <c r="BE186" s="306">
        <f t="shared" si="670"/>
        <v>0.62376507467875819</v>
      </c>
      <c r="BF186" s="306">
        <f t="shared" si="670"/>
        <v>0.60982473904593981</v>
      </c>
      <c r="BG186" s="306">
        <f t="shared" si="670"/>
        <v>0.59169902444843736</v>
      </c>
      <c r="BH186" s="306">
        <f t="shared" si="670"/>
        <v>0.58178640463994191</v>
      </c>
      <c r="BI186" s="306">
        <f t="shared" ca="1" si="670"/>
        <v>0.62634290373525559</v>
      </c>
      <c r="BJ186" s="306">
        <f t="shared" ca="1" si="670"/>
        <v>0.60131896490888481</v>
      </c>
      <c r="BK186" s="306">
        <f t="shared" ca="1" si="670"/>
        <v>0.5513097587961171</v>
      </c>
      <c r="BL186" s="306">
        <f t="shared" ref="BL186:BN186" ca="1" si="671">+BL185/BL181</f>
        <v>0.55141649404924087</v>
      </c>
      <c r="BM186" s="306">
        <f t="shared" ca="1" si="671"/>
        <v>0.62975210852873065</v>
      </c>
      <c r="BN186" s="306">
        <f t="shared" ca="1" si="671"/>
        <v>0.55122621693504725</v>
      </c>
      <c r="BO186" s="314"/>
      <c r="BQ186" s="312"/>
      <c r="BR186"/>
      <c r="BS186"/>
      <c r="BT186"/>
      <c r="BU186"/>
      <c r="BV186"/>
      <c r="BW186"/>
    </row>
    <row r="187" spans="1:75" s="22" customFormat="1">
      <c r="B187" s="22" t="s">
        <v>217</v>
      </c>
      <c r="D187" s="25"/>
      <c r="E187" s="25"/>
      <c r="F187" s="25"/>
      <c r="G187" s="25"/>
      <c r="H187" s="25"/>
      <c r="I187" s="25"/>
      <c r="J187" s="25"/>
      <c r="K187" s="246">
        <v>0.24</v>
      </c>
      <c r="L187" s="246">
        <v>0.28999999999999998</v>
      </c>
      <c r="M187" s="246">
        <v>0.28999999999999998</v>
      </c>
      <c r="N187" s="246">
        <v>0.28999999999999998</v>
      </c>
      <c r="O187" s="246">
        <v>0.28999999999999998</v>
      </c>
      <c r="P187" s="246">
        <v>0.32</v>
      </c>
      <c r="Q187" s="246">
        <v>0.32</v>
      </c>
      <c r="R187" s="246">
        <v>0.32</v>
      </c>
      <c r="S187" s="246">
        <v>0.36</v>
      </c>
      <c r="T187" s="246">
        <v>0.36</v>
      </c>
      <c r="U187" s="246">
        <v>0.36</v>
      </c>
      <c r="V187" s="246">
        <v>0.36</v>
      </c>
      <c r="W187" s="246">
        <v>0.39</v>
      </c>
      <c r="X187" s="246">
        <v>0.39</v>
      </c>
      <c r="Y187" s="246">
        <v>0.39</v>
      </c>
      <c r="Z187" s="246">
        <v>0.39</v>
      </c>
      <c r="AA187" s="246">
        <v>0.39</v>
      </c>
      <c r="AB187" s="246">
        <v>0.41</v>
      </c>
      <c r="AC187" s="247">
        <f>+AB187</f>
        <v>0.41</v>
      </c>
      <c r="AD187" s="247">
        <f>+AC187</f>
        <v>0.41</v>
      </c>
      <c r="AE187" s="247">
        <f t="shared" ref="AE187:AY187" si="672">+AD187</f>
        <v>0.41</v>
      </c>
      <c r="AF187" s="384">
        <f ca="1">+AF185/AF132</f>
        <v>0.42829505205688612</v>
      </c>
      <c r="AG187" s="247">
        <f t="shared" ca="1" si="672"/>
        <v>0.42829505205688612</v>
      </c>
      <c r="AH187" s="247">
        <f t="shared" ca="1" si="672"/>
        <v>0.42829505205688612</v>
      </c>
      <c r="AI187" s="247">
        <f t="shared" ca="1" si="672"/>
        <v>0.42829505205688612</v>
      </c>
      <c r="AJ187" s="384">
        <f ca="1">+AJ185/AJ132</f>
        <v>0.43780543552985851</v>
      </c>
      <c r="AK187" s="247">
        <f t="shared" ca="1" si="672"/>
        <v>0.43780543552985851</v>
      </c>
      <c r="AL187" s="247">
        <f t="shared" ca="1" si="672"/>
        <v>0.43780543552985851</v>
      </c>
      <c r="AM187" s="247">
        <f t="shared" ca="1" si="672"/>
        <v>0.43780543552985851</v>
      </c>
      <c r="AN187" s="384">
        <f ca="1">+AN185/AN132</f>
        <v>0.4916720758292239</v>
      </c>
      <c r="AO187" s="247">
        <f t="shared" ca="1" si="672"/>
        <v>0.4916720758292239</v>
      </c>
      <c r="AP187" s="247">
        <f t="shared" ca="1" si="672"/>
        <v>0.4916720758292239</v>
      </c>
      <c r="AQ187" s="247">
        <f t="shared" ca="1" si="672"/>
        <v>0.4916720758292239</v>
      </c>
      <c r="AR187" s="384">
        <f ca="1">+AR185/AR132</f>
        <v>0.57301094531616548</v>
      </c>
      <c r="AS187" s="247">
        <f t="shared" ca="1" si="672"/>
        <v>0.57301094531616548</v>
      </c>
      <c r="AT187" s="247">
        <f t="shared" ca="1" si="672"/>
        <v>0.57301094531616548</v>
      </c>
      <c r="AU187" s="247">
        <f t="shared" ca="1" si="672"/>
        <v>0.57301094531616548</v>
      </c>
      <c r="AV187" s="384">
        <f ca="1">+AV185/AV132</f>
        <v>0.48944997886311759</v>
      </c>
      <c r="AW187" s="247">
        <f t="shared" ca="1" si="672"/>
        <v>0.48944997886311759</v>
      </c>
      <c r="AX187" s="247">
        <f t="shared" ca="1" si="672"/>
        <v>0.48944997886311759</v>
      </c>
      <c r="AY187" s="247">
        <f t="shared" ca="1" si="672"/>
        <v>0.48944997886311759</v>
      </c>
      <c r="BA187" s="67"/>
      <c r="BB187" s="67"/>
      <c r="BC187" s="67"/>
      <c r="BD187" s="81">
        <f t="shared" ref="BD187:BN187" si="673">+BD185/BD383</f>
        <v>0.23999999999999996</v>
      </c>
      <c r="BE187" s="81">
        <f t="shared" si="673"/>
        <v>1.1595271002315937</v>
      </c>
      <c r="BF187" s="81">
        <f t="shared" si="673"/>
        <v>1.246707065282324</v>
      </c>
      <c r="BG187" s="81">
        <f t="shared" si="673"/>
        <v>1.4280214867005985</v>
      </c>
      <c r="BH187" s="81">
        <f t="shared" si="673"/>
        <v>1.5232752212850664</v>
      </c>
      <c r="BI187" s="81">
        <f t="shared" ca="1" si="673"/>
        <v>1.636612610633098</v>
      </c>
      <c r="BJ187" s="81">
        <f t="shared" ca="1" si="673"/>
        <v>1.7093703673394565</v>
      </c>
      <c r="BK187" s="81">
        <f t="shared" ca="1" si="673"/>
        <v>1.7470065895990898</v>
      </c>
      <c r="BL187" s="81">
        <f t="shared" ca="1" si="673"/>
        <v>1.9615713696521435</v>
      </c>
      <c r="BM187" s="81">
        <f t="shared" ca="1" si="673"/>
        <v>1.9411859384173558</v>
      </c>
      <c r="BN187" s="81">
        <f t="shared" ca="1" si="673"/>
        <v>1.9533900183424848</v>
      </c>
      <c r="BQ187" s="230"/>
      <c r="BR187"/>
      <c r="BS187"/>
      <c r="BT187"/>
      <c r="BU187"/>
      <c r="BV187"/>
      <c r="BW187"/>
    </row>
    <row r="188" spans="1:75">
      <c r="G188" s="22"/>
      <c r="AB188" s="4"/>
      <c r="AC188" s="4"/>
      <c r="AD188" s="4"/>
      <c r="AE188" s="4"/>
      <c r="AF188" s="224"/>
      <c r="AG188" s="224"/>
      <c r="AH188" s="224"/>
      <c r="AI188" s="224"/>
      <c r="AJ188" s="224"/>
      <c r="AK188" s="224"/>
      <c r="AL188" s="224"/>
      <c r="AM188" s="224"/>
      <c r="AN188" s="224"/>
      <c r="AO188" s="224"/>
      <c r="AP188" s="224"/>
      <c r="AQ188" s="224"/>
      <c r="AR188" s="224"/>
      <c r="AS188" s="224"/>
      <c r="AT188" s="224"/>
      <c r="AU188" s="224"/>
      <c r="AV188" s="224"/>
      <c r="AW188" s="224"/>
      <c r="AX188" s="224"/>
      <c r="AY188" s="224"/>
      <c r="BA188" s="4"/>
      <c r="BB188" s="4"/>
      <c r="BC188" s="4"/>
      <c r="BD188" s="4"/>
      <c r="BE188" s="4"/>
      <c r="BF188" s="4"/>
      <c r="BG188" s="4"/>
      <c r="BH188" s="4"/>
      <c r="BI188" s="4"/>
      <c r="BJ188" s="306"/>
      <c r="BK188" s="306"/>
      <c r="BL188" s="306"/>
      <c r="BM188" s="306"/>
      <c r="BN188" s="306"/>
    </row>
    <row r="189" spans="1:75">
      <c r="B189" s="9" t="s">
        <v>109</v>
      </c>
      <c r="G189" s="22"/>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BA189" s="24"/>
      <c r="BB189" s="24"/>
      <c r="BC189" s="24"/>
      <c r="BD189" s="24"/>
      <c r="BE189" s="24"/>
      <c r="BF189" s="24"/>
      <c r="BG189" s="24"/>
      <c r="BH189" s="24"/>
      <c r="BI189" s="24"/>
      <c r="BJ189" s="24"/>
      <c r="BK189" s="24"/>
      <c r="BL189" s="24"/>
      <c r="BM189" s="24"/>
      <c r="BN189" s="24"/>
    </row>
    <row r="190" spans="1:75">
      <c r="B190" t="s">
        <v>174</v>
      </c>
      <c r="D190" s="8"/>
      <c r="E190" s="8"/>
      <c r="F190" s="8">
        <f>+F158/F82</f>
        <v>6.6584545726936784E-2</v>
      </c>
      <c r="G190" s="25"/>
      <c r="H190" s="8">
        <f t="shared" ref="H190:AA190" si="674">+H158/H82</f>
        <v>6.8981837543631311E-2</v>
      </c>
      <c r="I190" s="8">
        <f t="shared" si="674"/>
        <v>6.3824281976827768E-2</v>
      </c>
      <c r="J190" s="8">
        <f t="shared" si="674"/>
        <v>5.3198563638781754E-2</v>
      </c>
      <c r="K190" s="8">
        <f t="shared" si="674"/>
        <v>5.1122130770410508E-2</v>
      </c>
      <c r="L190" s="8">
        <f t="shared" si="674"/>
        <v>4.92865768008083E-2</v>
      </c>
      <c r="M190" s="8">
        <f t="shared" si="674"/>
        <v>4.7657627603297906E-2</v>
      </c>
      <c r="N190" s="8">
        <f t="shared" si="674"/>
        <v>4.4006336912515404E-2</v>
      </c>
      <c r="O190" s="8">
        <f t="shared" si="674"/>
        <v>4.1967433271781096E-2</v>
      </c>
      <c r="P190" s="8">
        <f t="shared" si="674"/>
        <v>4.0540814464962605E-2</v>
      </c>
      <c r="Q190" s="8">
        <f t="shared" si="674"/>
        <v>3.8319314850650474E-2</v>
      </c>
      <c r="R190" s="8">
        <f t="shared" si="674"/>
        <v>3.1875557822261889E-2</v>
      </c>
      <c r="S190" s="8">
        <f t="shared" si="674"/>
        <v>3.0193236714975848E-2</v>
      </c>
      <c r="T190" s="8">
        <f t="shared" si="674"/>
        <v>2.9228655774120947E-2</v>
      </c>
      <c r="U190" s="8">
        <f t="shared" si="674"/>
        <v>2.7905678805636946E-2</v>
      </c>
      <c r="V190" s="8">
        <f t="shared" si="674"/>
        <v>2.5972339458476722E-2</v>
      </c>
      <c r="W190" s="8">
        <f t="shared" si="674"/>
        <v>2.5438172521686044E-2</v>
      </c>
      <c r="X190" s="8">
        <f t="shared" si="674"/>
        <v>2.5279017151813136E-2</v>
      </c>
      <c r="Y190" s="8">
        <f t="shared" si="674"/>
        <v>2.4754619830925945E-2</v>
      </c>
      <c r="Z190" s="8">
        <f t="shared" si="674"/>
        <v>2.3301604315457119E-2</v>
      </c>
      <c r="AA190" s="8">
        <f t="shared" si="674"/>
        <v>2.220297963986767E-2</v>
      </c>
      <c r="AB190" s="16">
        <f t="shared" ref="AB190:AM191" si="675">+AA190</f>
        <v>2.220297963986767E-2</v>
      </c>
      <c r="AC190" s="16">
        <f t="shared" si="675"/>
        <v>2.220297963986767E-2</v>
      </c>
      <c r="AD190" s="16">
        <f t="shared" si="675"/>
        <v>2.220297963986767E-2</v>
      </c>
      <c r="AE190" s="16">
        <f t="shared" si="675"/>
        <v>2.220297963986767E-2</v>
      </c>
      <c r="AF190" s="16">
        <f t="shared" si="675"/>
        <v>2.220297963986767E-2</v>
      </c>
      <c r="AG190" s="16">
        <f t="shared" si="675"/>
        <v>2.220297963986767E-2</v>
      </c>
      <c r="AH190" s="16">
        <f t="shared" si="675"/>
        <v>2.220297963986767E-2</v>
      </c>
      <c r="AI190" s="16">
        <f t="shared" si="675"/>
        <v>2.220297963986767E-2</v>
      </c>
      <c r="AJ190" s="16">
        <f t="shared" si="675"/>
        <v>2.220297963986767E-2</v>
      </c>
      <c r="AK190" s="16">
        <f t="shared" si="675"/>
        <v>2.220297963986767E-2</v>
      </c>
      <c r="AL190" s="16">
        <f t="shared" si="675"/>
        <v>2.220297963986767E-2</v>
      </c>
      <c r="AM190" s="16">
        <f t="shared" si="675"/>
        <v>2.220297963986767E-2</v>
      </c>
      <c r="AN190" s="16">
        <f t="shared" ref="AN190:AN192" si="676">+AM190</f>
        <v>2.220297963986767E-2</v>
      </c>
      <c r="AO190" s="16">
        <f t="shared" ref="AO190:AO192" si="677">+AN190</f>
        <v>2.220297963986767E-2</v>
      </c>
      <c r="AP190" s="16">
        <f t="shared" ref="AP190:AP192" si="678">+AO190</f>
        <v>2.220297963986767E-2</v>
      </c>
      <c r="AQ190" s="16">
        <f t="shared" ref="AQ190:AQ192" si="679">+AP190</f>
        <v>2.220297963986767E-2</v>
      </c>
      <c r="AR190" s="16">
        <f t="shared" ref="AR190:AR192" si="680">+AQ190</f>
        <v>2.220297963986767E-2</v>
      </c>
      <c r="AS190" s="16">
        <f t="shared" ref="AS190:AS192" si="681">+AR190</f>
        <v>2.220297963986767E-2</v>
      </c>
      <c r="AT190" s="16">
        <f t="shared" ref="AT190:AT192" si="682">+AS190</f>
        <v>2.220297963986767E-2</v>
      </c>
      <c r="AU190" s="16">
        <f t="shared" ref="AU190:AU192" si="683">+AT190</f>
        <v>2.220297963986767E-2</v>
      </c>
      <c r="AV190" s="16">
        <f t="shared" ref="AV190:AV192" si="684">+AU190</f>
        <v>2.220297963986767E-2</v>
      </c>
      <c r="AW190" s="16">
        <f t="shared" ref="AW190:AW192" si="685">+AV190</f>
        <v>2.220297963986767E-2</v>
      </c>
      <c r="AX190" s="16">
        <f t="shared" ref="AX190:AX192" si="686">+AW190</f>
        <v>2.220297963986767E-2</v>
      </c>
      <c r="AY190" s="16">
        <f t="shared" ref="AY190:AY192" si="687">+AX190</f>
        <v>2.220297963986767E-2</v>
      </c>
      <c r="BA190" s="25"/>
      <c r="BB190" s="25"/>
      <c r="BC190" s="25"/>
      <c r="BD190" s="25"/>
      <c r="BE190" s="25"/>
      <c r="BF190" s="25"/>
      <c r="BG190" s="25"/>
      <c r="BH190" s="25"/>
      <c r="BI190" s="25"/>
      <c r="BJ190" s="25"/>
      <c r="BK190" s="25"/>
      <c r="BL190" s="25"/>
      <c r="BM190" s="25"/>
      <c r="BN190" s="25"/>
    </row>
    <row r="191" spans="1:75">
      <c r="B191" t="s">
        <v>187</v>
      </c>
      <c r="D191" s="8"/>
      <c r="E191" s="8"/>
      <c r="F191" s="8">
        <f>+F159/F82</f>
        <v>0.18816792622432335</v>
      </c>
      <c r="G191" s="25"/>
      <c r="H191" s="8">
        <f t="shared" ref="H191:AA191" si="688">+H159/H82</f>
        <v>0.21224043069277646</v>
      </c>
      <c r="I191" s="8">
        <f t="shared" si="688"/>
        <v>0.22683494810683377</v>
      </c>
      <c r="J191" s="8">
        <f t="shared" si="688"/>
        <v>0.23223832956510174</v>
      </c>
      <c r="K191" s="8">
        <f t="shared" si="688"/>
        <v>0.24962936455191453</v>
      </c>
      <c r="L191" s="8">
        <f t="shared" si="688"/>
        <v>0.24308139678158655</v>
      </c>
      <c r="M191" s="8">
        <f t="shared" si="688"/>
        <v>0.24312538721822424</v>
      </c>
      <c r="N191" s="8">
        <f t="shared" si="688"/>
        <v>0.25514874141876431</v>
      </c>
      <c r="O191" s="8">
        <f t="shared" si="688"/>
        <v>0.25583347322477756</v>
      </c>
      <c r="P191" s="8">
        <f t="shared" si="688"/>
        <v>0.24936654977398495</v>
      </c>
      <c r="Q191" s="8">
        <f t="shared" si="688"/>
        <v>0.27446209261778398</v>
      </c>
      <c r="R191" s="8">
        <f t="shared" si="688"/>
        <v>0.30316843044753283</v>
      </c>
      <c r="S191" s="8">
        <f t="shared" si="688"/>
        <v>0.31061292270531404</v>
      </c>
      <c r="T191" s="8">
        <f t="shared" si="688"/>
        <v>0.33421506444918597</v>
      </c>
      <c r="U191" s="8">
        <f t="shared" si="688"/>
        <v>0.34057485698339612</v>
      </c>
      <c r="V191" s="8">
        <f t="shared" si="688"/>
        <v>0.34404259463671188</v>
      </c>
      <c r="W191" s="8">
        <f t="shared" si="688"/>
        <v>0.33963776042329119</v>
      </c>
      <c r="X191" s="8">
        <f t="shared" si="688"/>
        <v>0.34763704387173427</v>
      </c>
      <c r="Y191" s="8">
        <f t="shared" si="688"/>
        <v>0.34996843785971554</v>
      </c>
      <c r="Z191" s="8">
        <f t="shared" si="688"/>
        <v>0.34063450268550988</v>
      </c>
      <c r="AA191" s="8">
        <f t="shared" si="688"/>
        <v>0.33902839761095938</v>
      </c>
      <c r="AB191" s="341">
        <f>+AVERAGE(X191:AA191)</f>
        <v>0.34431709550697981</v>
      </c>
      <c r="AC191" s="325">
        <f t="shared" si="675"/>
        <v>0.34431709550697981</v>
      </c>
      <c r="AD191" s="325">
        <f t="shared" si="675"/>
        <v>0.34431709550697981</v>
      </c>
      <c r="AE191" s="325">
        <f t="shared" si="675"/>
        <v>0.34431709550697981</v>
      </c>
      <c r="AF191" s="341">
        <v>0.39500000000000002</v>
      </c>
      <c r="AG191" s="325">
        <f t="shared" si="675"/>
        <v>0.39500000000000002</v>
      </c>
      <c r="AH191" s="325">
        <f t="shared" si="675"/>
        <v>0.39500000000000002</v>
      </c>
      <c r="AI191" s="325">
        <f t="shared" si="675"/>
        <v>0.39500000000000002</v>
      </c>
      <c r="AJ191" s="325">
        <f t="shared" si="675"/>
        <v>0.39500000000000002</v>
      </c>
      <c r="AK191" s="325">
        <f t="shared" si="675"/>
        <v>0.39500000000000002</v>
      </c>
      <c r="AL191" s="325">
        <f t="shared" si="675"/>
        <v>0.39500000000000002</v>
      </c>
      <c r="AM191" s="325">
        <f t="shared" si="675"/>
        <v>0.39500000000000002</v>
      </c>
      <c r="AN191" s="325">
        <f t="shared" si="676"/>
        <v>0.39500000000000002</v>
      </c>
      <c r="AO191" s="325">
        <f t="shared" si="677"/>
        <v>0.39500000000000002</v>
      </c>
      <c r="AP191" s="325">
        <f t="shared" si="678"/>
        <v>0.39500000000000002</v>
      </c>
      <c r="AQ191" s="325">
        <f t="shared" si="679"/>
        <v>0.39500000000000002</v>
      </c>
      <c r="AR191" s="325">
        <f t="shared" si="680"/>
        <v>0.39500000000000002</v>
      </c>
      <c r="AS191" s="325">
        <f t="shared" si="681"/>
        <v>0.39500000000000002</v>
      </c>
      <c r="AT191" s="325">
        <f t="shared" si="682"/>
        <v>0.39500000000000002</v>
      </c>
      <c r="AU191" s="325">
        <f t="shared" si="683"/>
        <v>0.39500000000000002</v>
      </c>
      <c r="AV191" s="325">
        <f t="shared" si="684"/>
        <v>0.39500000000000002</v>
      </c>
      <c r="AW191" s="325">
        <f t="shared" si="685"/>
        <v>0.39500000000000002</v>
      </c>
      <c r="AX191" s="325">
        <f t="shared" si="686"/>
        <v>0.39500000000000002</v>
      </c>
      <c r="AY191" s="325">
        <f t="shared" si="687"/>
        <v>0.39500000000000002</v>
      </c>
      <c r="BA191" s="25"/>
      <c r="BB191" s="25"/>
      <c r="BC191" s="25"/>
      <c r="BD191" s="25"/>
      <c r="BE191" s="25"/>
      <c r="BF191" s="25"/>
      <c r="BG191" s="25"/>
      <c r="BH191" s="25"/>
      <c r="BI191" s="25"/>
      <c r="BJ191" s="25"/>
      <c r="BK191" s="25"/>
      <c r="BL191" s="25"/>
      <c r="BM191" s="25"/>
      <c r="BN191" s="25"/>
    </row>
    <row r="192" spans="1:75">
      <c r="B192" t="s">
        <v>175</v>
      </c>
      <c r="D192" s="8"/>
      <c r="E192" s="8"/>
      <c r="F192" s="8">
        <f>-F174/F102</f>
        <v>7.0329971247318698E-2</v>
      </c>
      <c r="G192" s="25"/>
      <c r="H192" s="8">
        <f t="shared" ref="H192:AA192" si="689">-H174/H102</f>
        <v>7.5836316741733079E-2</v>
      </c>
      <c r="I192" s="8">
        <f t="shared" si="689"/>
        <v>9.4341022027738614E-2</v>
      </c>
      <c r="J192" s="8">
        <f t="shared" si="689"/>
        <v>8.1076465967692357E-2</v>
      </c>
      <c r="K192" s="8">
        <f t="shared" si="689"/>
        <v>7.9122974261201143E-2</v>
      </c>
      <c r="L192" s="8">
        <f t="shared" si="689"/>
        <v>7.1392292552853773E-2</v>
      </c>
      <c r="M192" s="8">
        <f t="shared" si="689"/>
        <v>8.4265827669110449E-2</v>
      </c>
      <c r="N192" s="8">
        <f t="shared" si="689"/>
        <v>0.15237989999723747</v>
      </c>
      <c r="O192" s="8">
        <f t="shared" si="689"/>
        <v>9.0913663455976665E-2</v>
      </c>
      <c r="P192" s="8">
        <f t="shared" si="689"/>
        <v>7.6026130901023045E-2</v>
      </c>
      <c r="Q192" s="8">
        <f t="shared" si="689"/>
        <v>8.4775396754236509E-2</v>
      </c>
      <c r="R192" s="8">
        <f t="shared" si="689"/>
        <v>5.3183016830964727E-2</v>
      </c>
      <c r="S192" s="8">
        <f t="shared" si="689"/>
        <v>5.4698457223001401E-2</v>
      </c>
      <c r="T192" s="8">
        <f t="shared" si="689"/>
        <v>9.4812807157901621E-2</v>
      </c>
      <c r="U192" s="8">
        <f t="shared" si="689"/>
        <v>5.2920135580512631E-2</v>
      </c>
      <c r="V192" s="8">
        <f t="shared" si="689"/>
        <v>6.8130813638544535E-2</v>
      </c>
      <c r="W192" s="8">
        <f t="shared" si="689"/>
        <v>7.674667937339924E-2</v>
      </c>
      <c r="X192" s="8">
        <f t="shared" si="689"/>
        <v>6.1858270520505645E-2</v>
      </c>
      <c r="Y192" s="8">
        <f t="shared" si="689"/>
        <v>5.956577942299783E-2</v>
      </c>
      <c r="Z192" s="8">
        <f t="shared" si="689"/>
        <v>7.8862751734642078E-2</v>
      </c>
      <c r="AA192" s="8">
        <f t="shared" si="689"/>
        <v>8.402924148235108E-2</v>
      </c>
      <c r="AB192" s="16">
        <f t="shared" ref="AB192:AM192" si="690">+AA192</f>
        <v>8.402924148235108E-2</v>
      </c>
      <c r="AC192" s="16">
        <f t="shared" si="690"/>
        <v>8.402924148235108E-2</v>
      </c>
      <c r="AD192" s="16">
        <f t="shared" si="690"/>
        <v>8.402924148235108E-2</v>
      </c>
      <c r="AE192" s="16">
        <f t="shared" si="690"/>
        <v>8.402924148235108E-2</v>
      </c>
      <c r="AF192" s="16">
        <f t="shared" si="690"/>
        <v>8.402924148235108E-2</v>
      </c>
      <c r="AG192" s="16">
        <f t="shared" si="690"/>
        <v>8.402924148235108E-2</v>
      </c>
      <c r="AH192" s="16">
        <f t="shared" si="690"/>
        <v>8.402924148235108E-2</v>
      </c>
      <c r="AI192" s="16">
        <f t="shared" si="690"/>
        <v>8.402924148235108E-2</v>
      </c>
      <c r="AJ192" s="16">
        <f t="shared" si="690"/>
        <v>8.402924148235108E-2</v>
      </c>
      <c r="AK192" s="16">
        <f t="shared" si="690"/>
        <v>8.402924148235108E-2</v>
      </c>
      <c r="AL192" s="16">
        <f t="shared" si="690"/>
        <v>8.402924148235108E-2</v>
      </c>
      <c r="AM192" s="16">
        <f t="shared" si="690"/>
        <v>8.402924148235108E-2</v>
      </c>
      <c r="AN192" s="16">
        <f t="shared" si="676"/>
        <v>8.402924148235108E-2</v>
      </c>
      <c r="AO192" s="16">
        <f t="shared" si="677"/>
        <v>8.402924148235108E-2</v>
      </c>
      <c r="AP192" s="16">
        <f t="shared" si="678"/>
        <v>8.402924148235108E-2</v>
      </c>
      <c r="AQ192" s="16">
        <f t="shared" si="679"/>
        <v>8.402924148235108E-2</v>
      </c>
      <c r="AR192" s="16">
        <f t="shared" si="680"/>
        <v>8.402924148235108E-2</v>
      </c>
      <c r="AS192" s="16">
        <f t="shared" si="681"/>
        <v>8.402924148235108E-2</v>
      </c>
      <c r="AT192" s="16">
        <f t="shared" si="682"/>
        <v>8.402924148235108E-2</v>
      </c>
      <c r="AU192" s="16">
        <f t="shared" si="683"/>
        <v>8.402924148235108E-2</v>
      </c>
      <c r="AV192" s="16">
        <f t="shared" si="684"/>
        <v>8.402924148235108E-2</v>
      </c>
      <c r="AW192" s="16">
        <f t="shared" si="685"/>
        <v>8.402924148235108E-2</v>
      </c>
      <c r="AX192" s="16">
        <f t="shared" si="686"/>
        <v>8.402924148235108E-2</v>
      </c>
      <c r="AY192" s="16">
        <f t="shared" si="687"/>
        <v>8.402924148235108E-2</v>
      </c>
      <c r="BA192" s="25"/>
      <c r="BB192" s="25"/>
      <c r="BC192" s="25"/>
      <c r="BD192" s="25"/>
      <c r="BE192" s="25"/>
      <c r="BF192" s="25"/>
      <c r="BG192" s="25"/>
      <c r="BH192" s="25"/>
      <c r="BI192" s="25"/>
      <c r="BJ192" s="25"/>
      <c r="BK192" s="25"/>
      <c r="BL192" s="25"/>
      <c r="BM192" s="25"/>
      <c r="BN192" s="25"/>
    </row>
    <row r="193" spans="1:75">
      <c r="B193" t="s">
        <v>182</v>
      </c>
      <c r="D193" s="8"/>
      <c r="E193" s="8"/>
      <c r="F193" s="8">
        <f>+F176/F86</f>
        <v>2.8741656093120762E-2</v>
      </c>
      <c r="G193" s="25"/>
      <c r="H193" s="8">
        <f t="shared" ref="H193:AA193" si="691">+H176/H86</f>
        <v>3.1519591305605089E-2</v>
      </c>
      <c r="I193" s="8">
        <f t="shared" si="691"/>
        <v>2.6455519329296687E-2</v>
      </c>
      <c r="J193" s="8">
        <f t="shared" si="691"/>
        <v>3.0551933941764448E-2</v>
      </c>
      <c r="K193" s="8">
        <f t="shared" si="691"/>
        <v>2.9412384827847939E-2</v>
      </c>
      <c r="L193" s="8">
        <f t="shared" si="691"/>
        <v>2.8236928672128798E-2</v>
      </c>
      <c r="M193" s="8">
        <f t="shared" si="691"/>
        <v>3.1477657875258101E-2</v>
      </c>
      <c r="N193" s="8">
        <f t="shared" si="691"/>
        <v>2.781948399344206E-2</v>
      </c>
      <c r="O193" s="8">
        <f t="shared" si="691"/>
        <v>3.0505515168812856E-2</v>
      </c>
      <c r="P193" s="8">
        <f t="shared" si="691"/>
        <v>3.1619587528100866E-2</v>
      </c>
      <c r="Q193" s="8">
        <f t="shared" si="691"/>
        <v>2.4692807962769937E-2</v>
      </c>
      <c r="R193" s="8">
        <f t="shared" si="691"/>
        <v>3.8958263021712229E-2</v>
      </c>
      <c r="S193" s="8">
        <f t="shared" si="691"/>
        <v>4.7955550760599847E-2</v>
      </c>
      <c r="T193" s="8">
        <f t="shared" si="691"/>
        <v>3.9781360796893463E-2</v>
      </c>
      <c r="U193" s="8">
        <f t="shared" si="691"/>
        <v>3.9985003090579306E-2</v>
      </c>
      <c r="V193" s="8">
        <f t="shared" si="691"/>
        <v>4.0661093123278404E-2</v>
      </c>
      <c r="W193" s="8">
        <f t="shared" si="691"/>
        <v>4.163386853560691E-2</v>
      </c>
      <c r="X193" s="8">
        <f t="shared" si="691"/>
        <v>4.1929334490959182E-2</v>
      </c>
      <c r="Y193" s="8">
        <f t="shared" si="691"/>
        <v>3.9437089776393368E-2</v>
      </c>
      <c r="Z193" s="8">
        <f t="shared" si="691"/>
        <v>3.5783663100899206E-2</v>
      </c>
      <c r="AA193" s="8">
        <f t="shared" si="691"/>
        <v>3.8692803861711707E-2</v>
      </c>
      <c r="AB193" s="16"/>
      <c r="AC193" s="16"/>
      <c r="AD193" s="16"/>
      <c r="AE193" s="16"/>
      <c r="AF193" s="16"/>
      <c r="AG193" s="16"/>
      <c r="AH193" s="16"/>
      <c r="AI193" s="16"/>
      <c r="AJ193" s="16"/>
      <c r="AK193" s="16"/>
      <c r="AL193" s="16"/>
      <c r="AM193" s="16"/>
      <c r="AN193" s="16"/>
      <c r="AO193" s="16"/>
      <c r="AP193" s="16"/>
      <c r="AQ193" s="16"/>
      <c r="AR193" s="16"/>
      <c r="AS193" s="16"/>
      <c r="AT193" s="16"/>
      <c r="AU193" s="16"/>
      <c r="AV193" s="16"/>
      <c r="AW193" s="16"/>
      <c r="AX193" s="16"/>
      <c r="AY193" s="16"/>
      <c r="BA193" s="25"/>
      <c r="BB193" s="25"/>
      <c r="BC193" s="25"/>
      <c r="BD193" s="25"/>
      <c r="BE193" s="25"/>
      <c r="BF193" s="25"/>
      <c r="BG193" s="25"/>
      <c r="BH193" s="25"/>
      <c r="BI193" s="25"/>
      <c r="BJ193" s="25"/>
      <c r="BK193" s="25"/>
      <c r="BL193" s="25"/>
      <c r="BM193" s="25"/>
      <c r="BN193" s="25"/>
    </row>
    <row r="194" spans="1:75">
      <c r="B194" t="s">
        <v>176</v>
      </c>
      <c r="D194" s="8"/>
      <c r="E194" s="8"/>
      <c r="F194" s="8">
        <f>-F177/F82</f>
        <v>1.7644904617638247E-3</v>
      </c>
      <c r="G194" s="25"/>
      <c r="H194" s="8">
        <f t="shared" ref="H194:AA194" si="692">-H177/H82</f>
        <v>3.3721824528190267E-3</v>
      </c>
      <c r="I194" s="8">
        <f t="shared" si="692"/>
        <v>2.4437225081217835E-3</v>
      </c>
      <c r="J194" s="8">
        <f t="shared" si="692"/>
        <v>6.0912355366405111E-3</v>
      </c>
      <c r="K194" s="8">
        <f t="shared" si="692"/>
        <v>3.8085987423955828E-3</v>
      </c>
      <c r="L194" s="8">
        <f t="shared" si="692"/>
        <v>3.7457798368614307E-3</v>
      </c>
      <c r="M194" s="8">
        <f t="shared" si="692"/>
        <v>4.050898346280322E-3</v>
      </c>
      <c r="N194" s="8">
        <f t="shared" si="692"/>
        <v>2.1145044886463651E-2</v>
      </c>
      <c r="O194" s="8">
        <f t="shared" si="692"/>
        <v>7.742991438643613E-3</v>
      </c>
      <c r="P194" s="8">
        <f t="shared" si="692"/>
        <v>8.8378975533618467E-3</v>
      </c>
      <c r="Q194" s="8">
        <f t="shared" si="692"/>
        <v>2.6267890330120898E-2</v>
      </c>
      <c r="R194" s="8">
        <f t="shared" si="692"/>
        <v>2.3316970546984575E-2</v>
      </c>
      <c r="S194" s="8">
        <f t="shared" si="692"/>
        <v>3.6201690821256044E-2</v>
      </c>
      <c r="T194" s="8">
        <f t="shared" si="692"/>
        <v>2.3529067898167364E-2</v>
      </c>
      <c r="U194" s="8">
        <f t="shared" si="692"/>
        <v>4.524905818334031E-2</v>
      </c>
      <c r="V194" s="8">
        <f t="shared" si="692"/>
        <v>1.2427764430881111E-2</v>
      </c>
      <c r="W194" s="8">
        <f t="shared" si="692"/>
        <v>1.2515580880669532E-2</v>
      </c>
      <c r="X194" s="8">
        <f t="shared" si="692"/>
        <v>1.4244726165046703E-2</v>
      </c>
      <c r="Y194" s="8">
        <f t="shared" si="692"/>
        <v>7.8843464161499136E-3</v>
      </c>
      <c r="Z194" s="8">
        <f t="shared" si="692"/>
        <v>1.3386771679230115E-2</v>
      </c>
      <c r="AA194" s="8">
        <f t="shared" si="692"/>
        <v>2.2802460090144094E-2</v>
      </c>
      <c r="AB194" s="295">
        <f t="shared" ref="AB194:AM194" si="693">+AA194</f>
        <v>2.2802460090144094E-2</v>
      </c>
      <c r="AC194" s="295">
        <f t="shared" si="693"/>
        <v>2.2802460090144094E-2</v>
      </c>
      <c r="AD194" s="295">
        <f t="shared" si="693"/>
        <v>2.2802460090144094E-2</v>
      </c>
      <c r="AE194" s="295">
        <f t="shared" si="693"/>
        <v>2.2802460090144094E-2</v>
      </c>
      <c r="AF194" s="295">
        <f t="shared" si="693"/>
        <v>2.2802460090144094E-2</v>
      </c>
      <c r="AG194" s="295">
        <f t="shared" si="693"/>
        <v>2.2802460090144094E-2</v>
      </c>
      <c r="AH194" s="295">
        <f t="shared" si="693"/>
        <v>2.2802460090144094E-2</v>
      </c>
      <c r="AI194" s="295">
        <f t="shared" si="693"/>
        <v>2.2802460090144094E-2</v>
      </c>
      <c r="AJ194" s="295">
        <f t="shared" si="693"/>
        <v>2.2802460090144094E-2</v>
      </c>
      <c r="AK194" s="295">
        <f t="shared" si="693"/>
        <v>2.2802460090144094E-2</v>
      </c>
      <c r="AL194" s="295">
        <f t="shared" si="693"/>
        <v>2.2802460090144094E-2</v>
      </c>
      <c r="AM194" s="295">
        <f t="shared" si="693"/>
        <v>2.2802460090144094E-2</v>
      </c>
      <c r="AN194" s="295">
        <f t="shared" ref="AN194:AN196" si="694">+AM194</f>
        <v>2.2802460090144094E-2</v>
      </c>
      <c r="AO194" s="295">
        <f t="shared" ref="AO194:AO196" si="695">+AN194</f>
        <v>2.2802460090144094E-2</v>
      </c>
      <c r="AP194" s="295">
        <f t="shared" ref="AP194:AP196" si="696">+AO194</f>
        <v>2.2802460090144094E-2</v>
      </c>
      <c r="AQ194" s="295">
        <f t="shared" ref="AQ194:AQ196" si="697">+AP194</f>
        <v>2.2802460090144094E-2</v>
      </c>
      <c r="AR194" s="295">
        <f t="shared" ref="AR194:AR196" si="698">+AQ194</f>
        <v>2.2802460090144094E-2</v>
      </c>
      <c r="AS194" s="295">
        <f t="shared" ref="AS194:AS196" si="699">+AR194</f>
        <v>2.2802460090144094E-2</v>
      </c>
      <c r="AT194" s="295">
        <f t="shared" ref="AT194:AT196" si="700">+AS194</f>
        <v>2.2802460090144094E-2</v>
      </c>
      <c r="AU194" s="295">
        <f t="shared" ref="AU194:AU196" si="701">+AT194</f>
        <v>2.2802460090144094E-2</v>
      </c>
      <c r="AV194" s="295">
        <f t="shared" ref="AV194:AV196" si="702">+AU194</f>
        <v>2.2802460090144094E-2</v>
      </c>
      <c r="AW194" s="295">
        <f t="shared" ref="AW194:AW196" si="703">+AV194</f>
        <v>2.2802460090144094E-2</v>
      </c>
      <c r="AX194" s="295">
        <f t="shared" ref="AX194:AX196" si="704">+AW194</f>
        <v>2.2802460090144094E-2</v>
      </c>
      <c r="AY194" s="295">
        <f t="shared" ref="AY194:AY196" si="705">+AX194</f>
        <v>2.2802460090144094E-2</v>
      </c>
      <c r="BA194" s="25"/>
      <c r="BB194" s="25"/>
      <c r="BC194" s="25"/>
      <c r="BD194" s="25"/>
      <c r="BE194" s="25"/>
      <c r="BF194" s="25"/>
      <c r="BG194" s="25"/>
      <c r="BH194" s="25"/>
      <c r="BI194" s="25"/>
      <c r="BJ194" s="25"/>
      <c r="BK194" s="25"/>
      <c r="BL194" s="25"/>
      <c r="BM194" s="25"/>
      <c r="BN194" s="25"/>
    </row>
    <row r="195" spans="1:75">
      <c r="B195" t="s">
        <v>177</v>
      </c>
      <c r="D195" s="8"/>
      <c r="E195" s="8"/>
      <c r="F195" s="8">
        <f>+F178/F82</f>
        <v>2.5635050104870659E-3</v>
      </c>
      <c r="G195" s="25"/>
      <c r="H195" s="8">
        <f t="shared" ref="H195:AA195" si="706">+H178/H82</f>
        <v>2.2777021830444302E-3</v>
      </c>
      <c r="I195" s="8">
        <f t="shared" si="706"/>
        <v>2.4437225081217835E-3</v>
      </c>
      <c r="J195" s="8">
        <f t="shared" si="706"/>
        <v>2.2077403910094428E-3</v>
      </c>
      <c r="K195" s="8">
        <f t="shared" si="706"/>
        <v>2.0960073615868312E-3</v>
      </c>
      <c r="L195" s="8">
        <f t="shared" si="706"/>
        <v>1.8482466300303111E-3</v>
      </c>
      <c r="M195" s="8">
        <f t="shared" si="706"/>
        <v>1.7633322213220224E-3</v>
      </c>
      <c r="N195" s="8">
        <f t="shared" si="706"/>
        <v>1.5842281288505544E-3</v>
      </c>
      <c r="O195" s="8">
        <f t="shared" si="706"/>
        <v>1.4898438811482288E-3</v>
      </c>
      <c r="P195" s="8">
        <f t="shared" si="706"/>
        <v>1.4391989135061722E-3</v>
      </c>
      <c r="Q195" s="8">
        <f t="shared" si="706"/>
        <v>4.0426877167436251E-3</v>
      </c>
      <c r="R195" s="8">
        <f t="shared" si="706"/>
        <v>1.5682774448552851E-2</v>
      </c>
      <c r="S195" s="8">
        <f t="shared" si="706"/>
        <v>0</v>
      </c>
      <c r="T195" s="8">
        <f t="shared" si="706"/>
        <v>0</v>
      </c>
      <c r="U195" s="8">
        <f t="shared" si="706"/>
        <v>0</v>
      </c>
      <c r="V195" s="8">
        <f t="shared" si="706"/>
        <v>0</v>
      </c>
      <c r="W195" s="8">
        <f t="shared" si="706"/>
        <v>0</v>
      </c>
      <c r="X195" s="8">
        <f t="shared" si="706"/>
        <v>0</v>
      </c>
      <c r="Y195" s="8">
        <f t="shared" si="706"/>
        <v>0</v>
      </c>
      <c r="Z195" s="8">
        <f t="shared" si="706"/>
        <v>0</v>
      </c>
      <c r="AA195" s="8">
        <f t="shared" si="706"/>
        <v>0</v>
      </c>
      <c r="AB195" s="16">
        <f t="shared" ref="AB195:AM196" si="707">+AA195</f>
        <v>0</v>
      </c>
      <c r="AC195" s="16">
        <f t="shared" si="707"/>
        <v>0</v>
      </c>
      <c r="AD195" s="16">
        <f t="shared" si="707"/>
        <v>0</v>
      </c>
      <c r="AE195" s="16">
        <f t="shared" si="707"/>
        <v>0</v>
      </c>
      <c r="AF195" s="16">
        <f t="shared" si="707"/>
        <v>0</v>
      </c>
      <c r="AG195" s="16">
        <f t="shared" si="707"/>
        <v>0</v>
      </c>
      <c r="AH195" s="16">
        <f t="shared" si="707"/>
        <v>0</v>
      </c>
      <c r="AI195" s="16">
        <f t="shared" si="707"/>
        <v>0</v>
      </c>
      <c r="AJ195" s="16">
        <f t="shared" si="707"/>
        <v>0</v>
      </c>
      <c r="AK195" s="16">
        <f t="shared" si="707"/>
        <v>0</v>
      </c>
      <c r="AL195" s="16">
        <f t="shared" si="707"/>
        <v>0</v>
      </c>
      <c r="AM195" s="16">
        <f t="shared" si="707"/>
        <v>0</v>
      </c>
      <c r="AN195" s="16">
        <f t="shared" si="694"/>
        <v>0</v>
      </c>
      <c r="AO195" s="16">
        <f t="shared" si="695"/>
        <v>0</v>
      </c>
      <c r="AP195" s="16">
        <f t="shared" si="696"/>
        <v>0</v>
      </c>
      <c r="AQ195" s="16">
        <f t="shared" si="697"/>
        <v>0</v>
      </c>
      <c r="AR195" s="16">
        <f t="shared" si="698"/>
        <v>0</v>
      </c>
      <c r="AS195" s="16">
        <f t="shared" si="699"/>
        <v>0</v>
      </c>
      <c r="AT195" s="16">
        <f t="shared" si="700"/>
        <v>0</v>
      </c>
      <c r="AU195" s="16">
        <f t="shared" si="701"/>
        <v>0</v>
      </c>
      <c r="AV195" s="16">
        <f t="shared" si="702"/>
        <v>0</v>
      </c>
      <c r="AW195" s="16">
        <f t="shared" si="703"/>
        <v>0</v>
      </c>
      <c r="AX195" s="16">
        <f t="shared" si="704"/>
        <v>0</v>
      </c>
      <c r="AY195" s="16">
        <f t="shared" si="705"/>
        <v>0</v>
      </c>
      <c r="BA195" s="25"/>
      <c r="BB195" s="25"/>
      <c r="BC195" s="25"/>
      <c r="BD195" s="25"/>
      <c r="BE195" s="25"/>
      <c r="BF195" s="25"/>
      <c r="BG195" s="25"/>
      <c r="BH195" s="25"/>
      <c r="BI195" s="25"/>
      <c r="BJ195" s="25"/>
      <c r="BK195" s="25"/>
      <c r="BL195" s="25"/>
      <c r="BM195" s="25"/>
      <c r="BN195" s="25"/>
    </row>
    <row r="196" spans="1:75">
      <c r="B196" t="s">
        <v>179</v>
      </c>
      <c r="D196" s="8"/>
      <c r="E196" s="8"/>
      <c r="F196" s="8">
        <f>+F180/F86</f>
        <v>4.2202239752854856E-3</v>
      </c>
      <c r="G196" s="25"/>
      <c r="H196" s="8">
        <f t="shared" ref="H196:AA196" si="708">+H180/H86</f>
        <v>9.0365800761482481E-3</v>
      </c>
      <c r="I196" s="8">
        <f t="shared" si="708"/>
        <v>9.7810898928737764E-3</v>
      </c>
      <c r="J196" s="8">
        <f t="shared" si="708"/>
        <v>1.1082138200782268E-2</v>
      </c>
      <c r="K196" s="8">
        <f t="shared" si="708"/>
        <v>1.3810116173649033E-2</v>
      </c>
      <c r="L196" s="8">
        <f t="shared" si="708"/>
        <v>1.8613489160860593E-2</v>
      </c>
      <c r="M196" s="8">
        <f t="shared" si="708"/>
        <v>2.0744867349721457E-2</v>
      </c>
      <c r="N196" s="8">
        <f t="shared" si="708"/>
        <v>1.5963413581844853E-2</v>
      </c>
      <c r="O196" s="8">
        <f t="shared" si="708"/>
        <v>2.1019760589627789E-2</v>
      </c>
      <c r="P196" s="8">
        <f t="shared" si="708"/>
        <v>2.1291499690483169E-2</v>
      </c>
      <c r="Q196" s="8">
        <f t="shared" si="708"/>
        <v>2.6880220796570604E-2</v>
      </c>
      <c r="R196" s="8">
        <f t="shared" si="708"/>
        <v>2.3264709191135113E-2</v>
      </c>
      <c r="S196" s="8">
        <f t="shared" si="708"/>
        <v>1.8966447297443088E-2</v>
      </c>
      <c r="T196" s="8">
        <f t="shared" si="708"/>
        <v>2.163177443862907E-2</v>
      </c>
      <c r="U196" s="8">
        <f t="shared" si="708"/>
        <v>3.2425750098797203E-2</v>
      </c>
      <c r="V196" s="8">
        <f t="shared" si="708"/>
        <v>2.548687962112792E-2</v>
      </c>
      <c r="W196" s="8">
        <f t="shared" si="708"/>
        <v>2.5587284125072312E-2</v>
      </c>
      <c r="X196" s="8">
        <f t="shared" si="708"/>
        <v>2.9085349741421612E-2</v>
      </c>
      <c r="Y196" s="8">
        <f t="shared" si="708"/>
        <v>3.4597841806652582E-2</v>
      </c>
      <c r="Z196" s="8">
        <f t="shared" si="708"/>
        <v>3.2461082739282922E-2</v>
      </c>
      <c r="AA196" s="8">
        <f t="shared" si="708"/>
        <v>2.8222788472050526E-2</v>
      </c>
      <c r="AB196" s="16">
        <f t="shared" si="707"/>
        <v>2.8222788472050526E-2</v>
      </c>
      <c r="AC196" s="16">
        <f t="shared" si="707"/>
        <v>2.8222788472050526E-2</v>
      </c>
      <c r="AD196" s="16">
        <f t="shared" si="707"/>
        <v>2.8222788472050526E-2</v>
      </c>
      <c r="AE196" s="16">
        <f t="shared" si="707"/>
        <v>2.8222788472050526E-2</v>
      </c>
      <c r="AF196" s="16">
        <f t="shared" si="707"/>
        <v>2.8222788472050526E-2</v>
      </c>
      <c r="AG196" s="16">
        <f t="shared" si="707"/>
        <v>2.8222788472050526E-2</v>
      </c>
      <c r="AH196" s="16">
        <f t="shared" si="707"/>
        <v>2.8222788472050526E-2</v>
      </c>
      <c r="AI196" s="16">
        <f t="shared" si="707"/>
        <v>2.8222788472050526E-2</v>
      </c>
      <c r="AJ196" s="16">
        <f t="shared" si="707"/>
        <v>2.8222788472050526E-2</v>
      </c>
      <c r="AK196" s="16">
        <f t="shared" si="707"/>
        <v>2.8222788472050526E-2</v>
      </c>
      <c r="AL196" s="16">
        <f t="shared" si="707"/>
        <v>2.8222788472050526E-2</v>
      </c>
      <c r="AM196" s="16">
        <f t="shared" si="707"/>
        <v>2.8222788472050526E-2</v>
      </c>
      <c r="AN196" s="16">
        <f t="shared" si="694"/>
        <v>2.8222788472050526E-2</v>
      </c>
      <c r="AO196" s="16">
        <f t="shared" si="695"/>
        <v>2.8222788472050526E-2</v>
      </c>
      <c r="AP196" s="16">
        <f t="shared" si="696"/>
        <v>2.8222788472050526E-2</v>
      </c>
      <c r="AQ196" s="16">
        <f t="shared" si="697"/>
        <v>2.8222788472050526E-2</v>
      </c>
      <c r="AR196" s="16">
        <f t="shared" si="698"/>
        <v>2.8222788472050526E-2</v>
      </c>
      <c r="AS196" s="16">
        <f t="shared" si="699"/>
        <v>2.8222788472050526E-2</v>
      </c>
      <c r="AT196" s="16">
        <f t="shared" si="700"/>
        <v>2.8222788472050526E-2</v>
      </c>
      <c r="AU196" s="16">
        <f t="shared" si="701"/>
        <v>2.8222788472050526E-2</v>
      </c>
      <c r="AV196" s="16">
        <f t="shared" si="702"/>
        <v>2.8222788472050526E-2</v>
      </c>
      <c r="AW196" s="16">
        <f t="shared" si="703"/>
        <v>2.8222788472050526E-2</v>
      </c>
      <c r="AX196" s="16">
        <f t="shared" si="704"/>
        <v>2.8222788472050526E-2</v>
      </c>
      <c r="AY196" s="16">
        <f t="shared" si="705"/>
        <v>2.8222788472050526E-2</v>
      </c>
      <c r="BA196" s="25"/>
      <c r="BB196" s="25"/>
      <c r="BC196" s="25"/>
      <c r="BD196" s="25"/>
      <c r="BE196" s="25"/>
      <c r="BF196" s="25"/>
      <c r="BG196" s="25"/>
      <c r="BH196" s="25"/>
      <c r="BI196" s="25"/>
      <c r="BJ196" s="25"/>
      <c r="BK196" s="25"/>
      <c r="BL196" s="25"/>
      <c r="BM196" s="25"/>
      <c r="BN196" s="25"/>
    </row>
    <row r="197" spans="1:75">
      <c r="G197" s="22"/>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BA197" s="4"/>
      <c r="BB197" s="4"/>
      <c r="BC197" s="4"/>
      <c r="BD197" s="4"/>
      <c r="BE197" s="4"/>
      <c r="BF197" s="4"/>
      <c r="BG197" s="4"/>
      <c r="BH197" s="4"/>
      <c r="BI197" s="4"/>
      <c r="BJ197" s="4"/>
      <c r="BK197" s="4"/>
      <c r="BL197" s="4"/>
      <c r="BM197" s="4"/>
      <c r="BN197" s="4"/>
    </row>
    <row r="198" spans="1:75">
      <c r="D198" s="10"/>
      <c r="E198" s="10"/>
      <c r="F198" s="10"/>
      <c r="G198" s="39"/>
      <c r="I198" s="10"/>
      <c r="J198" s="10"/>
      <c r="K198" s="10"/>
      <c r="L198" s="10"/>
      <c r="M198" s="10"/>
      <c r="N198" s="10"/>
      <c r="O198" s="10"/>
      <c r="P198" s="10"/>
      <c r="Q198" s="10"/>
      <c r="R198" s="10"/>
      <c r="S198" s="10"/>
      <c r="T198" s="10"/>
      <c r="U198" s="10"/>
      <c r="V198" s="10"/>
      <c r="W198" s="10"/>
      <c r="X198" s="10"/>
      <c r="Y198" s="10"/>
      <c r="Z198" s="10"/>
      <c r="AA198" s="10"/>
      <c r="AB198" s="7"/>
      <c r="AC198" s="7"/>
      <c r="AD198" s="7"/>
      <c r="AE198" s="7"/>
      <c r="AF198" s="7"/>
      <c r="AG198" s="7"/>
      <c r="AH198" s="7"/>
      <c r="AI198" s="7"/>
      <c r="AJ198" s="7"/>
      <c r="AK198" s="7"/>
      <c r="AL198" s="7"/>
      <c r="AM198" s="7"/>
      <c r="AN198" s="7"/>
      <c r="AO198" s="7"/>
      <c r="AP198" s="7"/>
      <c r="AQ198" s="7"/>
      <c r="AR198" s="7"/>
      <c r="AS198" s="7"/>
      <c r="AT198" s="7"/>
      <c r="AU198" s="7"/>
      <c r="AV198" s="7"/>
      <c r="AW198" s="7"/>
      <c r="AX198" s="7"/>
      <c r="AY198" s="7"/>
      <c r="AZ198" s="28"/>
      <c r="BA198" s="7"/>
      <c r="BB198" s="7"/>
      <c r="BC198" s="7"/>
      <c r="BD198" s="7"/>
      <c r="BE198" s="7"/>
      <c r="BF198" s="7"/>
      <c r="BG198" s="7"/>
      <c r="BH198" s="7"/>
      <c r="BI198" s="7"/>
      <c r="BJ198" s="7"/>
      <c r="BK198" s="7"/>
      <c r="BL198" s="7"/>
      <c r="BM198" s="7"/>
      <c r="BN198" s="7"/>
    </row>
    <row r="199" spans="1:75" s="11" customFormat="1">
      <c r="D199" s="12"/>
      <c r="E199" s="12"/>
      <c r="F199" s="12"/>
      <c r="G199" s="12"/>
      <c r="I199" s="12"/>
      <c r="J199" s="12"/>
      <c r="K199" s="12"/>
      <c r="L199" s="12"/>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12"/>
      <c r="AV199" s="12"/>
      <c r="AW199" s="12"/>
      <c r="AX199" s="12"/>
      <c r="AY199" s="12"/>
      <c r="AZ199" s="69"/>
      <c r="BA199" s="12"/>
      <c r="BB199" s="12"/>
      <c r="BC199" s="12"/>
      <c r="BD199" s="12"/>
      <c r="BE199" s="12"/>
      <c r="BF199" s="12"/>
      <c r="BG199" s="12"/>
      <c r="BH199" s="12"/>
      <c r="BI199" s="12"/>
      <c r="BJ199" s="12"/>
      <c r="BK199" s="12"/>
      <c r="BL199" s="12"/>
      <c r="BM199" s="12"/>
      <c r="BN199" s="12"/>
      <c r="BO199" s="53"/>
      <c r="BQ199" s="232"/>
      <c r="BR199"/>
      <c r="BS199"/>
      <c r="BT199"/>
      <c r="BU199"/>
      <c r="BV199"/>
      <c r="BW199"/>
    </row>
    <row r="200" spans="1:75">
      <c r="A200" s="1" t="s">
        <v>24</v>
      </c>
      <c r="B200" s="2" t="s">
        <v>0</v>
      </c>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65"/>
      <c r="BA200" s="2"/>
      <c r="BB200" s="2"/>
      <c r="BC200" s="2"/>
      <c r="BD200" s="2"/>
      <c r="BE200" s="2"/>
      <c r="BF200" s="2"/>
      <c r="BG200" s="2"/>
      <c r="BH200" s="2"/>
      <c r="BI200" s="2"/>
      <c r="BJ200" s="2"/>
      <c r="BK200" s="2"/>
      <c r="BL200" s="2"/>
      <c r="BM200" s="2"/>
      <c r="BN200" s="2"/>
    </row>
    <row r="201" spans="1:75">
      <c r="B201" s="2" t="s">
        <v>34</v>
      </c>
      <c r="C201" s="2"/>
      <c r="D201" s="3" t="str">
        <f t="shared" ref="D201:AY201" si="709">D11</f>
        <v>1Q12</v>
      </c>
      <c r="E201" s="3" t="str">
        <f t="shared" si="709"/>
        <v>2Q12</v>
      </c>
      <c r="F201" s="3" t="str">
        <f t="shared" si="709"/>
        <v>3Q12</v>
      </c>
      <c r="G201" s="3" t="str">
        <f t="shared" si="709"/>
        <v>4Q12</v>
      </c>
      <c r="H201" s="3" t="str">
        <f t="shared" si="709"/>
        <v>1Q13</v>
      </c>
      <c r="I201" s="3" t="str">
        <f t="shared" si="709"/>
        <v>2Q13</v>
      </c>
      <c r="J201" s="3" t="str">
        <f t="shared" si="709"/>
        <v>3Q13</v>
      </c>
      <c r="K201" s="3" t="str">
        <f t="shared" si="709"/>
        <v>4Q13</v>
      </c>
      <c r="L201" s="3" t="str">
        <f t="shared" si="709"/>
        <v>1Q14</v>
      </c>
      <c r="M201" s="3" t="str">
        <f t="shared" si="709"/>
        <v>2Q14</v>
      </c>
      <c r="N201" s="3" t="str">
        <f t="shared" si="709"/>
        <v>3Q14</v>
      </c>
      <c r="O201" s="3" t="str">
        <f t="shared" si="709"/>
        <v>4Q14</v>
      </c>
      <c r="P201" s="3" t="str">
        <f t="shared" si="709"/>
        <v>1Q15</v>
      </c>
      <c r="Q201" s="3" t="str">
        <f t="shared" si="709"/>
        <v>2Q15</v>
      </c>
      <c r="R201" s="3" t="str">
        <f t="shared" si="709"/>
        <v>3Q15</v>
      </c>
      <c r="S201" s="3" t="str">
        <f t="shared" si="709"/>
        <v>4Q15</v>
      </c>
      <c r="T201" s="3" t="str">
        <f t="shared" si="709"/>
        <v>1Q16</v>
      </c>
      <c r="U201" s="3" t="str">
        <f t="shared" si="709"/>
        <v>2Q16</v>
      </c>
      <c r="V201" s="3" t="str">
        <f t="shared" si="709"/>
        <v>3Q16</v>
      </c>
      <c r="W201" s="3" t="str">
        <f t="shared" si="709"/>
        <v>4Q16</v>
      </c>
      <c r="X201" s="3" t="str">
        <f t="shared" si="709"/>
        <v>1Q17</v>
      </c>
      <c r="Y201" s="3" t="str">
        <f t="shared" si="709"/>
        <v>2Q17</v>
      </c>
      <c r="Z201" s="3" t="str">
        <f t="shared" si="709"/>
        <v>3Q17</v>
      </c>
      <c r="AA201" s="3" t="str">
        <f t="shared" si="709"/>
        <v>4Q17</v>
      </c>
      <c r="AB201" s="3" t="str">
        <f t="shared" si="709"/>
        <v>1Q18E</v>
      </c>
      <c r="AC201" s="3" t="str">
        <f t="shared" si="709"/>
        <v>2Q18E</v>
      </c>
      <c r="AD201" s="3" t="str">
        <f t="shared" si="709"/>
        <v>3Q18E</v>
      </c>
      <c r="AE201" s="3" t="str">
        <f t="shared" si="709"/>
        <v>4Q18E</v>
      </c>
      <c r="AF201" s="3" t="str">
        <f t="shared" si="709"/>
        <v>1Q19E</v>
      </c>
      <c r="AG201" s="3" t="str">
        <f t="shared" si="709"/>
        <v>2Q19E</v>
      </c>
      <c r="AH201" s="3" t="str">
        <f t="shared" si="709"/>
        <v>3Q19E</v>
      </c>
      <c r="AI201" s="3" t="str">
        <f t="shared" si="709"/>
        <v>4Q19E</v>
      </c>
      <c r="AJ201" s="3" t="str">
        <f t="shared" si="709"/>
        <v>1Q20E</v>
      </c>
      <c r="AK201" s="3" t="str">
        <f t="shared" si="709"/>
        <v>2Q20E</v>
      </c>
      <c r="AL201" s="3" t="str">
        <f t="shared" si="709"/>
        <v>3Q20E</v>
      </c>
      <c r="AM201" s="3" t="str">
        <f t="shared" si="709"/>
        <v>4Q20E</v>
      </c>
      <c r="AN201" s="3" t="str">
        <f t="shared" si="709"/>
        <v>1Q21E</v>
      </c>
      <c r="AO201" s="3" t="str">
        <f t="shared" si="709"/>
        <v>2Q21E</v>
      </c>
      <c r="AP201" s="3" t="str">
        <f t="shared" si="709"/>
        <v>3Q21E</v>
      </c>
      <c r="AQ201" s="3" t="str">
        <f t="shared" si="709"/>
        <v>4Q21E</v>
      </c>
      <c r="AR201" s="3" t="str">
        <f t="shared" si="709"/>
        <v>1Q22E</v>
      </c>
      <c r="AS201" s="3" t="str">
        <f t="shared" si="709"/>
        <v>2Q22E</v>
      </c>
      <c r="AT201" s="3" t="str">
        <f t="shared" si="709"/>
        <v>3Q22E</v>
      </c>
      <c r="AU201" s="3" t="str">
        <f t="shared" si="709"/>
        <v>4Q22E</v>
      </c>
      <c r="AV201" s="3" t="str">
        <f t="shared" si="709"/>
        <v>1Q23E</v>
      </c>
      <c r="AW201" s="3" t="str">
        <f t="shared" si="709"/>
        <v>2Q23E</v>
      </c>
      <c r="AX201" s="3" t="str">
        <f t="shared" si="709"/>
        <v>3Q23E</v>
      </c>
      <c r="AY201" s="3" t="str">
        <f t="shared" si="709"/>
        <v>4Q23E</v>
      </c>
      <c r="AZ201" s="66"/>
      <c r="BA201" s="3" t="str">
        <f t="shared" ref="BA201:BN201" si="710">BA11</f>
        <v>2010A</v>
      </c>
      <c r="BB201" s="3" t="str">
        <f t="shared" si="710"/>
        <v>2011A</v>
      </c>
      <c r="BC201" s="3" t="str">
        <f t="shared" si="710"/>
        <v>2012A</v>
      </c>
      <c r="BD201" s="3" t="str">
        <f t="shared" si="710"/>
        <v>2013A</v>
      </c>
      <c r="BE201" s="3" t="str">
        <f t="shared" si="710"/>
        <v>2014A</v>
      </c>
      <c r="BF201" s="3">
        <f t="shared" si="710"/>
        <v>2015</v>
      </c>
      <c r="BG201" s="3">
        <f t="shared" si="710"/>
        <v>2016</v>
      </c>
      <c r="BH201" s="3">
        <f t="shared" si="710"/>
        <v>2017</v>
      </c>
      <c r="BI201" s="3" t="str">
        <f t="shared" si="710"/>
        <v>2018E</v>
      </c>
      <c r="BJ201" s="3" t="str">
        <f t="shared" si="710"/>
        <v>2019E</v>
      </c>
      <c r="BK201" s="3" t="str">
        <f t="shared" si="710"/>
        <v>2020E</v>
      </c>
      <c r="BL201" s="3" t="str">
        <f t="shared" si="710"/>
        <v>2021E</v>
      </c>
      <c r="BM201" s="3" t="str">
        <f t="shared" si="710"/>
        <v>2022E</v>
      </c>
      <c r="BN201" s="3" t="str">
        <f t="shared" si="710"/>
        <v>2023E</v>
      </c>
    </row>
    <row r="202" spans="1:75">
      <c r="BA202"/>
    </row>
    <row r="203" spans="1:75">
      <c r="B203" t="s">
        <v>23</v>
      </c>
      <c r="C203" s="4"/>
      <c r="D203" s="4">
        <f>D126</f>
        <v>-6.1359999999999948</v>
      </c>
      <c r="E203" s="4">
        <f>E126</f>
        <v>-0.26599999999999824</v>
      </c>
      <c r="F203" s="4">
        <f>F126</f>
        <v>-1.7570000000000014</v>
      </c>
      <c r="G203" s="24">
        <f>G126</f>
        <v>-1.6080000000000076</v>
      </c>
      <c r="H203" s="7">
        <f>-3.306-I203:I203</f>
        <v>-2.0740000000000061</v>
      </c>
      <c r="I203" s="4">
        <f t="shared" ref="I203:AY203" si="711">I126</f>
        <v>-1.231999999999994</v>
      </c>
      <c r="J203" s="24">
        <f t="shared" si="711"/>
        <v>2.7090000000000067</v>
      </c>
      <c r="K203" s="24">
        <f t="shared" si="711"/>
        <v>4.4469999999999992</v>
      </c>
      <c r="L203" s="24">
        <f t="shared" si="711"/>
        <v>5.3280000000000038</v>
      </c>
      <c r="M203" s="24">
        <f t="shared" si="711"/>
        <v>3.9209999999999967</v>
      </c>
      <c r="N203" s="24">
        <f t="shared" si="711"/>
        <v>4.0060000000000011</v>
      </c>
      <c r="O203" s="24">
        <f t="shared" si="711"/>
        <v>5.8479999999999981</v>
      </c>
      <c r="P203" s="24">
        <f t="shared" si="711"/>
        <v>5.0370000000000061</v>
      </c>
      <c r="Q203" s="24">
        <f t="shared" si="711"/>
        <v>5.5200000000000085</v>
      </c>
      <c r="R203" s="24">
        <f t="shared" si="711"/>
        <v>8.2380000000000049</v>
      </c>
      <c r="S203" s="24">
        <f t="shared" si="711"/>
        <v>5.3340000000000005</v>
      </c>
      <c r="T203" s="24">
        <f t="shared" si="711"/>
        <v>6.8589999999999982</v>
      </c>
      <c r="U203" s="24">
        <f t="shared" si="711"/>
        <v>5.8070000000000164</v>
      </c>
      <c r="V203" s="24">
        <f t="shared" si="711"/>
        <v>6.5379999999999887</v>
      </c>
      <c r="W203" s="24">
        <f t="shared" si="711"/>
        <v>5.4810000000000008</v>
      </c>
      <c r="X203" s="24">
        <f t="shared" si="711"/>
        <v>5.5680000000000112</v>
      </c>
      <c r="Y203" s="24">
        <f t="shared" si="711"/>
        <v>4.6079999999999952</v>
      </c>
      <c r="Z203" s="24">
        <f t="shared" si="711"/>
        <v>7.3939999999999912</v>
      </c>
      <c r="AA203" s="24">
        <f t="shared" si="711"/>
        <v>-16.113000000000017</v>
      </c>
      <c r="AB203" s="4">
        <f t="shared" ca="1" si="711"/>
        <v>7.241970779534018</v>
      </c>
      <c r="AC203" s="4">
        <f t="shared" ca="1" si="711"/>
        <v>3.6263855998845251</v>
      </c>
      <c r="AD203" s="4">
        <f t="shared" ca="1" si="711"/>
        <v>2.0264405213356222</v>
      </c>
      <c r="AE203" s="4">
        <f t="shared" ca="1" si="711"/>
        <v>1.6218072691218877</v>
      </c>
      <c r="AF203" s="4">
        <f t="shared" ca="1" si="711"/>
        <v>-0.58952071816987228</v>
      </c>
      <c r="AG203" s="4">
        <f t="shared" ca="1" si="711"/>
        <v>-2.2374410343759692</v>
      </c>
      <c r="AH203" s="4">
        <f t="shared" ca="1" si="711"/>
        <v>-1.8148225447715944</v>
      </c>
      <c r="AI203" s="4">
        <f t="shared" ca="1" si="711"/>
        <v>0.30618702466603054</v>
      </c>
      <c r="AJ203" s="4">
        <f t="shared" ca="1" si="711"/>
        <v>0.33009848911637363</v>
      </c>
      <c r="AK203" s="4">
        <f t="shared" ca="1" si="711"/>
        <v>-1.1040158538349374</v>
      </c>
      <c r="AL203" s="4">
        <f t="shared" ca="1" si="711"/>
        <v>-0.26837413570909519</v>
      </c>
      <c r="AM203" s="4">
        <f t="shared" ca="1" si="711"/>
        <v>2.4190633042408081</v>
      </c>
      <c r="AN203" s="4">
        <f t="shared" ca="1" si="711"/>
        <v>2.8589679793082894</v>
      </c>
      <c r="AO203" s="4">
        <f t="shared" ca="1" si="711"/>
        <v>1.5224161060604757</v>
      </c>
      <c r="AP203" s="4">
        <f t="shared" ca="1" si="711"/>
        <v>2.5340153988353649</v>
      </c>
      <c r="AQ203" s="4">
        <f t="shared" ca="1" si="711"/>
        <v>5.5376167650617845</v>
      </c>
      <c r="AR203" s="4">
        <f t="shared" ca="1" si="711"/>
        <v>5.9835813152927955</v>
      </c>
      <c r="AS203" s="4">
        <f t="shared" ca="1" si="711"/>
        <v>5.4391619863371687</v>
      </c>
      <c r="AT203" s="4">
        <f t="shared" ca="1" si="711"/>
        <v>9.7473311294095737</v>
      </c>
      <c r="AU203" s="4">
        <f t="shared" ca="1" si="711"/>
        <v>13.56823160389041</v>
      </c>
      <c r="AV203" s="4">
        <f t="shared" ca="1" si="711"/>
        <v>13.970033651056156</v>
      </c>
      <c r="AW203" s="4">
        <f t="shared" ca="1" si="711"/>
        <v>12.52742161257305</v>
      </c>
      <c r="AX203" s="4">
        <f t="shared" ca="1" si="711"/>
        <v>13.867519958254761</v>
      </c>
      <c r="AY203" s="4">
        <f t="shared" ca="1" si="711"/>
        <v>17.522546756716324</v>
      </c>
      <c r="AZ203" s="54"/>
      <c r="BA203" s="4">
        <f>+BA126</f>
        <v>14.384</v>
      </c>
      <c r="BB203" s="4">
        <f>+BB126</f>
        <v>-0.90900000000002734</v>
      </c>
      <c r="BC203" s="4">
        <f>+SUM(D203:G203)</f>
        <v>-9.767000000000003</v>
      </c>
      <c r="BD203" s="4">
        <f t="shared" ref="BD203:BD209" si="712">+SUM(H203:K203)</f>
        <v>3.8500000000000059</v>
      </c>
      <c r="BE203" s="4">
        <f t="shared" ref="BE203:BE209" si="713">+SUM(L203:O203)</f>
        <v>19.103000000000002</v>
      </c>
      <c r="BF203" s="4">
        <f t="shared" ref="BF203:BF209" si="714">+SUM(P203:S203)</f>
        <v>24.129000000000019</v>
      </c>
      <c r="BG203" s="4">
        <f t="shared" ref="BG203:BG209" si="715">+SUM(T203:W203)</f>
        <v>24.685000000000006</v>
      </c>
      <c r="BH203" s="4">
        <f t="shared" ref="BH203:BH209" si="716">+SUM(X203:AA203)</f>
        <v>1.4569999999999794</v>
      </c>
      <c r="BI203" s="4">
        <f t="shared" ref="BI203:BI209" ca="1" si="717">+SUM(AB203:AE203)</f>
        <v>14.516604169876054</v>
      </c>
      <c r="BJ203" s="4">
        <f t="shared" ref="BJ203:BJ209" ca="1" si="718">+SUM(AF203:AI203)</f>
        <v>-4.3355972726514054</v>
      </c>
      <c r="BK203" s="4">
        <f t="shared" ref="BK203:BK209" ca="1" si="719">+SUM(AJ203:AM203)</f>
        <v>1.3767718038131491</v>
      </c>
      <c r="BL203" s="4">
        <f t="shared" ref="BL203:BL209" ca="1" si="720">+SUM(AN203:AQ203)</f>
        <v>12.453016249265914</v>
      </c>
      <c r="BM203" s="4">
        <f t="shared" ref="BM203:BM209" ca="1" si="721">+SUM(AR203:AU203)</f>
        <v>34.738306034929948</v>
      </c>
      <c r="BN203" s="4">
        <f t="shared" ref="BN203:BN209" ca="1" si="722">+SUM(AV203:AY203)</f>
        <v>57.88752197860029</v>
      </c>
      <c r="BO203" s="24"/>
    </row>
    <row r="204" spans="1:75">
      <c r="B204" t="s">
        <v>50</v>
      </c>
      <c r="C204" s="4"/>
      <c r="D204" s="38">
        <f>15.884/2</f>
        <v>7.9420000000000002</v>
      </c>
      <c r="E204" s="38">
        <f>15.884/2</f>
        <v>7.9420000000000002</v>
      </c>
      <c r="F204" s="38">
        <f>24.351-D204-E204</f>
        <v>8.4669999999999987</v>
      </c>
      <c r="G204" s="38">
        <f>33.688-E204-F204-D204</f>
        <v>9.3370000000000033</v>
      </c>
      <c r="H204" s="38">
        <f>21.003/2</f>
        <v>10.5015</v>
      </c>
      <c r="I204" s="38">
        <f>21.003/2</f>
        <v>10.5015</v>
      </c>
      <c r="J204" s="52">
        <f>32.701-H204-I204</f>
        <v>11.698</v>
      </c>
      <c r="K204" s="52">
        <f>10.636+34.624-SUM(H204:J204)</f>
        <v>12.559000000000005</v>
      </c>
      <c r="L204" s="52">
        <v>12.521000000000001</v>
      </c>
      <c r="M204" s="52">
        <f>25.668-L204</f>
        <v>13.146999999999998</v>
      </c>
      <c r="N204" s="52">
        <f>40.07-M204-L204</f>
        <v>14.402000000000001</v>
      </c>
      <c r="O204" s="52">
        <f>55.327-N204-M204-L204</f>
        <v>15.256999999999998</v>
      </c>
      <c r="P204" s="52">
        <v>15.468999999999999</v>
      </c>
      <c r="Q204" s="52">
        <f>33.475-P204</f>
        <v>18.006</v>
      </c>
      <c r="R204" s="52">
        <f>57.347-P204-Q204</f>
        <v>23.872</v>
      </c>
      <c r="S204" s="52">
        <f>83.488-SUM(P204:R204)</f>
        <v>26.140999999999998</v>
      </c>
      <c r="T204" s="28">
        <v>23.309000000000001</v>
      </c>
      <c r="U204" s="28">
        <f>57.137-T204</f>
        <v>33.828000000000003</v>
      </c>
      <c r="V204" s="28">
        <f>89.104-T204-U204</f>
        <v>31.966999999999999</v>
      </c>
      <c r="W204" s="28">
        <f>121.464-SUM(T204:V204)</f>
        <v>32.36</v>
      </c>
      <c r="X204" s="28">
        <v>33.228999999999999</v>
      </c>
      <c r="Y204" s="28">
        <f>66.443-X204</f>
        <v>33.213999999999999</v>
      </c>
      <c r="Z204" s="28">
        <f>100.455-X204-Y204</f>
        <v>34.012</v>
      </c>
      <c r="AA204" s="28">
        <f>136.585-Y204-Z204-X204</f>
        <v>36.13000000000001</v>
      </c>
      <c r="AB204" s="4">
        <f t="shared" ref="AB204:AY204" ca="1" si="723">AB116</f>
        <v>39.345556618169361</v>
      </c>
      <c r="AC204" s="4">
        <f t="shared" ca="1" si="723"/>
        <v>41.587546571974023</v>
      </c>
      <c r="AD204" s="4">
        <f t="shared" ca="1" si="723"/>
        <v>43.870539902786668</v>
      </c>
      <c r="AE204" s="4">
        <f t="shared" ca="1" si="723"/>
        <v>46.180561378683755</v>
      </c>
      <c r="AF204" s="4">
        <f t="shared" ca="1" si="723"/>
        <v>47.415761311956082</v>
      </c>
      <c r="AG204" s="4">
        <f t="shared" ca="1" si="723"/>
        <v>48.615121321691603</v>
      </c>
      <c r="AH204" s="4">
        <f t="shared" ca="1" si="723"/>
        <v>49.77341996419009</v>
      </c>
      <c r="AI204" s="4">
        <f t="shared" ca="1" si="723"/>
        <v>50.880762233056792</v>
      </c>
      <c r="AJ204" s="4">
        <f t="shared" ca="1" si="723"/>
        <v>51.925805078939746</v>
      </c>
      <c r="AK204" s="4">
        <f t="shared" ca="1" si="723"/>
        <v>52.919777051434671</v>
      </c>
      <c r="AL204" s="4">
        <f t="shared" ca="1" si="723"/>
        <v>53.859283879078326</v>
      </c>
      <c r="AM204" s="4">
        <f t="shared" ca="1" si="723"/>
        <v>54.818346796476312</v>
      </c>
      <c r="AN204" s="4">
        <f t="shared" ca="1" si="723"/>
        <v>55.789698537080241</v>
      </c>
      <c r="AO204" s="4">
        <f t="shared" ca="1" si="723"/>
        <v>56.786321047208567</v>
      </c>
      <c r="AP204" s="4">
        <f t="shared" ca="1" si="723"/>
        <v>57.808891423391337</v>
      </c>
      <c r="AQ204" s="4">
        <f t="shared" ca="1" si="723"/>
        <v>58.852557877984673</v>
      </c>
      <c r="AR204" s="4">
        <f t="shared" ca="1" si="723"/>
        <v>59.909371718997413</v>
      </c>
      <c r="AS204" s="4">
        <f t="shared" ca="1" si="723"/>
        <v>60.993326282179787</v>
      </c>
      <c r="AT204" s="4">
        <f t="shared" ca="1" si="723"/>
        <v>62.105096786981242</v>
      </c>
      <c r="AU204" s="4">
        <f t="shared" ca="1" si="723"/>
        <v>63.239353621945739</v>
      </c>
      <c r="AV204" s="4">
        <f t="shared" ca="1" si="723"/>
        <v>64.387407673574245</v>
      </c>
      <c r="AW204" s="4">
        <f t="shared" ca="1" si="723"/>
        <v>65.564357034283773</v>
      </c>
      <c r="AX204" s="4">
        <f t="shared" ca="1" si="723"/>
        <v>66.77086212426056</v>
      </c>
      <c r="AY204" s="4">
        <f t="shared" ca="1" si="723"/>
        <v>68.001080611603797</v>
      </c>
      <c r="AZ204" s="54"/>
      <c r="BA204" s="7">
        <v>17.948</v>
      </c>
      <c r="BB204" s="7">
        <v>25.077000000000002</v>
      </c>
      <c r="BC204" s="4">
        <f t="shared" ref="BC204:BC218" si="724">+SUM(D204:G204)</f>
        <v>33.688000000000002</v>
      </c>
      <c r="BD204" s="4">
        <f t="shared" si="712"/>
        <v>45.260000000000005</v>
      </c>
      <c r="BE204" s="4">
        <f t="shared" si="713"/>
        <v>55.326999999999998</v>
      </c>
      <c r="BF204" s="4">
        <f t="shared" si="714"/>
        <v>83.488</v>
      </c>
      <c r="BG204" s="4">
        <f t="shared" si="715"/>
        <v>121.464</v>
      </c>
      <c r="BH204" s="4">
        <f t="shared" si="716"/>
        <v>136.58500000000001</v>
      </c>
      <c r="BI204" s="4">
        <f t="shared" ca="1" si="717"/>
        <v>170.98420447161382</v>
      </c>
      <c r="BJ204" s="4">
        <f t="shared" ca="1" si="718"/>
        <v>196.68506483089456</v>
      </c>
      <c r="BK204" s="4">
        <f t="shared" ca="1" si="719"/>
        <v>213.52321280592906</v>
      </c>
      <c r="BL204" s="4">
        <f t="shared" ca="1" si="720"/>
        <v>229.23746888566484</v>
      </c>
      <c r="BM204" s="4">
        <f t="shared" ca="1" si="721"/>
        <v>246.24714841010416</v>
      </c>
      <c r="BN204" s="4">
        <f t="shared" ca="1" si="722"/>
        <v>264.72370744372239</v>
      </c>
      <c r="BO204" s="24"/>
    </row>
    <row r="205" spans="1:75">
      <c r="B205" t="s">
        <v>51</v>
      </c>
      <c r="C205" s="4"/>
      <c r="D205" s="7">
        <f>1.754/2</f>
        <v>0.877</v>
      </c>
      <c r="E205" s="7">
        <f>1.754/2</f>
        <v>0.877</v>
      </c>
      <c r="F205" s="7">
        <f>2.582-D205-E205</f>
        <v>0.82799999999999985</v>
      </c>
      <c r="G205" s="28">
        <f>3.384-D205-E205-F205</f>
        <v>0.80199999999999982</v>
      </c>
      <c r="H205" s="7">
        <f>1.605/2</f>
        <v>0.80249999999999999</v>
      </c>
      <c r="I205" s="7">
        <f>1.605/2</f>
        <v>0.80249999999999999</v>
      </c>
      <c r="J205" s="28">
        <f>2.193-H205-I205</f>
        <v>0.58800000000000008</v>
      </c>
      <c r="K205" s="28">
        <f>0.496+2.281-SUM(H205:J205)</f>
        <v>0.58400000000000007</v>
      </c>
      <c r="L205" s="28">
        <v>0.58199999999999996</v>
      </c>
      <c r="M205" s="28">
        <f>1.314-L205</f>
        <v>0.7320000000000001</v>
      </c>
      <c r="N205" s="28">
        <f>1.894+0.038-M205-L205</f>
        <v>0.61799999999999977</v>
      </c>
      <c r="O205" s="28">
        <f>2.673+0.098-N205-M205-L205</f>
        <v>0.83899999999999986</v>
      </c>
      <c r="P205" s="28">
        <f>0.791+0.062</f>
        <v>0.85299999999999998</v>
      </c>
      <c r="Q205" s="28">
        <f>1.585+0.123-P205</f>
        <v>0.85499999999999998</v>
      </c>
      <c r="R205" s="28">
        <f>2.372+0.184-P205-Q205</f>
        <v>0.84800000000000009</v>
      </c>
      <c r="S205" s="28">
        <f>3.181-P205-Q205-R205</f>
        <v>0.62500000000000022</v>
      </c>
      <c r="T205" s="28">
        <f>0.813+0.064</f>
        <v>0.877</v>
      </c>
      <c r="U205" s="28">
        <f>1.626+0.128-T205</f>
        <v>0.877</v>
      </c>
      <c r="V205" s="28">
        <f>2.424+0.194-T205-U205</f>
        <v>0.86399999999999988</v>
      </c>
      <c r="W205" s="28">
        <f>3.285-SUM(T205:V205)</f>
        <v>0.66700000000000026</v>
      </c>
      <c r="X205" s="28">
        <f>0.872</f>
        <v>0.872</v>
      </c>
      <c r="Y205" s="28">
        <f>1.815-X205</f>
        <v>0.94299999999999995</v>
      </c>
      <c r="Z205" s="28">
        <f>2.737-X205-Y205</f>
        <v>0.92200000000000026</v>
      </c>
      <c r="AA205" s="28">
        <f>3.64-Y205-Z205-X205</f>
        <v>0.90299999999999991</v>
      </c>
      <c r="AB205" s="24"/>
      <c r="AC205" s="24"/>
      <c r="AD205" s="24"/>
      <c r="AE205" s="24"/>
      <c r="AF205" s="24"/>
      <c r="AG205" s="24"/>
      <c r="AH205" s="24"/>
      <c r="AI205" s="24"/>
      <c r="AJ205" s="24"/>
      <c r="AK205" s="24"/>
      <c r="AL205" s="24"/>
      <c r="AM205" s="24"/>
      <c r="AN205" s="24"/>
      <c r="AO205" s="24"/>
      <c r="AP205" s="24"/>
      <c r="AQ205" s="24"/>
      <c r="AR205" s="24"/>
      <c r="AS205" s="24"/>
      <c r="AT205" s="24"/>
      <c r="AU205" s="24"/>
      <c r="AV205" s="24"/>
      <c r="AW205" s="24"/>
      <c r="AX205" s="24"/>
      <c r="AY205" s="24"/>
      <c r="AZ205" s="54"/>
      <c r="BA205" s="28">
        <v>4.7370000000000001</v>
      </c>
      <c r="BB205" s="28">
        <v>3.4409999999999998</v>
      </c>
      <c r="BC205" s="4">
        <f t="shared" si="724"/>
        <v>3.3839999999999995</v>
      </c>
      <c r="BD205" s="4">
        <f t="shared" si="712"/>
        <v>2.7770000000000001</v>
      </c>
      <c r="BE205" s="4">
        <f t="shared" si="713"/>
        <v>2.7709999999999999</v>
      </c>
      <c r="BF205" s="4">
        <f t="shared" si="714"/>
        <v>3.181</v>
      </c>
      <c r="BG205" s="4">
        <f t="shared" si="715"/>
        <v>3.2850000000000001</v>
      </c>
      <c r="BH205" s="4">
        <f t="shared" si="716"/>
        <v>3.64</v>
      </c>
      <c r="BI205" s="4">
        <f t="shared" si="717"/>
        <v>0</v>
      </c>
      <c r="BJ205" s="4">
        <f t="shared" si="718"/>
        <v>0</v>
      </c>
      <c r="BK205" s="4">
        <f t="shared" si="719"/>
        <v>0</v>
      </c>
      <c r="BL205" s="4">
        <f t="shared" si="720"/>
        <v>0</v>
      </c>
      <c r="BM205" s="4">
        <f t="shared" si="721"/>
        <v>0</v>
      </c>
      <c r="BN205" s="4">
        <f t="shared" si="722"/>
        <v>0</v>
      </c>
      <c r="BO205" s="24"/>
    </row>
    <row r="206" spans="1:75">
      <c r="B206" t="s">
        <v>48</v>
      </c>
      <c r="C206" s="4"/>
      <c r="D206" s="7">
        <f>0.179/2</f>
        <v>8.9499999999999996E-2</v>
      </c>
      <c r="E206" s="7">
        <f>0.179/2</f>
        <v>8.9499999999999996E-2</v>
      </c>
      <c r="F206" s="38">
        <f>0.303-D206-E206</f>
        <v>0.124</v>
      </c>
      <c r="G206" s="28">
        <f>0.412-D206-E206-F206</f>
        <v>0.10900000000000001</v>
      </c>
      <c r="H206" s="4">
        <f t="shared" ref="H206:AY206" si="725">H110</f>
        <v>0.375</v>
      </c>
      <c r="I206" s="4">
        <f t="shared" si="725"/>
        <v>0.42</v>
      </c>
      <c r="J206" s="24">
        <f t="shared" si="725"/>
        <v>0.51</v>
      </c>
      <c r="K206" s="24">
        <f t="shared" si="725"/>
        <v>0.65500000000000003</v>
      </c>
      <c r="L206" s="24">
        <f t="shared" si="725"/>
        <v>0.91100000000000003</v>
      </c>
      <c r="M206" s="24">
        <f t="shared" si="725"/>
        <v>1.0649999999999999</v>
      </c>
      <c r="N206" s="24">
        <f t="shared" si="725"/>
        <v>0.92500000000000004</v>
      </c>
      <c r="O206" s="24">
        <f t="shared" si="725"/>
        <v>1.252</v>
      </c>
      <c r="P206" s="24">
        <f t="shared" si="725"/>
        <v>1.3069999999999999</v>
      </c>
      <c r="Q206" s="24">
        <f t="shared" si="725"/>
        <v>1.831</v>
      </c>
      <c r="R206" s="24">
        <f t="shared" si="725"/>
        <v>2.0680000000000001</v>
      </c>
      <c r="S206" s="24">
        <f t="shared" si="725"/>
        <v>1.758</v>
      </c>
      <c r="T206" s="24">
        <f t="shared" si="725"/>
        <v>2.0499999999999998</v>
      </c>
      <c r="U206" s="24">
        <f t="shared" si="725"/>
        <v>3.2</v>
      </c>
      <c r="V206" s="24">
        <f t="shared" si="725"/>
        <v>2.637</v>
      </c>
      <c r="W206" s="24">
        <f t="shared" si="725"/>
        <v>2.698</v>
      </c>
      <c r="X206" s="24">
        <f t="shared" si="725"/>
        <v>3.0819999999999999</v>
      </c>
      <c r="Y206" s="24">
        <f t="shared" si="725"/>
        <v>3.7320000000000002</v>
      </c>
      <c r="Z206" s="24">
        <f t="shared" si="725"/>
        <v>3.6930000000000001</v>
      </c>
      <c r="AA206" s="24">
        <f t="shared" si="725"/>
        <v>3.3559999999999999</v>
      </c>
      <c r="AB206" s="4">
        <f t="shared" ca="1" si="725"/>
        <v>2.851371574069653</v>
      </c>
      <c r="AC206" s="4">
        <f t="shared" ca="1" si="725"/>
        <v>2.898473052545977</v>
      </c>
      <c r="AD206" s="4">
        <f t="shared" ca="1" si="725"/>
        <v>2.9514827384811673</v>
      </c>
      <c r="AE206" s="4">
        <f t="shared" ca="1" si="725"/>
        <v>2.9864250673058903</v>
      </c>
      <c r="AF206" s="4">
        <f t="shared" ca="1" si="725"/>
        <v>3.0129851746977656</v>
      </c>
      <c r="AG206" s="4">
        <f t="shared" ca="1" si="725"/>
        <v>3.101095669604029</v>
      </c>
      <c r="AH206" s="4">
        <f t="shared" ca="1" si="725"/>
        <v>3.1860918688576603</v>
      </c>
      <c r="AI206" s="4">
        <f t="shared" ca="1" si="725"/>
        <v>3.2536048457639297</v>
      </c>
      <c r="AJ206" s="4">
        <f t="shared" ca="1" si="725"/>
        <v>3.295230848334608</v>
      </c>
      <c r="AK206" s="4">
        <f t="shared" ca="1" si="725"/>
        <v>3.3816304601391729</v>
      </c>
      <c r="AL206" s="4">
        <f t="shared" ca="1" si="725"/>
        <v>3.4703038419532217</v>
      </c>
      <c r="AM206" s="4">
        <f t="shared" ca="1" si="725"/>
        <v>3.5425391588356652</v>
      </c>
      <c r="AN206" s="4">
        <f t="shared" ca="1" si="725"/>
        <v>3.5879310060579175</v>
      </c>
      <c r="AO206" s="4">
        <f t="shared" ca="1" si="725"/>
        <v>3.6812749243661678</v>
      </c>
      <c r="AP206" s="4">
        <f t="shared" ca="1" si="725"/>
        <v>3.7771198683407001</v>
      </c>
      <c r="AQ206" s="4">
        <f t="shared" ca="1" si="725"/>
        <v>3.8550435191373462</v>
      </c>
      <c r="AR206" s="4">
        <f t="shared" ca="1" si="725"/>
        <v>3.9036066846838495</v>
      </c>
      <c r="AS206" s="4">
        <f t="shared" ca="1" si="725"/>
        <v>4.0038577415653185</v>
      </c>
      <c r="AT206" s="4">
        <f t="shared" ca="1" si="725"/>
        <v>4.1066028906456697</v>
      </c>
      <c r="AU206" s="4">
        <f t="shared" ca="1" si="725"/>
        <v>4.1896617845889423</v>
      </c>
      <c r="AV206" s="4">
        <f t="shared" ca="1" si="725"/>
        <v>4.2406252609454329</v>
      </c>
      <c r="AW206" s="4">
        <f t="shared" ca="1" si="725"/>
        <v>4.3473573241596588</v>
      </c>
      <c r="AX206" s="4">
        <f t="shared" ca="1" si="725"/>
        <v>4.4565288147864477</v>
      </c>
      <c r="AY206" s="4">
        <f t="shared" ca="1" si="725"/>
        <v>4.5441201888618856</v>
      </c>
      <c r="AZ206" s="54"/>
      <c r="BA206" s="7">
        <v>0.33200000000000002</v>
      </c>
      <c r="BB206" s="7">
        <v>0.76500000000000001</v>
      </c>
      <c r="BC206" s="4">
        <f t="shared" si="724"/>
        <v>0.41200000000000003</v>
      </c>
      <c r="BD206" s="4">
        <f t="shared" si="712"/>
        <v>1.96</v>
      </c>
      <c r="BE206" s="4">
        <f t="shared" si="713"/>
        <v>4.1529999999999996</v>
      </c>
      <c r="BF206" s="4">
        <f t="shared" si="714"/>
        <v>6.9639999999999995</v>
      </c>
      <c r="BG206" s="4">
        <f t="shared" si="715"/>
        <v>10.585000000000001</v>
      </c>
      <c r="BH206" s="4">
        <f t="shared" si="716"/>
        <v>13.863</v>
      </c>
      <c r="BI206" s="4">
        <f t="shared" ca="1" si="717"/>
        <v>11.687752432402689</v>
      </c>
      <c r="BJ206" s="4">
        <f t="shared" ca="1" si="718"/>
        <v>12.553777558923384</v>
      </c>
      <c r="BK206" s="4">
        <f t="shared" ca="1" si="719"/>
        <v>13.689704309262666</v>
      </c>
      <c r="BL206" s="4">
        <f t="shared" ca="1" si="720"/>
        <v>14.901369317902132</v>
      </c>
      <c r="BM206" s="4">
        <f t="shared" ca="1" si="721"/>
        <v>16.203729101483781</v>
      </c>
      <c r="BN206" s="4">
        <f t="shared" ca="1" si="722"/>
        <v>17.588631588753426</v>
      </c>
      <c r="BO206" s="24"/>
    </row>
    <row r="207" spans="1:75">
      <c r="B207" t="s">
        <v>52</v>
      </c>
      <c r="C207" s="4"/>
      <c r="D207" s="7">
        <f>0.322/2</f>
        <v>0.161</v>
      </c>
      <c r="E207" s="7">
        <f>0.322/2</f>
        <v>0.161</v>
      </c>
      <c r="F207" s="7">
        <f>0-D207-E207</f>
        <v>-0.32200000000000001</v>
      </c>
      <c r="G207" s="24">
        <f>-0.307-D207-E207-F207</f>
        <v>-0.307</v>
      </c>
      <c r="H207" s="4"/>
      <c r="I207" s="4"/>
      <c r="J207" s="24"/>
      <c r="K207" s="24"/>
      <c r="L207" s="24"/>
      <c r="M207" s="24"/>
      <c r="N207" s="24"/>
      <c r="O207" s="24"/>
      <c r="P207" s="24"/>
      <c r="Q207" s="24"/>
      <c r="R207" s="24"/>
      <c r="S207" s="24"/>
      <c r="T207" s="24"/>
      <c r="U207" s="24"/>
      <c r="V207" s="24"/>
      <c r="W207" s="24"/>
      <c r="X207" s="24"/>
      <c r="Y207" s="24"/>
      <c r="Z207" s="24"/>
      <c r="AA207" s="24"/>
      <c r="AB207" s="24">
        <f t="shared" ref="AB207:AM207" si="726">+AB286-AA286</f>
        <v>0</v>
      </c>
      <c r="AC207" s="24">
        <f t="shared" si="726"/>
        <v>0</v>
      </c>
      <c r="AD207" s="24">
        <f t="shared" si="726"/>
        <v>0</v>
      </c>
      <c r="AE207" s="24">
        <f t="shared" si="726"/>
        <v>0</v>
      </c>
      <c r="AF207" s="24">
        <f t="shared" si="726"/>
        <v>0</v>
      </c>
      <c r="AG207" s="24">
        <f t="shared" si="726"/>
        <v>0</v>
      </c>
      <c r="AH207" s="24">
        <f t="shared" si="726"/>
        <v>0</v>
      </c>
      <c r="AI207" s="24">
        <f t="shared" si="726"/>
        <v>0</v>
      </c>
      <c r="AJ207" s="24">
        <f t="shared" si="726"/>
        <v>0</v>
      </c>
      <c r="AK207" s="24">
        <f t="shared" si="726"/>
        <v>0</v>
      </c>
      <c r="AL207" s="24">
        <f t="shared" si="726"/>
        <v>0</v>
      </c>
      <c r="AM207" s="24">
        <f t="shared" si="726"/>
        <v>0</v>
      </c>
      <c r="AN207" s="24">
        <f t="shared" ref="AN207" si="727">+AN286-AM286</f>
        <v>0</v>
      </c>
      <c r="AO207" s="24">
        <f t="shared" ref="AO207" si="728">+AO286-AN286</f>
        <v>0</v>
      </c>
      <c r="AP207" s="24">
        <f t="shared" ref="AP207" si="729">+AP286-AO286</f>
        <v>0</v>
      </c>
      <c r="AQ207" s="24">
        <f t="shared" ref="AQ207" si="730">+AQ286-AP286</f>
        <v>0</v>
      </c>
      <c r="AR207" s="24">
        <f t="shared" ref="AR207" si="731">+AR286-AQ286</f>
        <v>0</v>
      </c>
      <c r="AS207" s="24">
        <f t="shared" ref="AS207" si="732">+AS286-AR286</f>
        <v>0</v>
      </c>
      <c r="AT207" s="24">
        <f t="shared" ref="AT207" si="733">+AT286-AS286</f>
        <v>0</v>
      </c>
      <c r="AU207" s="24">
        <f t="shared" ref="AU207" si="734">+AU286-AT286</f>
        <v>0</v>
      </c>
      <c r="AV207" s="24">
        <f t="shared" ref="AV207" si="735">+AV286-AU286</f>
        <v>0</v>
      </c>
      <c r="AW207" s="24">
        <f t="shared" ref="AW207" si="736">+AW286-AV286</f>
        <v>0</v>
      </c>
      <c r="AX207" s="24">
        <f t="shared" ref="AX207" si="737">+AX286-AW286</f>
        <v>0</v>
      </c>
      <c r="AY207" s="24">
        <f t="shared" ref="AY207" si="738">+AY286-AX286</f>
        <v>0</v>
      </c>
      <c r="AZ207" s="54"/>
      <c r="BA207" s="28">
        <v>-2.774</v>
      </c>
      <c r="BB207" s="28">
        <v>-4.83</v>
      </c>
      <c r="BC207" s="4">
        <f t="shared" si="724"/>
        <v>-0.307</v>
      </c>
      <c r="BD207" s="4">
        <f t="shared" si="712"/>
        <v>0</v>
      </c>
      <c r="BE207" s="4">
        <f t="shared" si="713"/>
        <v>0</v>
      </c>
      <c r="BF207" s="4">
        <f t="shared" si="714"/>
        <v>0</v>
      </c>
      <c r="BG207" s="4">
        <f t="shared" si="715"/>
        <v>0</v>
      </c>
      <c r="BH207" s="4">
        <f t="shared" si="716"/>
        <v>0</v>
      </c>
      <c r="BI207" s="4">
        <f t="shared" si="717"/>
        <v>0</v>
      </c>
      <c r="BJ207" s="4">
        <f t="shared" si="718"/>
        <v>0</v>
      </c>
      <c r="BK207" s="4">
        <f t="shared" si="719"/>
        <v>0</v>
      </c>
      <c r="BL207" s="4">
        <f t="shared" si="720"/>
        <v>0</v>
      </c>
      <c r="BM207" s="4">
        <f t="shared" si="721"/>
        <v>0</v>
      </c>
      <c r="BN207" s="4">
        <f t="shared" si="722"/>
        <v>0</v>
      </c>
      <c r="BO207" s="24"/>
    </row>
    <row r="208" spans="1:75">
      <c r="B208" t="s">
        <v>53</v>
      </c>
      <c r="C208" s="4"/>
      <c r="D208" s="7">
        <f>1.434</f>
        <v>1.4339999999999999</v>
      </c>
      <c r="E208" s="4"/>
      <c r="F208" s="7">
        <f>1.434-D208-E208</f>
        <v>0</v>
      </c>
      <c r="G208" s="24">
        <f>1.434-D208-E208-F208</f>
        <v>0</v>
      </c>
      <c r="H208" s="7">
        <f>2.031/2</f>
        <v>1.0155000000000001</v>
      </c>
      <c r="I208" s="7">
        <f>2.031/2</f>
        <v>1.0155000000000001</v>
      </c>
      <c r="J208" s="28"/>
      <c r="K208" s="28">
        <f>0.153+2.031-SUM(H208:J208)</f>
        <v>0.15300000000000002</v>
      </c>
      <c r="L208" s="28"/>
      <c r="M208" s="28"/>
      <c r="N208" s="28">
        <f>0.58-M208-L208</f>
        <v>0.57999999999999996</v>
      </c>
      <c r="O208" s="28">
        <f>0.87-N208-M208-L208</f>
        <v>0.29000000000000004</v>
      </c>
      <c r="P208" s="28"/>
      <c r="Q208" s="28">
        <f>0.083-P208</f>
        <v>8.3000000000000004E-2</v>
      </c>
      <c r="R208" s="28">
        <f>0.083-Q208-P208</f>
        <v>0</v>
      </c>
      <c r="S208" s="28">
        <f>0.468-P208-Q208-R208</f>
        <v>0.38500000000000001</v>
      </c>
      <c r="T208" s="28"/>
      <c r="U208" s="28"/>
      <c r="V208" s="28"/>
      <c r="W208" s="28"/>
      <c r="X208" s="28"/>
      <c r="Y208" s="28"/>
      <c r="Z208" s="28"/>
      <c r="AA208" s="28"/>
      <c r="AB208" s="24"/>
      <c r="AC208" s="24"/>
      <c r="AD208" s="24"/>
      <c r="AE208" s="24"/>
      <c r="AF208" s="24"/>
      <c r="AG208" s="24"/>
      <c r="AH208" s="24"/>
      <c r="AI208" s="24"/>
      <c r="AJ208" s="24"/>
      <c r="AK208" s="24"/>
      <c r="AL208" s="24"/>
      <c r="AM208" s="24"/>
      <c r="AN208" s="24"/>
      <c r="AO208" s="24"/>
      <c r="AP208" s="24"/>
      <c r="AQ208" s="24"/>
      <c r="AR208" s="24"/>
      <c r="AS208" s="24"/>
      <c r="AT208" s="24"/>
      <c r="AU208" s="24"/>
      <c r="AV208" s="24"/>
      <c r="AW208" s="24"/>
      <c r="AX208" s="24"/>
      <c r="AY208" s="24"/>
      <c r="AZ208" s="54"/>
      <c r="BA208" s="28"/>
      <c r="BB208" s="28"/>
      <c r="BC208" s="4">
        <f t="shared" si="724"/>
        <v>1.4339999999999999</v>
      </c>
      <c r="BD208" s="4">
        <f t="shared" si="712"/>
        <v>2.1840000000000002</v>
      </c>
      <c r="BE208" s="4">
        <f t="shared" si="713"/>
        <v>0.87</v>
      </c>
      <c r="BF208" s="4">
        <f t="shared" si="714"/>
        <v>0.46800000000000003</v>
      </c>
      <c r="BG208" s="4">
        <f t="shared" si="715"/>
        <v>0</v>
      </c>
      <c r="BH208" s="4">
        <f t="shared" si="716"/>
        <v>0</v>
      </c>
      <c r="BI208" s="4">
        <f t="shared" si="717"/>
        <v>0</v>
      </c>
      <c r="BJ208" s="4">
        <f t="shared" si="718"/>
        <v>0</v>
      </c>
      <c r="BK208" s="4">
        <f t="shared" si="719"/>
        <v>0</v>
      </c>
      <c r="BL208" s="4">
        <f t="shared" si="720"/>
        <v>0</v>
      </c>
      <c r="BM208" s="4">
        <f t="shared" si="721"/>
        <v>0</v>
      </c>
      <c r="BN208" s="4">
        <f t="shared" si="722"/>
        <v>0</v>
      </c>
      <c r="BO208" s="24"/>
    </row>
    <row r="209" spans="2:67">
      <c r="B209" t="s">
        <v>299</v>
      </c>
      <c r="C209" s="4"/>
      <c r="D209" s="7">
        <v>3.2909999999999999</v>
      </c>
      <c r="E209" s="4"/>
      <c r="F209" s="38">
        <f>3.291-0.948-D209-E209</f>
        <v>-0.94799999999999995</v>
      </c>
      <c r="G209" s="24">
        <f>-0.948-D209-E209-F209</f>
        <v>-3.2909999999999999</v>
      </c>
      <c r="H209" s="4"/>
      <c r="I209" s="4"/>
      <c r="J209" s="24"/>
      <c r="K209" s="28">
        <f>0.174+0.371-SUM(H209:J209)</f>
        <v>0.54499999999999993</v>
      </c>
      <c r="L209" s="28">
        <v>0.14799999999999999</v>
      </c>
      <c r="M209" s="28">
        <f>0.269+0.11-L209</f>
        <v>0.23100000000000001</v>
      </c>
      <c r="N209" s="28">
        <f>0.402-L209-M209</f>
        <v>2.2999999999999993E-2</v>
      </c>
      <c r="O209" s="28">
        <f>0.6-M209-N209-L209</f>
        <v>0.19799999999999998</v>
      </c>
      <c r="P209" s="28">
        <v>5.8000000000000003E-2</v>
      </c>
      <c r="Q209" s="28">
        <f>0.366-3.135-P209</f>
        <v>-2.8269999999999995</v>
      </c>
      <c r="R209" s="28">
        <f>0.64-5.695-Q209-P209</f>
        <v>-2.2860000000000009</v>
      </c>
      <c r="S209" s="28">
        <f>0.247+1.323-10.065+0.164+3.117-P209-Q209-R209</f>
        <v>-0.15899999999999892</v>
      </c>
      <c r="T209" s="28">
        <f>0.527-2.605</f>
        <v>-2.0779999999999998</v>
      </c>
      <c r="U209" s="28">
        <f>0.808-5.059-T209</f>
        <v>-2.1730000000000005</v>
      </c>
      <c r="V209" s="28">
        <f>1.201-9.298-T209-U209</f>
        <v>-3.8459999999999996</v>
      </c>
      <c r="W209" s="28">
        <f>0.261+1.752+0.224-10.171+1.927-SUM(T209:V209)</f>
        <v>2.09</v>
      </c>
      <c r="X209" s="28">
        <f>-1.581+0.068+0.314</f>
        <v>-1.1989999999999998</v>
      </c>
      <c r="Y209" s="28">
        <f>0.479+0.136+1.105-2.979-X209</f>
        <v>-6.0000000000000275E-2</v>
      </c>
      <c r="Z209" s="28">
        <f>0.699+0.206+1.75-5.371-X209-Y209</f>
        <v>-1.4570000000000005</v>
      </c>
      <c r="AA209" s="28">
        <f>0.865+0.229+19.912+3.519+0.08-10.742+9.027-Y209-Z209-X209</f>
        <v>25.605999999999995</v>
      </c>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54"/>
      <c r="BA209" s="7">
        <f>-4.844-22.131+0.082</f>
        <v>-26.893000000000001</v>
      </c>
      <c r="BB209" s="7">
        <f>-0.96+0.544-0.1</f>
        <v>-0.5159999999999999</v>
      </c>
      <c r="BC209" s="4">
        <f t="shared" si="724"/>
        <v>-0.94799999999999995</v>
      </c>
      <c r="BD209" s="4">
        <f t="shared" si="712"/>
        <v>0.54499999999999993</v>
      </c>
      <c r="BE209" s="4">
        <f t="shared" si="713"/>
        <v>0.6</v>
      </c>
      <c r="BF209" s="4">
        <f t="shared" si="714"/>
        <v>-5.2139999999999995</v>
      </c>
      <c r="BG209" s="4">
        <f t="shared" si="715"/>
        <v>-6.0069999999999997</v>
      </c>
      <c r="BH209" s="4">
        <f t="shared" si="716"/>
        <v>22.889999999999993</v>
      </c>
      <c r="BI209" s="4">
        <f t="shared" si="717"/>
        <v>0</v>
      </c>
      <c r="BJ209" s="4">
        <f t="shared" si="718"/>
        <v>0</v>
      </c>
      <c r="BK209" s="4">
        <f t="shared" si="719"/>
        <v>0</v>
      </c>
      <c r="BL209" s="4">
        <f t="shared" si="720"/>
        <v>0</v>
      </c>
      <c r="BM209" s="4">
        <f t="shared" si="721"/>
        <v>0</v>
      </c>
      <c r="BN209" s="4">
        <f t="shared" si="722"/>
        <v>0</v>
      </c>
      <c r="BO209" s="24"/>
    </row>
    <row r="210" spans="2:67">
      <c r="B210" t="s">
        <v>55</v>
      </c>
      <c r="C210" s="4"/>
      <c r="D210" s="4"/>
      <c r="E210" s="4"/>
      <c r="F210" s="4"/>
      <c r="G210" s="24"/>
      <c r="H210" s="4"/>
      <c r="I210" s="4"/>
      <c r="J210" s="24"/>
      <c r="K210" s="24"/>
      <c r="L210" s="24"/>
      <c r="M210" s="24"/>
      <c r="N210" s="24"/>
      <c r="O210" s="24"/>
      <c r="P210" s="24"/>
      <c r="Q210" s="24"/>
      <c r="R210" s="24"/>
      <c r="S210" s="24"/>
      <c r="T210" s="24"/>
      <c r="U210" s="24"/>
      <c r="V210" s="24"/>
      <c r="W210" s="24"/>
      <c r="X210" s="24"/>
      <c r="Y210" s="24"/>
      <c r="Z210" s="24"/>
      <c r="AA210" s="2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54"/>
      <c r="BA210" s="4"/>
      <c r="BB210" s="7"/>
      <c r="BC210" s="4"/>
      <c r="BD210" s="4"/>
      <c r="BE210" s="4"/>
      <c r="BF210" s="4"/>
      <c r="BG210" s="4"/>
      <c r="BH210" s="4"/>
      <c r="BI210" s="4"/>
      <c r="BJ210" s="4"/>
      <c r="BK210" s="4"/>
      <c r="BL210" s="4"/>
      <c r="BM210" s="4"/>
      <c r="BN210" s="4"/>
      <c r="BO210" s="24"/>
    </row>
    <row r="211" spans="2:67">
      <c r="B211" s="13" t="s">
        <v>56</v>
      </c>
      <c r="C211" s="4"/>
      <c r="D211" s="7">
        <f>0.755/2</f>
        <v>0.3775</v>
      </c>
      <c r="E211" s="7">
        <f>0.755/2</f>
        <v>0.3775</v>
      </c>
      <c r="F211" s="7">
        <f>1.179-D211-E211</f>
        <v>0.4240000000000001</v>
      </c>
      <c r="G211" s="24">
        <f>-0.598-D211-E211-F211</f>
        <v>-1.7770000000000001</v>
      </c>
      <c r="H211" s="7">
        <f>-1.073/2</f>
        <v>-0.53649999999999998</v>
      </c>
      <c r="I211" s="7">
        <f>-1.073/2</f>
        <v>-0.53649999999999998</v>
      </c>
      <c r="J211" s="28">
        <f>-0.587-I211-H211</f>
        <v>0.48599999999999999</v>
      </c>
      <c r="K211" s="28">
        <f>-2.419-0.617-SUM(H211:J211)</f>
        <v>-2.4489999999999998</v>
      </c>
      <c r="L211" s="28">
        <v>2.7890000000000001</v>
      </c>
      <c r="M211" s="28">
        <f>1.592-L211</f>
        <v>-1.1970000000000001</v>
      </c>
      <c r="N211" s="28">
        <f>0.104-M211-L211</f>
        <v>-1.488</v>
      </c>
      <c r="O211" s="28">
        <f>-1.745-N211-M211-L211</f>
        <v>-1.8490000000000002</v>
      </c>
      <c r="P211" s="28">
        <v>-1.2090000000000001</v>
      </c>
      <c r="Q211" s="28">
        <f>-1.556-P211</f>
        <v>-0.34699999999999998</v>
      </c>
      <c r="R211" s="28">
        <f>-2.382-Q211-P211</f>
        <v>-0.82600000000000007</v>
      </c>
      <c r="S211" s="28">
        <f>-1.138-P211-Q211-R211</f>
        <v>1.2440000000000002</v>
      </c>
      <c r="T211" s="28">
        <v>-3.173</v>
      </c>
      <c r="U211" s="28">
        <f>-9.834-T211</f>
        <v>-6.6609999999999996</v>
      </c>
      <c r="V211" s="28">
        <f>-9.191-T211-U211</f>
        <v>0.64299999999999891</v>
      </c>
      <c r="W211" s="28">
        <f>-17.101-SUM(T211:V211)</f>
        <v>-7.9099999999999984</v>
      </c>
      <c r="X211" s="28">
        <v>-1.0840000000000001</v>
      </c>
      <c r="Y211" s="28">
        <f>-3.599-X211</f>
        <v>-2.5150000000000001</v>
      </c>
      <c r="Z211" s="28">
        <f>-7.518-X211-Y211</f>
        <v>-3.9189999999999992</v>
      </c>
      <c r="AA211" s="28">
        <f>-12.881-Y211-Z211-X211</f>
        <v>-5.3630000000000013</v>
      </c>
      <c r="AB211" s="24">
        <f t="shared" ref="AB211:AM211" ca="1" si="739">+AA269-AB269</f>
        <v>7.0741206574252402</v>
      </c>
      <c r="AC211" s="24">
        <f t="shared" ca="1" si="739"/>
        <v>-0.66029086900987721</v>
      </c>
      <c r="AD211" s="24">
        <f t="shared" ca="1" si="739"/>
        <v>-0.74311492386976852</v>
      </c>
      <c r="AE211" s="24">
        <f t="shared" ca="1" si="739"/>
        <v>-0.48983814120617808</v>
      </c>
      <c r="AF211" s="24">
        <f t="shared" ca="1" si="739"/>
        <v>-0.37233218485047104</v>
      </c>
      <c r="AG211" s="24">
        <f t="shared" ca="1" si="739"/>
        <v>-1.2351747149463819</v>
      </c>
      <c r="AH211" s="24">
        <f t="shared" ca="1" si="739"/>
        <v>-1.1915170411461062</v>
      </c>
      <c r="AI211" s="24">
        <f t="shared" ca="1" si="739"/>
        <v>-0.94642893669021078</v>
      </c>
      <c r="AJ211" s="24">
        <f t="shared" ca="1" si="739"/>
        <v>-0.58353305033973157</v>
      </c>
      <c r="AK211" s="24">
        <f t="shared" ca="1" si="739"/>
        <v>-1.2111907440278813</v>
      </c>
      <c r="AL211" s="24">
        <f t="shared" ca="1" si="739"/>
        <v>-1.2430655306387806</v>
      </c>
      <c r="AM211" s="24">
        <f t="shared" ca="1" si="739"/>
        <v>-1.012628938632723</v>
      </c>
      <c r="AN211" s="24">
        <f t="shared" ref="AN211" ca="1" si="740">+AM269-AN269</f>
        <v>-0.63632444708524361</v>
      </c>
      <c r="AO211" s="24">
        <f t="shared" ref="AO211" ca="1" si="741">+AN269-AO269</f>
        <v>-1.3085393267967618</v>
      </c>
      <c r="AP211" s="24">
        <f t="shared" ref="AP211" ca="1" si="742">+AO269-AP269</f>
        <v>-1.3435998910088927</v>
      </c>
      <c r="AQ211" s="24">
        <f t="shared" ref="AQ211" ca="1" si="743">+AP269-AQ269</f>
        <v>-1.0923707018411974</v>
      </c>
      <c r="AR211" s="24">
        <f t="shared" ref="AR211" ca="1" si="744">+AQ269-AR269</f>
        <v>-0.68078149174635882</v>
      </c>
      <c r="AS211" s="24">
        <f t="shared" ref="AS211" ca="1" si="745">+AR269-AS269</f>
        <v>-1.4053668718848584</v>
      </c>
      <c r="AT211" s="24">
        <f t="shared" ref="AT211" ca="1" si="746">+AS269-AT269</f>
        <v>-1.4403302394619146</v>
      </c>
      <c r="AU211" s="24">
        <f t="shared" ref="AU211" ca="1" si="747">+AT269-AU269</f>
        <v>-1.1643589762977413</v>
      </c>
      <c r="AV211" s="24">
        <f t="shared" ref="AV211" ca="1" si="748">+AU269-AV269</f>
        <v>-0.71443018732642116</v>
      </c>
      <c r="AW211" s="24">
        <f t="shared" ref="AW211" ca="1" si="749">+AV269-AW269</f>
        <v>-1.4962206930799979</v>
      </c>
      <c r="AX211" s="24">
        <f t="shared" ref="AX211" ca="1" si="750">+AW269-AX269</f>
        <v>-1.530417743750867</v>
      </c>
      <c r="AY211" s="24">
        <f t="shared" ref="AY211" ca="1" si="751">+AX269-AY269</f>
        <v>-1.2278974328823224</v>
      </c>
      <c r="AZ211" s="54"/>
      <c r="BA211" s="7">
        <v>9.2999999999999999E-2</v>
      </c>
      <c r="BB211" s="7">
        <v>-2.11</v>
      </c>
      <c r="BC211" s="4">
        <f t="shared" si="724"/>
        <v>-0.59800000000000009</v>
      </c>
      <c r="BD211" s="4">
        <f>+SUM(H211:K211)</f>
        <v>-3.0359999999999996</v>
      </c>
      <c r="BE211" s="4">
        <f>+SUM(L211:O211)</f>
        <v>-1.7450000000000001</v>
      </c>
      <c r="BF211" s="4">
        <f t="shared" ref="BF211:BF218" si="752">+SUM(P211:S211)</f>
        <v>-1.1379999999999999</v>
      </c>
      <c r="BG211" s="4">
        <f t="shared" ref="BG211:BG218" si="753">+SUM(T211:W211)</f>
        <v>-17.100999999999999</v>
      </c>
      <c r="BH211" s="4">
        <f t="shared" ref="BH211:BH218" si="754">+SUM(X211:AA211)</f>
        <v>-12.881</v>
      </c>
      <c r="BI211" s="4">
        <f t="shared" ref="BI211:BI218" ca="1" si="755">+SUM(AB211:AE211)</f>
        <v>5.1808767233394164</v>
      </c>
      <c r="BJ211" s="4">
        <f t="shared" ref="BJ211:BJ218" ca="1" si="756">+SUM(AF211:AI211)</f>
        <v>-3.7454528776331699</v>
      </c>
      <c r="BK211" s="4">
        <f t="shared" ref="BK211:BK218" ca="1" si="757">+SUM(AJ211:AM211)</f>
        <v>-4.0504182636391164</v>
      </c>
      <c r="BL211" s="4">
        <f t="shared" ref="BL211:BL218" ca="1" si="758">+SUM(AN211:AQ211)</f>
        <v>-4.3808343667320955</v>
      </c>
      <c r="BM211" s="4">
        <f t="shared" ref="BM211:BM218" ca="1" si="759">+SUM(AR211:AU211)</f>
        <v>-4.6908375793908732</v>
      </c>
      <c r="BN211" s="4">
        <f t="shared" ref="BN211:BN218" ca="1" si="760">+SUM(AV211:AY211)</f>
        <v>-4.9689660570396086</v>
      </c>
      <c r="BO211" s="24"/>
    </row>
    <row r="212" spans="2:67">
      <c r="B212" s="13" t="s">
        <v>57</v>
      </c>
      <c r="C212" s="4"/>
      <c r="D212" s="7">
        <f>1.133/2</f>
        <v>0.5665</v>
      </c>
      <c r="E212" s="7">
        <f>1.133/2</f>
        <v>0.5665</v>
      </c>
      <c r="F212" s="7">
        <f>1.726-D212-E212</f>
        <v>0.59299999999999997</v>
      </c>
      <c r="G212" s="24">
        <f>2.332-D212-E212-F212</f>
        <v>0.60599999999999987</v>
      </c>
      <c r="H212" s="4"/>
      <c r="I212" s="4"/>
      <c r="J212" s="24"/>
      <c r="K212" s="24"/>
      <c r="L212" s="24"/>
      <c r="M212" s="24"/>
      <c r="N212" s="24"/>
      <c r="O212" s="24"/>
      <c r="P212" s="24"/>
      <c r="Q212" s="24"/>
      <c r="R212" s="24"/>
      <c r="S212" s="24"/>
      <c r="T212" s="24"/>
      <c r="U212" s="24"/>
      <c r="V212" s="24"/>
      <c r="W212" s="24"/>
      <c r="X212" s="24"/>
      <c r="Y212" s="24"/>
      <c r="Z212" s="24"/>
      <c r="AA212" s="2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54"/>
      <c r="BA212" s="7">
        <v>1.9410000000000001</v>
      </c>
      <c r="BB212" s="7">
        <v>2.125</v>
      </c>
      <c r="BC212" s="4">
        <f t="shared" si="724"/>
        <v>2.3319999999999999</v>
      </c>
      <c r="BD212" s="4">
        <f t="shared" ref="BD212:BD218" si="761">+SUM(H212:K212)</f>
        <v>0</v>
      </c>
      <c r="BE212" s="4">
        <f t="shared" ref="BE212:BE218" si="762">+SUM(L212:O212)</f>
        <v>0</v>
      </c>
      <c r="BF212" s="4">
        <f t="shared" si="752"/>
        <v>0</v>
      </c>
      <c r="BG212" s="4">
        <f t="shared" si="753"/>
        <v>0</v>
      </c>
      <c r="BH212" s="4">
        <f t="shared" si="754"/>
        <v>0</v>
      </c>
      <c r="BI212" s="4">
        <f t="shared" si="755"/>
        <v>0</v>
      </c>
      <c r="BJ212" s="4">
        <f t="shared" si="756"/>
        <v>0</v>
      </c>
      <c r="BK212" s="4">
        <f t="shared" si="757"/>
        <v>0</v>
      </c>
      <c r="BL212" s="4">
        <f t="shared" si="758"/>
        <v>0</v>
      </c>
      <c r="BM212" s="4">
        <f t="shared" si="759"/>
        <v>0</v>
      </c>
      <c r="BN212" s="4">
        <f t="shared" si="760"/>
        <v>0</v>
      </c>
      <c r="BO212" s="24"/>
    </row>
    <row r="213" spans="2:67">
      <c r="B213" s="13" t="s">
        <v>58</v>
      </c>
      <c r="C213" s="4"/>
      <c r="D213" s="7">
        <f>-0.577/2</f>
        <v>-0.28849999999999998</v>
      </c>
      <c r="E213" s="7">
        <f>-0.577/2</f>
        <v>-0.28849999999999998</v>
      </c>
      <c r="F213" s="7">
        <f>-0.719-D213-E213</f>
        <v>-0.14200000000000002</v>
      </c>
      <c r="G213" s="24">
        <f>0.058-D213-E213-F213</f>
        <v>0.77700000000000002</v>
      </c>
      <c r="H213" s="7">
        <f>-0.992/2</f>
        <v>-0.496</v>
      </c>
      <c r="I213" s="7">
        <f>-0.992/2</f>
        <v>-0.496</v>
      </c>
      <c r="J213" s="28">
        <f>-1.51-H213-I213</f>
        <v>-0.51800000000000002</v>
      </c>
      <c r="K213" s="28">
        <f>0.678-1.464-SUM(H213:J213)</f>
        <v>0.72400000000000009</v>
      </c>
      <c r="L213" s="28">
        <v>-3.0070000000000001</v>
      </c>
      <c r="M213" s="28">
        <f>-2.501-L213</f>
        <v>0.50600000000000023</v>
      </c>
      <c r="N213" s="28">
        <f>-2.245-M213-L213</f>
        <v>0.25599999999999978</v>
      </c>
      <c r="O213" s="28">
        <f>-1.266-N213-M213-L213</f>
        <v>0.97900000000000009</v>
      </c>
      <c r="P213" s="28">
        <v>-3.3980000000000001</v>
      </c>
      <c r="Q213" s="28">
        <f>-2.76-P213</f>
        <v>0.63800000000000034</v>
      </c>
      <c r="R213" s="28">
        <f>-4.713-Q213-P213</f>
        <v>-1.9530000000000007</v>
      </c>
      <c r="S213" s="28">
        <f>-2.182-P213-Q213-R213</f>
        <v>2.5310000000000006</v>
      </c>
      <c r="T213" s="28">
        <v>-4.056</v>
      </c>
      <c r="U213" s="28">
        <f>-1.966-T213</f>
        <v>2.09</v>
      </c>
      <c r="V213" s="28">
        <f>-2.854-T213-U213</f>
        <v>-0.8879999999999999</v>
      </c>
      <c r="W213" s="28">
        <f>0.158-SUM(T213:V213)</f>
        <v>3.012</v>
      </c>
      <c r="X213" s="28">
        <v>-3.2530000000000001</v>
      </c>
      <c r="Y213" s="28">
        <f>-1.957-X213</f>
        <v>1.296</v>
      </c>
      <c r="Z213" s="28">
        <f>-0.291-X213-Y213</f>
        <v>1.6660000000000001</v>
      </c>
      <c r="AA213" s="28">
        <f>0.755-Y213-Z213-X213</f>
        <v>1.0459999999999998</v>
      </c>
      <c r="AB213" s="4">
        <f t="shared" ref="AB213:AM213" si="763">+AA272-AB272</f>
        <v>0</v>
      </c>
      <c r="AC213" s="4">
        <f t="shared" si="763"/>
        <v>0</v>
      </c>
      <c r="AD213" s="4">
        <f t="shared" si="763"/>
        <v>0</v>
      </c>
      <c r="AE213" s="4">
        <f t="shared" si="763"/>
        <v>0</v>
      </c>
      <c r="AF213" s="4">
        <f t="shared" si="763"/>
        <v>0</v>
      </c>
      <c r="AG213" s="4">
        <f t="shared" si="763"/>
        <v>0</v>
      </c>
      <c r="AH213" s="4">
        <f t="shared" si="763"/>
        <v>0</v>
      </c>
      <c r="AI213" s="4">
        <f t="shared" si="763"/>
        <v>0</v>
      </c>
      <c r="AJ213" s="4">
        <f t="shared" si="763"/>
        <v>0</v>
      </c>
      <c r="AK213" s="4">
        <f t="shared" si="763"/>
        <v>0</v>
      </c>
      <c r="AL213" s="4">
        <f t="shared" si="763"/>
        <v>0</v>
      </c>
      <c r="AM213" s="4">
        <f t="shared" si="763"/>
        <v>0</v>
      </c>
      <c r="AN213" s="4">
        <f t="shared" ref="AN213" si="764">+AM272-AN272</f>
        <v>0</v>
      </c>
      <c r="AO213" s="4">
        <f t="shared" ref="AO213" si="765">+AN272-AO272</f>
        <v>0</v>
      </c>
      <c r="AP213" s="4">
        <f t="shared" ref="AP213" si="766">+AO272-AP272</f>
        <v>0</v>
      </c>
      <c r="AQ213" s="4">
        <f t="shared" ref="AQ213" si="767">+AP272-AQ272</f>
        <v>0</v>
      </c>
      <c r="AR213" s="4">
        <f t="shared" ref="AR213" si="768">+AQ272-AR272</f>
        <v>0</v>
      </c>
      <c r="AS213" s="4">
        <f t="shared" ref="AS213" si="769">+AR272-AS272</f>
        <v>0</v>
      </c>
      <c r="AT213" s="4">
        <f t="shared" ref="AT213" si="770">+AS272-AT272</f>
        <v>0</v>
      </c>
      <c r="AU213" s="4">
        <f t="shared" ref="AU213" si="771">+AT272-AU272</f>
        <v>0</v>
      </c>
      <c r="AV213" s="4">
        <f t="shared" ref="AV213" si="772">+AU272-AV272</f>
        <v>0</v>
      </c>
      <c r="AW213" s="4">
        <f t="shared" ref="AW213" si="773">+AV272-AW272</f>
        <v>0</v>
      </c>
      <c r="AX213" s="4">
        <f t="shared" ref="AX213" si="774">+AW272-AX272</f>
        <v>0</v>
      </c>
      <c r="AY213" s="4">
        <f t="shared" ref="AY213" si="775">+AX272-AY272</f>
        <v>0</v>
      </c>
      <c r="AZ213" s="54"/>
      <c r="BA213" s="7">
        <v>0.47099999999999997</v>
      </c>
      <c r="BB213" s="7">
        <v>-0.188</v>
      </c>
      <c r="BC213" s="4">
        <f t="shared" si="724"/>
        <v>5.8000000000000052E-2</v>
      </c>
      <c r="BD213" s="4">
        <f t="shared" si="761"/>
        <v>-0.78599999999999992</v>
      </c>
      <c r="BE213" s="4">
        <f t="shared" si="762"/>
        <v>-1.266</v>
      </c>
      <c r="BF213" s="4">
        <f t="shared" si="752"/>
        <v>-2.1820000000000004</v>
      </c>
      <c r="BG213" s="4">
        <f t="shared" si="753"/>
        <v>0.15799999999999992</v>
      </c>
      <c r="BH213" s="4">
        <f t="shared" si="754"/>
        <v>0.75499999999999989</v>
      </c>
      <c r="BI213" s="4">
        <f t="shared" si="755"/>
        <v>0</v>
      </c>
      <c r="BJ213" s="4">
        <f t="shared" si="756"/>
        <v>0</v>
      </c>
      <c r="BK213" s="4">
        <f t="shared" si="757"/>
        <v>0</v>
      </c>
      <c r="BL213" s="4">
        <f t="shared" si="758"/>
        <v>0</v>
      </c>
      <c r="BM213" s="4">
        <f t="shared" si="759"/>
        <v>0</v>
      </c>
      <c r="BN213" s="4">
        <f t="shared" si="760"/>
        <v>0</v>
      </c>
      <c r="BO213" s="24"/>
    </row>
    <row r="214" spans="2:67">
      <c r="B214" s="13" t="s">
        <v>59</v>
      </c>
      <c r="C214" s="4"/>
      <c r="D214" s="7">
        <f>1.008/2</f>
        <v>0.504</v>
      </c>
      <c r="E214" s="7">
        <f>1.008/2</f>
        <v>0.504</v>
      </c>
      <c r="F214" s="7">
        <f>1.013-D214-E214</f>
        <v>4.9999999999998934E-3</v>
      </c>
      <c r="G214" s="24">
        <f>1.294-D214-E214-F214</f>
        <v>0.28100000000000014</v>
      </c>
      <c r="H214" s="7">
        <f>0.146/2</f>
        <v>7.2999999999999995E-2</v>
      </c>
      <c r="I214" s="7">
        <f>0.146/2</f>
        <v>7.2999999999999995E-2</v>
      </c>
      <c r="J214" s="24"/>
      <c r="K214" s="28">
        <f>0.146-SUM(H214:J214)</f>
        <v>0</v>
      </c>
      <c r="L214" s="28"/>
      <c r="M214" s="28"/>
      <c r="N214" s="28"/>
      <c r="O214" s="28"/>
      <c r="P214" s="28"/>
      <c r="Q214" s="28"/>
      <c r="R214" s="28"/>
      <c r="S214" s="28"/>
      <c r="T214" s="28"/>
      <c r="U214" s="28"/>
      <c r="V214" s="28"/>
      <c r="W214" s="28"/>
      <c r="X214" s="28"/>
      <c r="Y214" s="28"/>
      <c r="Z214" s="28"/>
      <c r="AA214" s="28"/>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54"/>
      <c r="BA214" s="7">
        <v>1.012</v>
      </c>
      <c r="BB214" s="7">
        <v>-0.67900000000000005</v>
      </c>
      <c r="BC214" s="4">
        <f t="shared" si="724"/>
        <v>1.294</v>
      </c>
      <c r="BD214" s="4">
        <f t="shared" si="761"/>
        <v>0.14599999999999999</v>
      </c>
      <c r="BE214" s="4">
        <f t="shared" si="762"/>
        <v>0</v>
      </c>
      <c r="BF214" s="4">
        <f t="shared" si="752"/>
        <v>0</v>
      </c>
      <c r="BG214" s="4">
        <f t="shared" si="753"/>
        <v>0</v>
      </c>
      <c r="BH214" s="4">
        <f t="shared" si="754"/>
        <v>0</v>
      </c>
      <c r="BI214" s="4">
        <f t="shared" si="755"/>
        <v>0</v>
      </c>
      <c r="BJ214" s="4">
        <f t="shared" si="756"/>
        <v>0</v>
      </c>
      <c r="BK214" s="4">
        <f t="shared" si="757"/>
        <v>0</v>
      </c>
      <c r="BL214" s="4">
        <f t="shared" si="758"/>
        <v>0</v>
      </c>
      <c r="BM214" s="4">
        <f t="shared" si="759"/>
        <v>0</v>
      </c>
      <c r="BN214" s="4">
        <f t="shared" si="760"/>
        <v>0</v>
      </c>
      <c r="BO214" s="24"/>
    </row>
    <row r="215" spans="2:67">
      <c r="B215" s="13" t="s">
        <v>60</v>
      </c>
      <c r="C215" s="4"/>
      <c r="D215" s="7">
        <f>-0.281/2</f>
        <v>-0.14050000000000001</v>
      </c>
      <c r="E215" s="7">
        <f>-0.281/2</f>
        <v>-0.14050000000000001</v>
      </c>
      <c r="F215" s="7">
        <f>0.134-D215-E215</f>
        <v>0.41500000000000004</v>
      </c>
      <c r="G215" s="24">
        <f>-0.783-D215-E215-F215</f>
        <v>-0.91700000000000004</v>
      </c>
      <c r="H215" s="7">
        <f>-0.554/2</f>
        <v>-0.27700000000000002</v>
      </c>
      <c r="I215" s="7">
        <f>-0.554/2</f>
        <v>-0.27700000000000002</v>
      </c>
      <c r="J215" s="28">
        <f>0.291-I215-H215</f>
        <v>0.84500000000000008</v>
      </c>
      <c r="K215" s="28">
        <f>-0.463+0.486-SUM(H215:J215)</f>
        <v>-0.26800000000000007</v>
      </c>
      <c r="L215" s="28">
        <v>0.23200000000000001</v>
      </c>
      <c r="M215" s="28">
        <f>-0.252-L215</f>
        <v>-0.48399999999999999</v>
      </c>
      <c r="N215" s="28">
        <f>0.596-M215-L215</f>
        <v>0.84800000000000009</v>
      </c>
      <c r="O215" s="28">
        <f>-0.073-N215-M215-L215</f>
        <v>-0.66900000000000004</v>
      </c>
      <c r="P215" s="28">
        <v>0.19</v>
      </c>
      <c r="Q215" s="28">
        <f>-0.326-P215</f>
        <v>-0.51600000000000001</v>
      </c>
      <c r="R215" s="28">
        <f>-0.352-P215-Q215</f>
        <v>-2.6000000000000023E-2</v>
      </c>
      <c r="S215" s="28">
        <f>-5.016-P215-Q215-R215</f>
        <v>-4.6640000000000006</v>
      </c>
      <c r="T215" s="28">
        <v>-0.129</v>
      </c>
      <c r="U215" s="28">
        <f>-0.479-T215</f>
        <v>-0.35</v>
      </c>
      <c r="V215" s="28">
        <f>-0.967-T215-U215</f>
        <v>-0.48799999999999999</v>
      </c>
      <c r="W215" s="28">
        <f>-0.561-SUM(T215:V215)</f>
        <v>0.40599999999999992</v>
      </c>
      <c r="X215" s="28">
        <v>-0.8</v>
      </c>
      <c r="Y215" s="28">
        <f>-0.595-X215</f>
        <v>0.20500000000000007</v>
      </c>
      <c r="Z215" s="28">
        <f>-0.367-X215-Y215</f>
        <v>0.22799999999999998</v>
      </c>
      <c r="AA215" s="28">
        <f>0.282-Y215-Z215-X215</f>
        <v>0.64900000000000002</v>
      </c>
      <c r="AB215" s="4">
        <f t="shared" ref="AB215:AM215" si="776">+(AA271-AB271)+(AA274-AB274)</f>
        <v>0</v>
      </c>
      <c r="AC215" s="4">
        <f t="shared" si="776"/>
        <v>0</v>
      </c>
      <c r="AD215" s="4">
        <f t="shared" si="776"/>
        <v>0</v>
      </c>
      <c r="AE215" s="4">
        <f t="shared" si="776"/>
        <v>0</v>
      </c>
      <c r="AF215" s="4">
        <f t="shared" si="776"/>
        <v>0</v>
      </c>
      <c r="AG215" s="4">
        <f t="shared" si="776"/>
        <v>0</v>
      </c>
      <c r="AH215" s="4">
        <f t="shared" si="776"/>
        <v>0</v>
      </c>
      <c r="AI215" s="4">
        <f t="shared" si="776"/>
        <v>0</v>
      </c>
      <c r="AJ215" s="4">
        <f t="shared" si="776"/>
        <v>0</v>
      </c>
      <c r="AK215" s="4">
        <f t="shared" si="776"/>
        <v>0</v>
      </c>
      <c r="AL215" s="4">
        <f t="shared" si="776"/>
        <v>0</v>
      </c>
      <c r="AM215" s="4">
        <f t="shared" si="776"/>
        <v>0</v>
      </c>
      <c r="AN215" s="4">
        <f t="shared" ref="AN215" si="777">+(AM271-AN271)+(AM274-AN274)</f>
        <v>0</v>
      </c>
      <c r="AO215" s="4">
        <f t="shared" ref="AO215" si="778">+(AN271-AO271)+(AN274-AO274)</f>
        <v>0</v>
      </c>
      <c r="AP215" s="4">
        <f t="shared" ref="AP215" si="779">+(AO271-AP271)+(AO274-AP274)</f>
        <v>0</v>
      </c>
      <c r="AQ215" s="4">
        <f t="shared" ref="AQ215" si="780">+(AP271-AQ271)+(AP274-AQ274)</f>
        <v>0</v>
      </c>
      <c r="AR215" s="4">
        <f t="shared" ref="AR215" si="781">+(AQ271-AR271)+(AQ274-AR274)</f>
        <v>0</v>
      </c>
      <c r="AS215" s="4">
        <f t="shared" ref="AS215" si="782">+(AR271-AS271)+(AR274-AS274)</f>
        <v>0</v>
      </c>
      <c r="AT215" s="4">
        <f t="shared" ref="AT215" si="783">+(AS271-AT271)+(AS274-AT274)</f>
        <v>0</v>
      </c>
      <c r="AU215" s="4">
        <f t="shared" ref="AU215" si="784">+(AT271-AU271)+(AT274-AU274)</f>
        <v>0</v>
      </c>
      <c r="AV215" s="4">
        <f t="shared" ref="AV215" si="785">+(AU271-AV271)+(AU274-AV274)</f>
        <v>0</v>
      </c>
      <c r="AW215" s="4">
        <f t="shared" ref="AW215" si="786">+(AV271-AW271)+(AV274-AW274)</f>
        <v>0</v>
      </c>
      <c r="AX215" s="4">
        <f t="shared" ref="AX215" si="787">+(AW271-AX271)+(AW274-AX274)</f>
        <v>0</v>
      </c>
      <c r="AY215" s="4">
        <f t="shared" ref="AY215" si="788">+(AX271-AY271)+(AX274-AY274)</f>
        <v>0</v>
      </c>
      <c r="AZ215" s="54"/>
      <c r="BA215" s="7">
        <v>-0.85599999999999998</v>
      </c>
      <c r="BB215" s="7">
        <v>-0.54</v>
      </c>
      <c r="BC215" s="4">
        <f t="shared" si="724"/>
        <v>-0.78300000000000003</v>
      </c>
      <c r="BD215" s="4">
        <f t="shared" si="761"/>
        <v>2.2999999999999965E-2</v>
      </c>
      <c r="BE215" s="4">
        <f t="shared" si="762"/>
        <v>-7.2999999999999954E-2</v>
      </c>
      <c r="BF215" s="4">
        <f t="shared" si="752"/>
        <v>-5.0160000000000009</v>
      </c>
      <c r="BG215" s="4">
        <f t="shared" si="753"/>
        <v>-0.56100000000000005</v>
      </c>
      <c r="BH215" s="4">
        <f t="shared" si="754"/>
        <v>0.28200000000000003</v>
      </c>
      <c r="BI215" s="4">
        <f t="shared" si="755"/>
        <v>0</v>
      </c>
      <c r="BJ215" s="4">
        <f t="shared" si="756"/>
        <v>0</v>
      </c>
      <c r="BK215" s="4">
        <f t="shared" si="757"/>
        <v>0</v>
      </c>
      <c r="BL215" s="4">
        <f t="shared" si="758"/>
        <v>0</v>
      </c>
      <c r="BM215" s="4">
        <f t="shared" si="759"/>
        <v>0</v>
      </c>
      <c r="BN215" s="4">
        <f t="shared" si="760"/>
        <v>0</v>
      </c>
      <c r="BO215" s="24"/>
    </row>
    <row r="216" spans="2:67">
      <c r="B216" s="13" t="s">
        <v>61</v>
      </c>
      <c r="C216" s="4"/>
      <c r="D216" s="7">
        <f>2.148/2</f>
        <v>1.0740000000000001</v>
      </c>
      <c r="E216" s="7">
        <f>2.148/2</f>
        <v>1.0740000000000001</v>
      </c>
      <c r="F216" s="7">
        <f>1.126-D216-E216</f>
        <v>-1.0220000000000002</v>
      </c>
      <c r="G216" s="24">
        <f>5.322-D216-E216-F216</f>
        <v>4.1960000000000006</v>
      </c>
      <c r="H216" s="7">
        <f>0.043/2</f>
        <v>2.1499999999999998E-2</v>
      </c>
      <c r="I216" s="7">
        <f>0.043/2</f>
        <v>2.1499999999999998E-2</v>
      </c>
      <c r="J216" s="28">
        <f>-4.888-I216-H216</f>
        <v>-4.9309999999999992</v>
      </c>
      <c r="K216" s="28">
        <f>15.061-9.234-SUM(H216:J216)</f>
        <v>10.715</v>
      </c>
      <c r="L216" s="28">
        <v>-5.8529999999999998</v>
      </c>
      <c r="M216" s="28">
        <f>-7.996-L216</f>
        <v>-2.1430000000000007</v>
      </c>
      <c r="N216" s="28">
        <f>-7.833-M216-L216</f>
        <v>0.16300000000000026</v>
      </c>
      <c r="O216" s="28">
        <f>-8.663-N216-M216-L216</f>
        <v>-0.83000000000000007</v>
      </c>
      <c r="P216" s="28">
        <v>-5.3760000000000003</v>
      </c>
      <c r="Q216" s="28">
        <f>-1.823-P216</f>
        <v>3.5530000000000004</v>
      </c>
      <c r="R216" s="28">
        <f>-2.427-P216-Q216</f>
        <v>-0.60400000000000009</v>
      </c>
      <c r="S216" s="28">
        <f>8.938-P216-Q216-R216</f>
        <v>11.364999999999998</v>
      </c>
      <c r="T216" s="28">
        <v>-12.784000000000001</v>
      </c>
      <c r="U216" s="28">
        <f>5.39-T216</f>
        <v>18.173999999999999</v>
      </c>
      <c r="V216" s="28">
        <f>3.359-T216-U216</f>
        <v>-2.0309999999999988</v>
      </c>
      <c r="W216" s="28">
        <f>6.29-SUM(T216:V216)</f>
        <v>2.931</v>
      </c>
      <c r="X216" s="28">
        <v>-11.815</v>
      </c>
      <c r="Y216" s="28">
        <f>-7.64-X216</f>
        <v>4.1749999999999998</v>
      </c>
      <c r="Z216" s="28">
        <f>-4.145-X216-Y216</f>
        <v>3.4950000000000001</v>
      </c>
      <c r="AA216" s="28">
        <f>-5.071-Y216-Z216-X216</f>
        <v>-0.92600000000000016</v>
      </c>
      <c r="AB216" s="4">
        <f t="shared" ref="AB216:AM216" ca="1" si="789">+AB283-AA283</f>
        <v>-17.056019771537322</v>
      </c>
      <c r="AC216" s="4">
        <f t="shared" ca="1" si="789"/>
        <v>1.591990674484336</v>
      </c>
      <c r="AD216" s="4">
        <f t="shared" ca="1" si="789"/>
        <v>1.7916831572194951</v>
      </c>
      <c r="AE216" s="4">
        <f t="shared" ca="1" si="789"/>
        <v>1.1810215609619661</v>
      </c>
      <c r="AF216" s="4">
        <f t="shared" ca="1" si="789"/>
        <v>0.8977094700418462</v>
      </c>
      <c r="AG216" s="4">
        <f t="shared" ca="1" si="789"/>
        <v>2.9780612149038888</v>
      </c>
      <c r="AH216" s="4">
        <f t="shared" ca="1" si="789"/>
        <v>2.8728006201845631</v>
      </c>
      <c r="AI216" s="4">
        <f t="shared" ca="1" si="789"/>
        <v>2.2818822915608337</v>
      </c>
      <c r="AJ216" s="4">
        <f t="shared" ca="1" si="789"/>
        <v>1.4069241572085787</v>
      </c>
      <c r="AK216" s="4">
        <f t="shared" ca="1" si="789"/>
        <v>2.9202347935017343</v>
      </c>
      <c r="AL216" s="4">
        <f t="shared" ca="1" si="789"/>
        <v>2.9970863227555355</v>
      </c>
      <c r="AM216" s="4">
        <f t="shared" ca="1" si="789"/>
        <v>2.4414934427817485</v>
      </c>
      <c r="AN216" s="4">
        <f t="shared" ref="AN216:AN217" ca="1" si="790">+AN283-AM283</f>
        <v>1.5342065644875049</v>
      </c>
      <c r="AO216" s="4">
        <f t="shared" ref="AO216:AO217" ca="1" si="791">+AO283-AN283</f>
        <v>3.1549465595068114</v>
      </c>
      <c r="AP216" s="4">
        <f t="shared" ref="AP216:AP217" ca="1" si="792">+AP283-AO283</f>
        <v>3.2394791403549448</v>
      </c>
      <c r="AQ216" s="4">
        <f t="shared" ref="AQ216:AQ217" ca="1" si="793">+AQ283-AP283</f>
        <v>2.6337543831536436</v>
      </c>
      <c r="AR216" s="4">
        <f t="shared" ref="AR216:AR217" ca="1" si="794">+AR283-AQ283</f>
        <v>1.6413944779320104</v>
      </c>
      <c r="AS216" s="4">
        <f t="shared" ref="AS216:AS217" ca="1" si="795">+AS283-AR283</f>
        <v>3.3884020804723036</v>
      </c>
      <c r="AT216" s="4">
        <f t="shared" ref="AT216:AT217" ca="1" si="796">+AT283-AS283</f>
        <v>3.4727003159070762</v>
      </c>
      <c r="AU216" s="4">
        <f t="shared" ref="AU216:AU217" ca="1" si="797">+AU283-AT283</f>
        <v>2.8073213170397651</v>
      </c>
      <c r="AV216" s="4">
        <f t="shared" ref="AV216:AV217" ca="1" si="798">+AV283-AU283</f>
        <v>1.722522980666497</v>
      </c>
      <c r="AW216" s="4">
        <f t="shared" ref="AW216:AW217" ca="1" si="799">+AW283-AV283</f>
        <v>3.6074546872436315</v>
      </c>
      <c r="AX216" s="4">
        <f t="shared" ref="AX216:AX217" ca="1" si="800">+AX283-AW283</f>
        <v>3.68990529850916</v>
      </c>
      <c r="AY216" s="4">
        <f t="shared" ref="AY216:AY217" ca="1" si="801">+AY283-AX283</f>
        <v>2.9605153639382991</v>
      </c>
      <c r="AZ216" s="54"/>
      <c r="BA216" s="7">
        <v>2.3490000000000002</v>
      </c>
      <c r="BB216" s="7">
        <v>2.5739999999999998</v>
      </c>
      <c r="BC216" s="4">
        <f t="shared" si="724"/>
        <v>5.322000000000001</v>
      </c>
      <c r="BD216" s="4">
        <f t="shared" si="761"/>
        <v>5.8270000000000008</v>
      </c>
      <c r="BE216" s="4">
        <f t="shared" si="762"/>
        <v>-8.6630000000000003</v>
      </c>
      <c r="BF216" s="4">
        <f t="shared" si="752"/>
        <v>8.9379999999999988</v>
      </c>
      <c r="BG216" s="4">
        <f t="shared" si="753"/>
        <v>6.29</v>
      </c>
      <c r="BH216" s="4">
        <f t="shared" si="754"/>
        <v>-5.0709999999999997</v>
      </c>
      <c r="BI216" s="4">
        <f t="shared" ca="1" si="755"/>
        <v>-12.491324378871525</v>
      </c>
      <c r="BJ216" s="4">
        <f t="shared" ca="1" si="756"/>
        <v>9.0304535966911317</v>
      </c>
      <c r="BK216" s="4">
        <f t="shared" ca="1" si="757"/>
        <v>9.765738716247597</v>
      </c>
      <c r="BL216" s="4">
        <f t="shared" ca="1" si="758"/>
        <v>10.562386647502905</v>
      </c>
      <c r="BM216" s="4">
        <f t="shared" ca="1" si="759"/>
        <v>11.309818191351155</v>
      </c>
      <c r="BN216" s="4">
        <f t="shared" ca="1" si="760"/>
        <v>11.980398330357588</v>
      </c>
      <c r="BO216" s="24"/>
    </row>
    <row r="217" spans="2:67">
      <c r="B217" s="13" t="s">
        <v>62</v>
      </c>
      <c r="D217" s="7">
        <f>-0.942/2</f>
        <v>-0.47099999999999997</v>
      </c>
      <c r="E217" s="7">
        <f>-0.942/2</f>
        <v>-0.47099999999999997</v>
      </c>
      <c r="F217" s="7">
        <f>-1.447-D217-E217</f>
        <v>-0.50500000000000012</v>
      </c>
      <c r="G217" s="24">
        <f>-1.586-D217-E217-F217</f>
        <v>-0.13900000000000012</v>
      </c>
      <c r="H217" s="7">
        <f>0.163/2</f>
        <v>8.1500000000000003E-2</v>
      </c>
      <c r="I217" s="7">
        <f>0.163/2</f>
        <v>8.1500000000000003E-2</v>
      </c>
      <c r="J217" s="28">
        <f>0.244-I217-H217</f>
        <v>8.0999999999999975E-2</v>
      </c>
      <c r="K217" s="28">
        <f>0.006+0.244-SUM(H217:J217)</f>
        <v>6.0000000000000053E-3</v>
      </c>
      <c r="L217" s="28">
        <v>7.0000000000000007E-2</v>
      </c>
      <c r="M217" s="28">
        <f>-0.064-L217</f>
        <v>-0.13400000000000001</v>
      </c>
      <c r="N217" s="28">
        <f>-0.044-M217-L217</f>
        <v>2.0000000000000004E-2</v>
      </c>
      <c r="O217" s="28">
        <f>0.041-N217-M217-L217</f>
        <v>8.4999999999999992E-2</v>
      </c>
      <c r="P217" s="28">
        <v>0.13800000000000001</v>
      </c>
      <c r="Q217" s="28">
        <f>-0.454-P217</f>
        <v>-0.59200000000000008</v>
      </c>
      <c r="R217" s="28">
        <f>-0.437-P217-Q217</f>
        <v>1.7000000000000126E-2</v>
      </c>
      <c r="S217" s="28">
        <f>-0.763-P217-Q217-R217</f>
        <v>-0.32600000000000007</v>
      </c>
      <c r="T217" s="28">
        <v>1.51</v>
      </c>
      <c r="U217" s="28">
        <f>1.484-T217</f>
        <v>-2.6000000000000023E-2</v>
      </c>
      <c r="V217" s="28">
        <f>0.984-T217-U217</f>
        <v>-0.5</v>
      </c>
      <c r="W217" s="28">
        <f>5.959-SUM(T217:V217)</f>
        <v>4.9749999999999996</v>
      </c>
      <c r="X217" s="28">
        <v>4.1440000000000001</v>
      </c>
      <c r="Y217" s="28">
        <f>5.745-X217</f>
        <v>1.601</v>
      </c>
      <c r="Z217" s="28">
        <f>3.48-X217-Y217</f>
        <v>-2.2650000000000001</v>
      </c>
      <c r="AA217" s="28">
        <f>5.491-Y217-Z217-X217</f>
        <v>2.0109999999999992</v>
      </c>
      <c r="AB217" s="4">
        <f t="shared" ref="AB217:AM217" si="802">+AB284-AA284</f>
        <v>0</v>
      </c>
      <c r="AC217" s="4">
        <f t="shared" si="802"/>
        <v>0</v>
      </c>
      <c r="AD217" s="4">
        <f t="shared" si="802"/>
        <v>0</v>
      </c>
      <c r="AE217" s="4">
        <f t="shared" si="802"/>
        <v>0</v>
      </c>
      <c r="AF217" s="4">
        <f t="shared" si="802"/>
        <v>0</v>
      </c>
      <c r="AG217" s="4">
        <f t="shared" si="802"/>
        <v>0</v>
      </c>
      <c r="AH217" s="4">
        <f t="shared" si="802"/>
        <v>0</v>
      </c>
      <c r="AI217" s="4">
        <f t="shared" si="802"/>
        <v>0</v>
      </c>
      <c r="AJ217" s="4">
        <f t="shared" si="802"/>
        <v>0</v>
      </c>
      <c r="AK217" s="4">
        <f t="shared" si="802"/>
        <v>0</v>
      </c>
      <c r="AL217" s="4">
        <f t="shared" si="802"/>
        <v>0</v>
      </c>
      <c r="AM217" s="4">
        <f t="shared" si="802"/>
        <v>0</v>
      </c>
      <c r="AN217" s="4">
        <f t="shared" si="790"/>
        <v>0</v>
      </c>
      <c r="AO217" s="4">
        <f t="shared" si="791"/>
        <v>0</v>
      </c>
      <c r="AP217" s="4">
        <f t="shared" si="792"/>
        <v>0</v>
      </c>
      <c r="AQ217" s="4">
        <f t="shared" si="793"/>
        <v>0</v>
      </c>
      <c r="AR217" s="4">
        <f t="shared" si="794"/>
        <v>0</v>
      </c>
      <c r="AS217" s="4">
        <f t="shared" si="795"/>
        <v>0</v>
      </c>
      <c r="AT217" s="4">
        <f t="shared" si="796"/>
        <v>0</v>
      </c>
      <c r="AU217" s="4">
        <f t="shared" si="797"/>
        <v>0</v>
      </c>
      <c r="AV217" s="4">
        <f t="shared" si="798"/>
        <v>0</v>
      </c>
      <c r="AW217" s="4">
        <f t="shared" si="799"/>
        <v>0</v>
      </c>
      <c r="AX217" s="4">
        <f t="shared" si="800"/>
        <v>0</v>
      </c>
      <c r="AY217" s="4">
        <f t="shared" si="801"/>
        <v>0</v>
      </c>
      <c r="AZ217" s="54"/>
      <c r="BA217" s="7">
        <v>0.6</v>
      </c>
      <c r="BB217" s="7">
        <v>-0.16300000000000001</v>
      </c>
      <c r="BC217" s="4">
        <f t="shared" si="724"/>
        <v>-1.5860000000000003</v>
      </c>
      <c r="BD217" s="4">
        <f t="shared" si="761"/>
        <v>0.25</v>
      </c>
      <c r="BE217" s="4">
        <f t="shared" si="762"/>
        <v>4.0999999999999995E-2</v>
      </c>
      <c r="BF217" s="4">
        <f t="shared" si="752"/>
        <v>-0.76300000000000001</v>
      </c>
      <c r="BG217" s="4">
        <f t="shared" si="753"/>
        <v>5.9589999999999996</v>
      </c>
      <c r="BH217" s="4">
        <f t="shared" si="754"/>
        <v>5.4909999999999997</v>
      </c>
      <c r="BI217" s="4">
        <f t="shared" si="755"/>
        <v>0</v>
      </c>
      <c r="BJ217" s="4">
        <f t="shared" si="756"/>
        <v>0</v>
      </c>
      <c r="BK217" s="4">
        <f t="shared" si="757"/>
        <v>0</v>
      </c>
      <c r="BL217" s="4">
        <f t="shared" si="758"/>
        <v>0</v>
      </c>
      <c r="BM217" s="4">
        <f t="shared" si="759"/>
        <v>0</v>
      </c>
      <c r="BN217" s="4">
        <f t="shared" si="760"/>
        <v>0</v>
      </c>
      <c r="BO217" s="24"/>
    </row>
    <row r="218" spans="2:67">
      <c r="B218" s="13" t="s">
        <v>63</v>
      </c>
      <c r="D218" s="7">
        <f>0.977/2</f>
        <v>0.48849999999999999</v>
      </c>
      <c r="E218" s="7">
        <f>0.977/2</f>
        <v>0.48849999999999999</v>
      </c>
      <c r="F218" s="7">
        <f>1.106-D218-E218</f>
        <v>0.12900000000000017</v>
      </c>
      <c r="G218" s="24">
        <f>1.163-D218-E218-F218</f>
        <v>5.699999999999994E-2</v>
      </c>
      <c r="H218" s="7">
        <f>0.129/2</f>
        <v>6.4500000000000002E-2</v>
      </c>
      <c r="I218" s="7">
        <f>0.129/2</f>
        <v>6.4500000000000002E-2</v>
      </c>
      <c r="J218" s="28">
        <f>0.816-I218-H218</f>
        <v>0.68699999999999994</v>
      </c>
      <c r="K218" s="28">
        <f>0.536+0.61-SUM(H218:J218)</f>
        <v>0.32999999999999996</v>
      </c>
      <c r="L218" s="28">
        <v>0.21299999999999999</v>
      </c>
      <c r="M218" s="28">
        <f>0.285-L218</f>
        <v>7.1999999999999981E-2</v>
      </c>
      <c r="N218" s="28">
        <f>1.637-M218-L218</f>
        <v>1.3519999999999999</v>
      </c>
      <c r="O218" s="28">
        <f>2.639-N218-M218-L218</f>
        <v>1.0019999999999998</v>
      </c>
      <c r="P218" s="28">
        <v>0.87</v>
      </c>
      <c r="Q218" s="28">
        <f>1.888-P218</f>
        <v>1.0179999999999998</v>
      </c>
      <c r="R218" s="28">
        <f>3.698-P218-Q218</f>
        <v>1.81</v>
      </c>
      <c r="S218" s="28">
        <f>-3.597-P218-Q218-R218</f>
        <v>-7.2949999999999999</v>
      </c>
      <c r="T218" s="28">
        <v>-0.40600000000000003</v>
      </c>
      <c r="U218" s="28">
        <f>1.351-T218</f>
        <v>1.7570000000000001</v>
      </c>
      <c r="V218" s="28">
        <f>1.448-T218-U218</f>
        <v>9.6999999999999975E-2</v>
      </c>
      <c r="W218" s="28">
        <f>5.037-SUM(T218:V218)</f>
        <v>3.589</v>
      </c>
      <c r="X218" s="28">
        <v>1.7909999999999999</v>
      </c>
      <c r="Y218" s="28">
        <f>1.441-X218</f>
        <v>-0.34999999999999987</v>
      </c>
      <c r="Z218" s="28">
        <f>0.547-X218-Y218</f>
        <v>-0.89399999999999991</v>
      </c>
      <c r="AA218" s="28">
        <f>3.312-Y218-Z218-X218</f>
        <v>2.7650000000000001</v>
      </c>
      <c r="AB218" s="4">
        <f t="shared" ref="AB218:AM218" si="803">+(AB285-AA285)+(AB286-AA286)</f>
        <v>0</v>
      </c>
      <c r="AC218" s="4">
        <f t="shared" si="803"/>
        <v>0</v>
      </c>
      <c r="AD218" s="4">
        <f t="shared" si="803"/>
        <v>0</v>
      </c>
      <c r="AE218" s="4">
        <f t="shared" si="803"/>
        <v>0</v>
      </c>
      <c r="AF218" s="4">
        <f t="shared" si="803"/>
        <v>0</v>
      </c>
      <c r="AG218" s="4">
        <f t="shared" si="803"/>
        <v>0</v>
      </c>
      <c r="AH218" s="4">
        <f t="shared" si="803"/>
        <v>0</v>
      </c>
      <c r="AI218" s="4">
        <f t="shared" si="803"/>
        <v>0</v>
      </c>
      <c r="AJ218" s="4">
        <f t="shared" si="803"/>
        <v>0</v>
      </c>
      <c r="AK218" s="4">
        <f t="shared" si="803"/>
        <v>0</v>
      </c>
      <c r="AL218" s="4">
        <f t="shared" si="803"/>
        <v>0</v>
      </c>
      <c r="AM218" s="4">
        <f t="shared" si="803"/>
        <v>0</v>
      </c>
      <c r="AN218" s="4">
        <f t="shared" ref="AN218" si="804">+(AN285-AM285)+(AN286-AM286)</f>
        <v>0</v>
      </c>
      <c r="AO218" s="4">
        <f t="shared" ref="AO218" si="805">+(AO285-AN285)+(AO286-AN286)</f>
        <v>0</v>
      </c>
      <c r="AP218" s="4">
        <f t="shared" ref="AP218" si="806">+(AP285-AO285)+(AP286-AO286)</f>
        <v>0</v>
      </c>
      <c r="AQ218" s="4">
        <f t="shared" ref="AQ218" si="807">+(AQ285-AP285)+(AQ286-AP286)</f>
        <v>0</v>
      </c>
      <c r="AR218" s="4">
        <f t="shared" ref="AR218" si="808">+(AR285-AQ285)+(AR286-AQ286)</f>
        <v>0</v>
      </c>
      <c r="AS218" s="4">
        <f t="shared" ref="AS218" si="809">+(AS285-AR285)+(AS286-AR286)</f>
        <v>0</v>
      </c>
      <c r="AT218" s="4">
        <f t="shared" ref="AT218" si="810">+(AT285-AS285)+(AT286-AS286)</f>
        <v>0</v>
      </c>
      <c r="AU218" s="4">
        <f t="shared" ref="AU218" si="811">+(AU285-AT285)+(AU286-AT286)</f>
        <v>0</v>
      </c>
      <c r="AV218" s="4">
        <f t="shared" ref="AV218" si="812">+(AV285-AU285)+(AV286-AU286)</f>
        <v>0</v>
      </c>
      <c r="AW218" s="4">
        <f t="shared" ref="AW218" si="813">+(AW285-AV285)+(AW286-AV286)</f>
        <v>0</v>
      </c>
      <c r="AX218" s="4">
        <f t="shared" ref="AX218" si="814">+(AX285-AW285)+(AX286-AW286)</f>
        <v>0</v>
      </c>
      <c r="AY218" s="4">
        <f t="shared" ref="AY218" si="815">+(AY285-AX285)+(AY286-AX286)</f>
        <v>0</v>
      </c>
      <c r="AZ218" s="54"/>
      <c r="BA218" s="7">
        <v>-6.7000000000000004E-2</v>
      </c>
      <c r="BB218" s="7">
        <v>0.32700000000000001</v>
      </c>
      <c r="BC218" s="4">
        <f t="shared" si="724"/>
        <v>1.163</v>
      </c>
      <c r="BD218" s="4">
        <f t="shared" si="761"/>
        <v>1.1459999999999999</v>
      </c>
      <c r="BE218" s="4">
        <f t="shared" si="762"/>
        <v>2.6389999999999993</v>
      </c>
      <c r="BF218" s="4">
        <f t="shared" si="752"/>
        <v>-3.597</v>
      </c>
      <c r="BG218" s="4">
        <f t="shared" si="753"/>
        <v>5.0369999999999999</v>
      </c>
      <c r="BH218" s="4">
        <f t="shared" si="754"/>
        <v>3.3120000000000003</v>
      </c>
      <c r="BI218" s="4">
        <f t="shared" si="755"/>
        <v>0</v>
      </c>
      <c r="BJ218" s="4">
        <f t="shared" si="756"/>
        <v>0</v>
      </c>
      <c r="BK218" s="4">
        <f t="shared" si="757"/>
        <v>0</v>
      </c>
      <c r="BL218" s="4">
        <f t="shared" si="758"/>
        <v>0</v>
      </c>
      <c r="BM218" s="4">
        <f t="shared" si="759"/>
        <v>0</v>
      </c>
      <c r="BN218" s="4">
        <f t="shared" si="760"/>
        <v>0</v>
      </c>
      <c r="BO218" s="24"/>
    </row>
    <row r="219" spans="2:67">
      <c r="B219" t="s">
        <v>64</v>
      </c>
      <c r="D219" s="4">
        <f t="shared" ref="D219:L219" si="816">+SUM(D203:D218)</f>
        <v>9.7690000000000037</v>
      </c>
      <c r="E219" s="4">
        <f t="shared" si="816"/>
        <v>10.914</v>
      </c>
      <c r="F219" s="4">
        <f t="shared" si="816"/>
        <v>6.2889999999999961</v>
      </c>
      <c r="G219" s="4">
        <f t="shared" si="816"/>
        <v>8.1259999999999959</v>
      </c>
      <c r="H219" s="4">
        <f t="shared" si="816"/>
        <v>9.5514999999999954</v>
      </c>
      <c r="I219" s="4">
        <f t="shared" si="816"/>
        <v>10.438500000000007</v>
      </c>
      <c r="J219" s="24">
        <f t="shared" si="816"/>
        <v>12.155000000000008</v>
      </c>
      <c r="K219" s="24">
        <f t="shared" si="816"/>
        <v>28.001000000000005</v>
      </c>
      <c r="L219" s="24">
        <f t="shared" si="816"/>
        <v>13.934000000000005</v>
      </c>
      <c r="M219" s="24">
        <f t="shared" ref="M219:R219" si="817">+SUM(M203:M218)</f>
        <v>15.715999999999998</v>
      </c>
      <c r="N219" s="24">
        <f t="shared" si="817"/>
        <v>21.704999999999998</v>
      </c>
      <c r="O219" s="24">
        <f t="shared" si="817"/>
        <v>22.40199999999999</v>
      </c>
      <c r="P219" s="24">
        <f t="shared" si="817"/>
        <v>13.939000000000007</v>
      </c>
      <c r="Q219" s="24">
        <f t="shared" si="817"/>
        <v>27.222000000000012</v>
      </c>
      <c r="R219" s="24">
        <f t="shared" si="817"/>
        <v>31.158000000000001</v>
      </c>
      <c r="S219" s="24">
        <f t="shared" ref="S219:X219" si="818">+SUM(S203:S218)</f>
        <v>36.939</v>
      </c>
      <c r="T219" s="24">
        <f t="shared" si="818"/>
        <v>11.978999999999997</v>
      </c>
      <c r="U219" s="24">
        <f t="shared" si="818"/>
        <v>56.52300000000001</v>
      </c>
      <c r="V219" s="24">
        <f t="shared" si="818"/>
        <v>34.992999999999995</v>
      </c>
      <c r="W219" s="24">
        <f t="shared" si="818"/>
        <v>50.299000000000007</v>
      </c>
      <c r="X219" s="24">
        <f t="shared" si="818"/>
        <v>30.535000000000014</v>
      </c>
      <c r="Y219" s="24">
        <f>+SUM(Y203:Y218)</f>
        <v>46.848999999999982</v>
      </c>
      <c r="Z219" s="24">
        <f>+SUM(Z203:Z218)</f>
        <v>42.874999999999986</v>
      </c>
      <c r="AA219" s="24">
        <f>+SUM(AA203:AA218)</f>
        <v>50.063999999999979</v>
      </c>
      <c r="AB219" s="4">
        <f t="shared" ref="AB219:AM219" ca="1" si="819">+SUM(AB203:AB218)</f>
        <v>39.456999857660954</v>
      </c>
      <c r="AC219" s="4">
        <f t="shared" ca="1" si="819"/>
        <v>49.044105029878978</v>
      </c>
      <c r="AD219" s="4">
        <f t="shared" ca="1" si="819"/>
        <v>49.897031395953185</v>
      </c>
      <c r="AE219" s="4">
        <f t="shared" ca="1" si="819"/>
        <v>51.479977134867319</v>
      </c>
      <c r="AF219" s="4">
        <f t="shared" ca="1" si="819"/>
        <v>50.364603053675353</v>
      </c>
      <c r="AG219" s="4">
        <f t="shared" ca="1" si="819"/>
        <v>51.221662456877169</v>
      </c>
      <c r="AH219" s="4">
        <f t="shared" ca="1" si="819"/>
        <v>52.825972867314611</v>
      </c>
      <c r="AI219" s="4">
        <f t="shared" ca="1" si="819"/>
        <v>55.776007458357377</v>
      </c>
      <c r="AJ219" s="4">
        <f t="shared" ca="1" si="819"/>
        <v>56.374525523259571</v>
      </c>
      <c r="AK219" s="4">
        <f t="shared" ca="1" si="819"/>
        <v>56.906435707212758</v>
      </c>
      <c r="AL219" s="4">
        <f t="shared" ca="1" si="819"/>
        <v>58.815234377439211</v>
      </c>
      <c r="AM219" s="4">
        <f t="shared" ca="1" si="819"/>
        <v>62.208813763701812</v>
      </c>
      <c r="AN219" s="4">
        <f t="shared" ref="AN219:AY219" ca="1" si="820">+SUM(AN203:AN218)</f>
        <v>63.134479639848706</v>
      </c>
      <c r="AO219" s="4">
        <f t="shared" ca="1" si="820"/>
        <v>63.836419310345264</v>
      </c>
      <c r="AP219" s="4">
        <f t="shared" ca="1" si="820"/>
        <v>66.015905939913452</v>
      </c>
      <c r="AQ219" s="4">
        <f t="shared" ca="1" si="820"/>
        <v>69.786601843496243</v>
      </c>
      <c r="AR219" s="4">
        <f t="shared" ca="1" si="820"/>
        <v>70.757172705159704</v>
      </c>
      <c r="AS219" s="4">
        <f t="shared" ca="1" si="820"/>
        <v>72.419381218669713</v>
      </c>
      <c r="AT219" s="4">
        <f t="shared" ca="1" si="820"/>
        <v>77.991400883481646</v>
      </c>
      <c r="AU219" s="4">
        <f t="shared" ca="1" si="820"/>
        <v>82.64020935116713</v>
      </c>
      <c r="AV219" s="4">
        <f t="shared" ca="1" si="820"/>
        <v>83.606159378915919</v>
      </c>
      <c r="AW219" s="4">
        <f t="shared" ca="1" si="820"/>
        <v>84.550369965180124</v>
      </c>
      <c r="AX219" s="4">
        <f t="shared" ca="1" si="820"/>
        <v>87.254398452060059</v>
      </c>
      <c r="AY219" s="4">
        <f t="shared" ca="1" si="820"/>
        <v>91.800365488237986</v>
      </c>
      <c r="AZ219" s="54"/>
      <c r="BA219" s="4">
        <f t="shared" ref="BA219:BG219" si="821">+SUM(BA203:BA218)</f>
        <v>13.277000000000003</v>
      </c>
      <c r="BB219" s="4">
        <f t="shared" si="821"/>
        <v>24.373999999999981</v>
      </c>
      <c r="BC219" s="4">
        <f t="shared" si="821"/>
        <v>35.097999999999999</v>
      </c>
      <c r="BD219" s="4">
        <f t="shared" si="821"/>
        <v>60.146000000000015</v>
      </c>
      <c r="BE219" s="4">
        <f t="shared" si="821"/>
        <v>73.757000000000005</v>
      </c>
      <c r="BF219" s="4">
        <f t="shared" si="821"/>
        <v>109.25800000000001</v>
      </c>
      <c r="BG219" s="4">
        <f t="shared" si="821"/>
        <v>153.79399999999998</v>
      </c>
      <c r="BH219" s="4">
        <f>+SUM(BH203:BH218)</f>
        <v>170.32299999999998</v>
      </c>
      <c r="BI219" s="4">
        <f ca="1">+SUM(BI203:BI218)</f>
        <v>189.87811341836047</v>
      </c>
      <c r="BJ219" s="4">
        <f ca="1">+SUM(BJ203:BJ218)</f>
        <v>210.1882458362245</v>
      </c>
      <c r="BK219" s="4">
        <f ca="1">+SUM(BK203:BK218)</f>
        <v>234.30500937161332</v>
      </c>
      <c r="BL219" s="4">
        <f t="shared" ref="BL219:BN219" ca="1" si="822">+SUM(BL203:BL218)</f>
        <v>262.77340673360368</v>
      </c>
      <c r="BM219" s="4">
        <f t="shared" ca="1" si="822"/>
        <v>303.80816415847818</v>
      </c>
      <c r="BN219" s="4">
        <f t="shared" ca="1" si="822"/>
        <v>347.21129328439406</v>
      </c>
      <c r="BO219" s="24"/>
    </row>
    <row r="220" spans="2:67">
      <c r="D220" s="4"/>
      <c r="E220" s="4"/>
      <c r="F220" s="4"/>
      <c r="G220" s="24"/>
      <c r="I220" s="4"/>
      <c r="J220" s="24"/>
      <c r="K220" s="24"/>
      <c r="L220" s="24"/>
      <c r="M220" s="24"/>
      <c r="N220" s="24"/>
      <c r="O220" s="24"/>
      <c r="P220" s="24"/>
      <c r="Q220" s="24"/>
      <c r="R220" s="24"/>
      <c r="S220" s="24"/>
      <c r="T220" s="24"/>
      <c r="U220" s="24"/>
      <c r="V220" s="24"/>
      <c r="W220" s="24"/>
      <c r="X220" s="24"/>
      <c r="Y220" s="24"/>
      <c r="Z220" s="24"/>
      <c r="AA220" s="2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54"/>
      <c r="BA220" s="4"/>
      <c r="BB220" s="4"/>
      <c r="BC220" s="4"/>
      <c r="BD220" s="4"/>
      <c r="BE220" s="4"/>
      <c r="BF220" s="4"/>
      <c r="BG220" s="4"/>
      <c r="BH220" s="4"/>
      <c r="BI220" s="4"/>
      <c r="BJ220" s="4"/>
      <c r="BK220" s="4"/>
      <c r="BL220" s="4"/>
      <c r="BM220" s="4"/>
      <c r="BN220" s="4"/>
      <c r="BO220" s="24"/>
    </row>
    <row r="221" spans="2:67">
      <c r="B221" t="s">
        <v>300</v>
      </c>
      <c r="D221" s="4"/>
      <c r="E221" s="4"/>
      <c r="F221" s="7">
        <v>1.5489999999999999</v>
      </c>
      <c r="G221" s="28">
        <f>1.549-D221-E221-F221</f>
        <v>0</v>
      </c>
      <c r="I221" s="4"/>
      <c r="J221" s="24"/>
      <c r="K221" s="24"/>
      <c r="L221" s="24"/>
      <c r="M221" s="24"/>
      <c r="N221" s="24"/>
      <c r="O221" s="24"/>
      <c r="P221" s="24"/>
      <c r="Q221" s="24"/>
      <c r="R221" s="24"/>
      <c r="S221" s="28">
        <v>0.64800000000000002</v>
      </c>
      <c r="T221" s="28"/>
      <c r="U221" s="28"/>
      <c r="V221" s="28"/>
      <c r="W221" s="28"/>
      <c r="X221" s="28"/>
      <c r="Y221" s="28"/>
      <c r="Z221" s="28"/>
      <c r="AA221" s="28"/>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54"/>
      <c r="BA221" s="7">
        <v>50.892000000000003</v>
      </c>
      <c r="BB221" s="7"/>
      <c r="BC221" s="4">
        <f t="shared" ref="BC221:BC237" si="823">+SUM(D221:G221)</f>
        <v>1.5489999999999999</v>
      </c>
      <c r="BD221" s="4">
        <f>+SUM(H221:K221)</f>
        <v>0</v>
      </c>
      <c r="BE221" s="4">
        <f>+SUM(L221:O221)</f>
        <v>0</v>
      </c>
      <c r="BF221" s="4">
        <f>+SUM(P221:S221)</f>
        <v>0.64800000000000002</v>
      </c>
      <c r="BG221" s="4">
        <f>+SUM(T221:W221)</f>
        <v>0</v>
      </c>
      <c r="BH221" s="4">
        <f>+SUM(X221:AA221)</f>
        <v>0</v>
      </c>
      <c r="BI221" s="4">
        <f>+SUM(AB221:AE221)</f>
        <v>0</v>
      </c>
      <c r="BJ221" s="4">
        <f>+SUM(AF221:AI221)</f>
        <v>0</v>
      </c>
      <c r="BK221" s="4">
        <f>+SUM(AJ221:AM221)</f>
        <v>0</v>
      </c>
      <c r="BL221" s="4">
        <f>+SUM(AN221:AQ221)</f>
        <v>0</v>
      </c>
      <c r="BM221" s="4">
        <f>+SUM(AR221:AU221)</f>
        <v>0</v>
      </c>
      <c r="BN221" s="4">
        <f>+SUM(AV221:AY221)</f>
        <v>0</v>
      </c>
      <c r="BO221" s="24"/>
    </row>
    <row r="222" spans="2:67">
      <c r="B222" t="s">
        <v>65</v>
      </c>
      <c r="D222" s="4"/>
      <c r="E222" s="4"/>
      <c r="F222" s="7"/>
      <c r="G222" s="28">
        <f>-63.25-D222-E222-F222</f>
        <v>-63.25</v>
      </c>
      <c r="H222" s="28">
        <v>-21.173999999999999</v>
      </c>
      <c r="I222" s="4"/>
      <c r="J222" s="28">
        <f>-21.174-H222-I222:I222</f>
        <v>0</v>
      </c>
      <c r="K222" s="28">
        <f>-21.174-SUM(H222:J222)</f>
        <v>0</v>
      </c>
      <c r="L222" s="28"/>
      <c r="M222" s="28">
        <f>-73.3-L222</f>
        <v>-73.3</v>
      </c>
      <c r="N222" s="28">
        <f>-91.064-M222-L222</f>
        <v>-17.763999999999996</v>
      </c>
      <c r="O222" s="28">
        <f>-91.064-N222-M222-L222</f>
        <v>0</v>
      </c>
      <c r="P222" s="28"/>
      <c r="Q222" s="28">
        <f>-288.865-P222</f>
        <v>-288.86500000000001</v>
      </c>
      <c r="R222" s="28"/>
      <c r="S222" s="28">
        <f>-292.685-P222-Q222-R222</f>
        <v>-3.8199999999999932</v>
      </c>
      <c r="T222" s="28"/>
      <c r="U222" s="39">
        <f t="shared" ref="U222:Z222" si="824">-U317</f>
        <v>-122.98099999999999</v>
      </c>
      <c r="V222" s="39">
        <f t="shared" si="824"/>
        <v>0</v>
      </c>
      <c r="W222" s="39">
        <f t="shared" si="824"/>
        <v>-50.086000000000013</v>
      </c>
      <c r="X222" s="39">
        <f t="shared" si="824"/>
        <v>0</v>
      </c>
      <c r="Y222" s="39">
        <f t="shared" si="824"/>
        <v>-5.0190000000000001</v>
      </c>
      <c r="Z222" s="39">
        <f t="shared" si="824"/>
        <v>-41.994</v>
      </c>
      <c r="AA222" s="39">
        <f t="shared" ref="AA222" si="825">-AA317</f>
        <v>-80.024999999999991</v>
      </c>
      <c r="AB222" s="39">
        <f t="shared" ref="AB222:AM222" si="826">-AB317</f>
        <v>0</v>
      </c>
      <c r="AC222" s="39">
        <f t="shared" si="826"/>
        <v>0</v>
      </c>
      <c r="AD222" s="39">
        <f t="shared" si="826"/>
        <v>0</v>
      </c>
      <c r="AE222" s="39">
        <f t="shared" si="826"/>
        <v>0</v>
      </c>
      <c r="AF222" s="39">
        <f t="shared" si="826"/>
        <v>0</v>
      </c>
      <c r="AG222" s="39">
        <f t="shared" si="826"/>
        <v>0</v>
      </c>
      <c r="AH222" s="39">
        <f t="shared" si="826"/>
        <v>0</v>
      </c>
      <c r="AI222" s="39">
        <f t="shared" si="826"/>
        <v>0</v>
      </c>
      <c r="AJ222" s="39">
        <f t="shared" si="826"/>
        <v>0</v>
      </c>
      <c r="AK222" s="39">
        <f t="shared" si="826"/>
        <v>0</v>
      </c>
      <c r="AL222" s="39">
        <f t="shared" si="826"/>
        <v>0</v>
      </c>
      <c r="AM222" s="39">
        <f t="shared" si="826"/>
        <v>0</v>
      </c>
      <c r="AN222" s="39">
        <f t="shared" ref="AN222:AY222" si="827">-AN317</f>
        <v>0</v>
      </c>
      <c r="AO222" s="39">
        <f t="shared" si="827"/>
        <v>0</v>
      </c>
      <c r="AP222" s="39">
        <f t="shared" si="827"/>
        <v>0</v>
      </c>
      <c r="AQ222" s="39">
        <f t="shared" si="827"/>
        <v>0</v>
      </c>
      <c r="AR222" s="39">
        <f t="shared" si="827"/>
        <v>0</v>
      </c>
      <c r="AS222" s="39">
        <f t="shared" si="827"/>
        <v>0</v>
      </c>
      <c r="AT222" s="39">
        <f t="shared" si="827"/>
        <v>0</v>
      </c>
      <c r="AU222" s="39">
        <f t="shared" si="827"/>
        <v>0</v>
      </c>
      <c r="AV222" s="39">
        <f t="shared" si="827"/>
        <v>0</v>
      </c>
      <c r="AW222" s="39">
        <f t="shared" si="827"/>
        <v>0</v>
      </c>
      <c r="AX222" s="39">
        <f t="shared" si="827"/>
        <v>0</v>
      </c>
      <c r="AY222" s="39">
        <f t="shared" si="827"/>
        <v>0</v>
      </c>
      <c r="AZ222" s="54"/>
      <c r="BA222" s="24"/>
      <c r="BB222" s="24"/>
      <c r="BC222" s="4">
        <f t="shared" si="823"/>
        <v>-63.25</v>
      </c>
      <c r="BD222" s="4">
        <f>+SUM(H222:K222)</f>
        <v>-21.173999999999999</v>
      </c>
      <c r="BE222" s="4">
        <f>+SUM(L222:O222)</f>
        <v>-91.063999999999993</v>
      </c>
      <c r="BF222" s="4">
        <f>+SUM(P222:S222)</f>
        <v>-292.685</v>
      </c>
      <c r="BG222" s="4">
        <f>+SUM(T222:W222)</f>
        <v>-173.06700000000001</v>
      </c>
      <c r="BH222" s="4">
        <f>+SUM(X222:AA222)</f>
        <v>-127.03799999999998</v>
      </c>
      <c r="BI222" s="4">
        <f>+SUM(AB222:AE222)</f>
        <v>0</v>
      </c>
      <c r="BJ222" s="4">
        <f>+SUM(AF222:AI222)</f>
        <v>0</v>
      </c>
      <c r="BK222" s="4">
        <f>+SUM(AJ222:AM222)</f>
        <v>0</v>
      </c>
      <c r="BL222" s="4">
        <f>+SUM(AN222:AQ222)</f>
        <v>0</v>
      </c>
      <c r="BM222" s="4">
        <f>+SUM(AR222:AU222)</f>
        <v>0</v>
      </c>
      <c r="BN222" s="4">
        <f>+SUM(AV222:AY222)</f>
        <v>0</v>
      </c>
      <c r="BO222" s="24"/>
    </row>
    <row r="223" spans="2:67">
      <c r="B223" t="s">
        <v>66</v>
      </c>
      <c r="D223" s="7">
        <f>-66.503/2</f>
        <v>-33.2515</v>
      </c>
      <c r="E223" s="7">
        <f>-66.503/2</f>
        <v>-33.2515</v>
      </c>
      <c r="F223" s="7">
        <f>-86.351-D223-E223</f>
        <v>-19.847999999999999</v>
      </c>
      <c r="G223" s="28">
        <f>-133.226-D223-E223-F223</f>
        <v>-46.875000000000014</v>
      </c>
      <c r="H223" s="28">
        <f>-41.504-H222</f>
        <v>-20.329999999999998</v>
      </c>
      <c r="I223" s="28">
        <f>-65.352-H223</f>
        <v>-45.022000000000006</v>
      </c>
      <c r="J223" s="28">
        <f>-102.924-I223-H223</f>
        <v>-37.572000000000003</v>
      </c>
      <c r="K223" s="28">
        <f>-47.963-99.701-SUM(H223:J223)</f>
        <v>-44.739999999999981</v>
      </c>
      <c r="L223" s="28">
        <v>-59.164999999999999</v>
      </c>
      <c r="M223" s="28">
        <f>-114.157-L223</f>
        <v>-54.991999999999997</v>
      </c>
      <c r="N223" s="28">
        <f>-156.008-M223-L223</f>
        <v>-41.85100000000002</v>
      </c>
      <c r="O223" s="28">
        <f>-201.145-N223-M223-L223</f>
        <v>-45.136999999999993</v>
      </c>
      <c r="P223" s="28">
        <v>-73.399000000000001</v>
      </c>
      <c r="Q223" s="28">
        <f>-170.15-P223</f>
        <v>-96.751000000000005</v>
      </c>
      <c r="R223" s="28">
        <f>-252.156-P223-Q223</f>
        <v>-82.006</v>
      </c>
      <c r="S223" s="28">
        <f>-320.058-P223-Q223-R223</f>
        <v>-67.901999999999987</v>
      </c>
      <c r="T223" s="28">
        <v>-78.052999999999997</v>
      </c>
      <c r="U223" s="28">
        <f>-149.303-T223</f>
        <v>-71.25</v>
      </c>
      <c r="V223" s="28">
        <f>-197.751-T223-U223</f>
        <v>-48.448000000000008</v>
      </c>
      <c r="W223" s="28">
        <f>-279.905-SUM(T223:V223)</f>
        <v>-82.153999999999968</v>
      </c>
      <c r="X223" s="28">
        <v>-66.119</v>
      </c>
      <c r="Y223" s="28">
        <f>-139.818-X223</f>
        <v>-73.699000000000012</v>
      </c>
      <c r="Z223" s="28">
        <f>-236.971-X223-Y223</f>
        <v>-97.152999999999992</v>
      </c>
      <c r="AA223" s="28">
        <f>-307.314-Y223-Z223-X223</f>
        <v>-70.343000000000018</v>
      </c>
      <c r="AB223" s="4">
        <f t="shared" ref="AB223:AM223" ca="1" si="828">-AB319</f>
        <v>-101.03082397026117</v>
      </c>
      <c r="AC223" s="4">
        <f t="shared" ca="1" si="828"/>
        <v>-102.69974050992093</v>
      </c>
      <c r="AD223" s="4">
        <f t="shared" ca="1" si="828"/>
        <v>-104.57799878293625</v>
      </c>
      <c r="AE223" s="4">
        <f t="shared" ca="1" si="828"/>
        <v>-105.81608795542631</v>
      </c>
      <c r="AF223" s="4">
        <f t="shared" ca="1" si="828"/>
        <v>-56.581302877681047</v>
      </c>
      <c r="AG223" s="4">
        <f t="shared" ca="1" si="828"/>
        <v>-54.939569006001889</v>
      </c>
      <c r="AH223" s="4">
        <f t="shared" ca="1" si="828"/>
        <v>-53.058654351112814</v>
      </c>
      <c r="AI223" s="4">
        <f t="shared" ca="1" si="828"/>
        <v>-50.724475136602869</v>
      </c>
      <c r="AJ223" s="4">
        <f t="shared" ca="1" si="828"/>
        <v>-47.870700273119709</v>
      </c>
      <c r="AK223" s="4">
        <f t="shared" ca="1" si="828"/>
        <v>-45.531276121970038</v>
      </c>
      <c r="AL223" s="4">
        <f t="shared" ca="1" si="828"/>
        <v>-43.036369205207031</v>
      </c>
      <c r="AM223" s="4">
        <f t="shared" ca="1" si="828"/>
        <v>-43.93218291737417</v>
      </c>
      <c r="AN223" s="4">
        <f t="shared" ref="AN223:AY223" ca="1" si="829">-AN319</f>
        <v>-44.495102011762079</v>
      </c>
      <c r="AO223" s="4">
        <f t="shared" ca="1" si="829"/>
        <v>-45.652690371262473</v>
      </c>
      <c r="AP223" s="4">
        <f t="shared" ca="1" si="829"/>
        <v>-46.841294765343065</v>
      </c>
      <c r="AQ223" s="4">
        <f t="shared" ca="1" si="829"/>
        <v>-47.807651360682158</v>
      </c>
      <c r="AR223" s="4">
        <f t="shared" ca="1" si="829"/>
        <v>-48.409899007405969</v>
      </c>
      <c r="AS223" s="4">
        <f t="shared" ca="1" si="829"/>
        <v>-49.65314504396477</v>
      </c>
      <c r="AT223" s="4">
        <f t="shared" ca="1" si="829"/>
        <v>-50.927321130914336</v>
      </c>
      <c r="AU223" s="4">
        <f t="shared" ca="1" si="829"/>
        <v>-51.957361550518321</v>
      </c>
      <c r="AV223" s="4">
        <f t="shared" ca="1" si="829"/>
        <v>-52.589376234058051</v>
      </c>
      <c r="AW223" s="4">
        <f t="shared" ca="1" si="829"/>
        <v>-53.912995342849285</v>
      </c>
      <c r="AX223" s="4">
        <f t="shared" ca="1" si="829"/>
        <v>-55.26686658619635</v>
      </c>
      <c r="AY223" s="4">
        <f t="shared" ca="1" si="829"/>
        <v>-56.353115769432208</v>
      </c>
      <c r="AZ223" s="54"/>
      <c r="BA223" s="7">
        <v>-107.46599999999999</v>
      </c>
      <c r="BB223" s="7">
        <v>-118.746</v>
      </c>
      <c r="BC223" s="4">
        <f t="shared" si="823"/>
        <v>-133.226</v>
      </c>
      <c r="BD223" s="4">
        <f>+SUM(H223:K223)</f>
        <v>-147.66399999999999</v>
      </c>
      <c r="BE223" s="4">
        <f>+SUM(L223:O223)</f>
        <v>-201.14500000000001</v>
      </c>
      <c r="BF223" s="4">
        <f>+SUM(P223:S223)</f>
        <v>-320.05799999999999</v>
      </c>
      <c r="BG223" s="4">
        <f>+SUM(T223:W223)</f>
        <v>-279.90499999999997</v>
      </c>
      <c r="BH223" s="4">
        <f>+SUM(X223:AA223)</f>
        <v>-307.31400000000002</v>
      </c>
      <c r="BI223" s="4">
        <f ca="1">+SUM(AB223:AE223)</f>
        <v>-414.12465121854467</v>
      </c>
      <c r="BJ223" s="4">
        <f ca="1">+SUM(AF223:AI223)</f>
        <v>-215.30400137139861</v>
      </c>
      <c r="BK223" s="4">
        <f ca="1">+SUM(AJ223:AM223)</f>
        <v>-180.37052851767095</v>
      </c>
      <c r="BL223" s="4">
        <f ca="1">+SUM(AN223:AQ223)</f>
        <v>-184.79673850904976</v>
      </c>
      <c r="BM223" s="4">
        <f ca="1">+SUM(AR223:AU223)</f>
        <v>-200.9477267328034</v>
      </c>
      <c r="BN223" s="4">
        <f ca="1">+SUM(AV223:AY223)</f>
        <v>-218.1223539325359</v>
      </c>
      <c r="BO223" s="24"/>
    </row>
    <row r="224" spans="2:67">
      <c r="B224" t="s">
        <v>67</v>
      </c>
      <c r="D224" s="4">
        <f t="shared" ref="D224:L224" si="830">+SUM(D221:D223)</f>
        <v>-33.2515</v>
      </c>
      <c r="E224" s="4">
        <f t="shared" si="830"/>
        <v>-33.2515</v>
      </c>
      <c r="F224" s="4">
        <f t="shared" si="830"/>
        <v>-18.298999999999999</v>
      </c>
      <c r="G224" s="24">
        <f t="shared" si="830"/>
        <v>-110.12500000000001</v>
      </c>
      <c r="H224" s="4">
        <f t="shared" si="830"/>
        <v>-41.503999999999998</v>
      </c>
      <c r="I224" s="4">
        <f t="shared" si="830"/>
        <v>-45.022000000000006</v>
      </c>
      <c r="J224" s="4">
        <f t="shared" si="830"/>
        <v>-37.572000000000003</v>
      </c>
      <c r="K224" s="24">
        <f t="shared" si="830"/>
        <v>-44.739999999999981</v>
      </c>
      <c r="L224" s="24">
        <f t="shared" si="830"/>
        <v>-59.164999999999999</v>
      </c>
      <c r="M224" s="24">
        <f t="shared" ref="M224:R224" si="831">+SUM(M221:M223)</f>
        <v>-128.292</v>
      </c>
      <c r="N224" s="24">
        <f t="shared" si="831"/>
        <v>-59.615000000000016</v>
      </c>
      <c r="O224" s="24">
        <f t="shared" si="831"/>
        <v>-45.136999999999993</v>
      </c>
      <c r="P224" s="24">
        <f t="shared" si="831"/>
        <v>-73.399000000000001</v>
      </c>
      <c r="Q224" s="24">
        <f t="shared" si="831"/>
        <v>-385.61599999999999</v>
      </c>
      <c r="R224" s="24">
        <f t="shared" si="831"/>
        <v>-82.006</v>
      </c>
      <c r="S224" s="24">
        <f t="shared" ref="S224:X224" si="832">+SUM(S221:S223)</f>
        <v>-71.073999999999984</v>
      </c>
      <c r="T224" s="24">
        <f t="shared" si="832"/>
        <v>-78.052999999999997</v>
      </c>
      <c r="U224" s="24">
        <f t="shared" si="832"/>
        <v>-194.23099999999999</v>
      </c>
      <c r="V224" s="24">
        <f t="shared" si="832"/>
        <v>-48.448000000000008</v>
      </c>
      <c r="W224" s="24">
        <f t="shared" si="832"/>
        <v>-132.23999999999998</v>
      </c>
      <c r="X224" s="24">
        <f t="shared" si="832"/>
        <v>-66.119</v>
      </c>
      <c r="Y224" s="24">
        <f>+SUM(Y221:Y223)</f>
        <v>-78.718000000000018</v>
      </c>
      <c r="Z224" s="24">
        <f>+SUM(Z221:Z223)</f>
        <v>-139.14699999999999</v>
      </c>
      <c r="AA224" s="24">
        <f>+SUM(AA221:AA223)</f>
        <v>-150.36799999999999</v>
      </c>
      <c r="AB224" s="4">
        <f t="shared" ref="AB224:AM224" ca="1" si="833">+SUM(AB221:AB223)</f>
        <v>-101.03082397026117</v>
      </c>
      <c r="AC224" s="4">
        <f t="shared" ca="1" si="833"/>
        <v>-102.69974050992093</v>
      </c>
      <c r="AD224" s="4">
        <f t="shared" ca="1" si="833"/>
        <v>-104.57799878293625</v>
      </c>
      <c r="AE224" s="4">
        <f t="shared" ca="1" si="833"/>
        <v>-105.81608795542631</v>
      </c>
      <c r="AF224" s="4">
        <f t="shared" ca="1" si="833"/>
        <v>-56.581302877681047</v>
      </c>
      <c r="AG224" s="4">
        <f t="shared" ca="1" si="833"/>
        <v>-54.939569006001889</v>
      </c>
      <c r="AH224" s="4">
        <f t="shared" ca="1" si="833"/>
        <v>-53.058654351112814</v>
      </c>
      <c r="AI224" s="4">
        <f t="shared" ca="1" si="833"/>
        <v>-50.724475136602869</v>
      </c>
      <c r="AJ224" s="4">
        <f t="shared" ca="1" si="833"/>
        <v>-47.870700273119709</v>
      </c>
      <c r="AK224" s="4">
        <f t="shared" ca="1" si="833"/>
        <v>-45.531276121970038</v>
      </c>
      <c r="AL224" s="4">
        <f t="shared" ca="1" si="833"/>
        <v>-43.036369205207031</v>
      </c>
      <c r="AM224" s="4">
        <f t="shared" ca="1" si="833"/>
        <v>-43.93218291737417</v>
      </c>
      <c r="AN224" s="4">
        <f t="shared" ref="AN224:AY224" ca="1" si="834">+SUM(AN221:AN223)</f>
        <v>-44.495102011762079</v>
      </c>
      <c r="AO224" s="4">
        <f t="shared" ca="1" si="834"/>
        <v>-45.652690371262473</v>
      </c>
      <c r="AP224" s="4">
        <f t="shared" ca="1" si="834"/>
        <v>-46.841294765343065</v>
      </c>
      <c r="AQ224" s="4">
        <f t="shared" ca="1" si="834"/>
        <v>-47.807651360682158</v>
      </c>
      <c r="AR224" s="4">
        <f t="shared" ca="1" si="834"/>
        <v>-48.409899007405969</v>
      </c>
      <c r="AS224" s="4">
        <f t="shared" ca="1" si="834"/>
        <v>-49.65314504396477</v>
      </c>
      <c r="AT224" s="4">
        <f t="shared" ca="1" si="834"/>
        <v>-50.927321130914336</v>
      </c>
      <c r="AU224" s="4">
        <f t="shared" ca="1" si="834"/>
        <v>-51.957361550518321</v>
      </c>
      <c r="AV224" s="4">
        <f t="shared" ca="1" si="834"/>
        <v>-52.589376234058051</v>
      </c>
      <c r="AW224" s="4">
        <f t="shared" ca="1" si="834"/>
        <v>-53.912995342849285</v>
      </c>
      <c r="AX224" s="4">
        <f t="shared" ca="1" si="834"/>
        <v>-55.26686658619635</v>
      </c>
      <c r="AY224" s="4">
        <f t="shared" ca="1" si="834"/>
        <v>-56.353115769432208</v>
      </c>
      <c r="AZ224" s="54"/>
      <c r="BA224" s="4">
        <f t="shared" ref="BA224:BG224" si="835">+SUM(BA221:BA223)</f>
        <v>-56.573999999999991</v>
      </c>
      <c r="BB224" s="4">
        <f t="shared" si="835"/>
        <v>-118.746</v>
      </c>
      <c r="BC224" s="4">
        <f t="shared" si="835"/>
        <v>-194.92699999999999</v>
      </c>
      <c r="BD224" s="4">
        <f t="shared" si="835"/>
        <v>-168.83799999999999</v>
      </c>
      <c r="BE224" s="4">
        <f t="shared" si="835"/>
        <v>-292.209</v>
      </c>
      <c r="BF224" s="4">
        <f t="shared" si="835"/>
        <v>-612.09500000000003</v>
      </c>
      <c r="BG224" s="4">
        <f t="shared" si="835"/>
        <v>-452.97199999999998</v>
      </c>
      <c r="BH224" s="4">
        <f>+SUM(BH221:BH223)</f>
        <v>-434.35199999999998</v>
      </c>
      <c r="BI224" s="4">
        <f ca="1">+SUM(BI221:BI223)</f>
        <v>-414.12465121854467</v>
      </c>
      <c r="BJ224" s="4">
        <f ca="1">+SUM(BJ221:BJ223)</f>
        <v>-215.30400137139861</v>
      </c>
      <c r="BK224" s="4">
        <f ca="1">+SUM(BK221:BK223)</f>
        <v>-180.37052851767095</v>
      </c>
      <c r="BL224" s="4">
        <f t="shared" ref="BL224:BN224" ca="1" si="836">+SUM(BL221:BL223)</f>
        <v>-184.79673850904976</v>
      </c>
      <c r="BM224" s="4">
        <f t="shared" ca="1" si="836"/>
        <v>-200.9477267328034</v>
      </c>
      <c r="BN224" s="4">
        <f t="shared" ca="1" si="836"/>
        <v>-218.1223539325359</v>
      </c>
      <c r="BO224" s="24"/>
    </row>
    <row r="225" spans="2:67">
      <c r="D225" s="4"/>
      <c r="E225" s="4"/>
      <c r="F225" s="4"/>
      <c r="G225" s="24"/>
      <c r="I225" s="4"/>
      <c r="J225" s="24"/>
      <c r="K225" s="24"/>
      <c r="L225" s="24"/>
      <c r="M225" s="24"/>
      <c r="N225" s="24"/>
      <c r="O225" s="24"/>
      <c r="P225" s="24"/>
      <c r="Q225" s="24"/>
      <c r="R225" s="24"/>
      <c r="S225" s="24"/>
      <c r="T225" s="2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54"/>
      <c r="BA225" s="4"/>
      <c r="BB225" s="4"/>
      <c r="BC225" s="4"/>
      <c r="BD225" s="4"/>
      <c r="BE225" s="4"/>
      <c r="BF225" s="4"/>
      <c r="BG225" s="4"/>
      <c r="BH225" s="4"/>
      <c r="BI225" s="4"/>
      <c r="BJ225" s="4"/>
      <c r="BK225" s="4"/>
      <c r="BL225" s="4"/>
      <c r="BM225" s="4"/>
      <c r="BN225" s="4"/>
      <c r="BO225" s="24"/>
    </row>
    <row r="226" spans="2:67">
      <c r="B226" t="s">
        <v>68</v>
      </c>
      <c r="D226" s="7">
        <v>183</v>
      </c>
      <c r="E226" s="7">
        <v>183</v>
      </c>
      <c r="F226" s="7">
        <f>375-D226-E226</f>
        <v>9</v>
      </c>
      <c r="G226" s="28">
        <f>180-D226-E226-F226</f>
        <v>-195</v>
      </c>
      <c r="H226" s="7">
        <f>512.5/2</f>
        <v>256.25</v>
      </c>
      <c r="I226" s="7">
        <f>512.5/2</f>
        <v>256.25</v>
      </c>
      <c r="J226" s="28">
        <f>563.5-I226-H226</f>
        <v>51</v>
      </c>
      <c r="K226" s="28">
        <f>14.5+563.5-SUM(H226:J226)</f>
        <v>14.5</v>
      </c>
      <c r="L226" s="28">
        <v>58</v>
      </c>
      <c r="M226" s="28">
        <f>182.5-L226</f>
        <v>124.5</v>
      </c>
      <c r="N226" s="28">
        <f>230.5-M226-L226</f>
        <v>48</v>
      </c>
      <c r="O226" s="28">
        <f>270.5-N226-M226-L226</f>
        <v>40</v>
      </c>
      <c r="P226" s="28">
        <v>65.162000000000006</v>
      </c>
      <c r="Q226" s="28">
        <f>350.162-P226</f>
        <v>285</v>
      </c>
      <c r="R226" s="28">
        <f>420.162-P226-Q226</f>
        <v>70</v>
      </c>
      <c r="S226" s="28">
        <f>671.162-P226-Q226-R226</f>
        <v>251</v>
      </c>
      <c r="T226" s="28">
        <v>86</v>
      </c>
      <c r="U226" s="28">
        <f>231-T226</f>
        <v>145</v>
      </c>
      <c r="V226" s="28">
        <f>267-T226-U226</f>
        <v>36</v>
      </c>
      <c r="W226" s="28">
        <f>574-SUM(T226:V226)</f>
        <v>307</v>
      </c>
      <c r="X226" s="28">
        <v>67</v>
      </c>
      <c r="Y226" s="28">
        <f>109-X226</f>
        <v>42</v>
      </c>
      <c r="Z226" s="28">
        <f>221-X226-Y226</f>
        <v>112</v>
      </c>
      <c r="AA226" s="28">
        <f>888+400-Y226-Z226-X226</f>
        <v>1067</v>
      </c>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54"/>
      <c r="BA226" s="28">
        <v>82.5</v>
      </c>
      <c r="BB226" s="28">
        <v>54</v>
      </c>
      <c r="BC226" s="4">
        <f t="shared" si="823"/>
        <v>180</v>
      </c>
      <c r="BD226" s="4">
        <f t="shared" ref="BD226:BD237" si="837">+SUM(H226:K226)</f>
        <v>578</v>
      </c>
      <c r="BE226" s="4">
        <f t="shared" ref="BE226:BE237" si="838">+SUM(L226:O226)</f>
        <v>270.5</v>
      </c>
      <c r="BF226" s="4">
        <f t="shared" ref="BF226:BF237" si="839">+SUM(P226:S226)</f>
        <v>671.16200000000003</v>
      </c>
      <c r="BG226" s="4">
        <f t="shared" ref="BG226:BG237" si="840">+SUM(T226:W226)</f>
        <v>574</v>
      </c>
      <c r="BH226" s="4">
        <f t="shared" ref="BH226:BH237" si="841">+SUM(X226:AA226)</f>
        <v>1288</v>
      </c>
      <c r="BI226" s="4">
        <f t="shared" ref="BI226:BI237" si="842">+SUM(AB226:AE226)</f>
        <v>0</v>
      </c>
      <c r="BJ226" s="4">
        <f t="shared" ref="BJ226:BJ237" si="843">+SUM(AF226:AI226)</f>
        <v>0</v>
      </c>
      <c r="BK226" s="4">
        <f t="shared" ref="BK226:BK237" si="844">+SUM(AJ226:AM226)</f>
        <v>0</v>
      </c>
      <c r="BL226" s="4">
        <f t="shared" ref="BL226:BL237" si="845">+SUM(AN226:AQ226)</f>
        <v>0</v>
      </c>
      <c r="BM226" s="4">
        <f t="shared" ref="BM226:BM237" si="846">+SUM(AR226:AU226)</f>
        <v>0</v>
      </c>
      <c r="BN226" s="4">
        <f t="shared" ref="BN226:BN237" si="847">+SUM(AV226:AY226)</f>
        <v>0</v>
      </c>
      <c r="BO226" s="24"/>
    </row>
    <row r="227" spans="2:67">
      <c r="B227" t="s">
        <v>69</v>
      </c>
      <c r="D227" s="4"/>
      <c r="E227" s="4"/>
      <c r="F227" s="4"/>
      <c r="G227" s="24"/>
      <c r="H227" s="7">
        <f>12.961/2</f>
        <v>6.4805000000000001</v>
      </c>
      <c r="I227" s="7">
        <f>12.961/2</f>
        <v>6.4805000000000001</v>
      </c>
      <c r="J227" s="28">
        <f>0-I227-H227</f>
        <v>-12.961</v>
      </c>
      <c r="K227" s="24"/>
      <c r="L227" s="24"/>
      <c r="M227" s="24"/>
      <c r="N227" s="24"/>
      <c r="O227" s="24"/>
      <c r="P227" s="24"/>
      <c r="Q227" s="24"/>
      <c r="R227" s="24"/>
      <c r="S227" s="24"/>
      <c r="T227" s="24"/>
      <c r="U227" s="28">
        <f>-259.002-T227</f>
        <v>-259.00200000000001</v>
      </c>
      <c r="V227" s="28">
        <f>-259.002-T227-U227</f>
        <v>0</v>
      </c>
      <c r="W227" s="28">
        <f>0-SUM(T227:V227)</f>
        <v>259.00200000000001</v>
      </c>
      <c r="X227" s="28"/>
      <c r="Y227" s="28"/>
      <c r="Z227" s="28"/>
      <c r="AA227" s="28"/>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54"/>
      <c r="BA227" s="28"/>
      <c r="BB227" s="28"/>
      <c r="BC227" s="4">
        <f t="shared" si="823"/>
        <v>0</v>
      </c>
      <c r="BD227" s="4">
        <f t="shared" si="837"/>
        <v>0</v>
      </c>
      <c r="BE227" s="4">
        <f t="shared" si="838"/>
        <v>0</v>
      </c>
      <c r="BF227" s="4">
        <f t="shared" si="839"/>
        <v>0</v>
      </c>
      <c r="BG227" s="4">
        <f t="shared" si="840"/>
        <v>0</v>
      </c>
      <c r="BH227" s="4">
        <f t="shared" si="841"/>
        <v>0</v>
      </c>
      <c r="BI227" s="4">
        <f t="shared" si="842"/>
        <v>0</v>
      </c>
      <c r="BJ227" s="4">
        <f t="shared" si="843"/>
        <v>0</v>
      </c>
      <c r="BK227" s="4">
        <f t="shared" si="844"/>
        <v>0</v>
      </c>
      <c r="BL227" s="4">
        <f t="shared" si="845"/>
        <v>0</v>
      </c>
      <c r="BM227" s="4">
        <f t="shared" si="846"/>
        <v>0</v>
      </c>
      <c r="BN227" s="4">
        <f t="shared" si="847"/>
        <v>0</v>
      </c>
      <c r="BO227" s="24"/>
    </row>
    <row r="228" spans="2:67">
      <c r="B228" t="s">
        <v>298</v>
      </c>
      <c r="D228" s="7">
        <f>-310.999/2</f>
        <v>-155.49950000000001</v>
      </c>
      <c r="E228" s="7">
        <f>-310.999/2</f>
        <v>-155.49950000000001</v>
      </c>
      <c r="F228" s="7">
        <f>-366.308-D228-E228</f>
        <v>-55.308999999999969</v>
      </c>
      <c r="G228" s="28">
        <f>120-216.637-D228-E228-F228</f>
        <v>269.67099999999999</v>
      </c>
      <c r="H228" s="7">
        <f>-456.994/2</f>
        <v>-228.49700000000001</v>
      </c>
      <c r="I228" s="7">
        <f>-456.994/2</f>
        <v>-228.49700000000001</v>
      </c>
      <c r="J228" s="28">
        <f>-456.994-I228-H228</f>
        <v>0</v>
      </c>
      <c r="K228" s="28">
        <f>-278-456.994-SUM(H228:J228)</f>
        <v>-278</v>
      </c>
      <c r="L228" s="28"/>
      <c r="M228" s="28"/>
      <c r="N228" s="28">
        <f>297.633-290-L228-M228</f>
        <v>7.6329999999999814</v>
      </c>
      <c r="O228" s="28">
        <f>297.633-290-M228-N228-L228</f>
        <v>0</v>
      </c>
      <c r="P228" s="28">
        <v>-165</v>
      </c>
      <c r="Q228" s="28">
        <f>-260-P228</f>
        <v>-95</v>
      </c>
      <c r="R228" s="28">
        <f>-260-P228-Q228</f>
        <v>0</v>
      </c>
      <c r="S228" s="28">
        <f>-386.998-P228-Q228-R228</f>
        <v>-126.99799999999999</v>
      </c>
      <c r="T228" s="28"/>
      <c r="U228" s="28"/>
      <c r="V228" s="28"/>
      <c r="W228" s="28">
        <f>-459.002-SUM(T228:V228)</f>
        <v>-459.00200000000001</v>
      </c>
      <c r="X228" s="28">
        <v>1.92</v>
      </c>
      <c r="Y228" s="28">
        <f>1.92-X228</f>
        <v>0</v>
      </c>
      <c r="Z228" s="28">
        <f>-81+1.92-X228-Y228</f>
        <v>-81</v>
      </c>
      <c r="AA228" s="28">
        <f>-696+1.92-300-Y228-Z228-X228</f>
        <v>-915</v>
      </c>
      <c r="AB228" s="24">
        <f t="shared" ref="AB228:AM229" ca="1" si="848">+AB279-AA279</f>
        <v>5.8139999999999645</v>
      </c>
      <c r="AC228" s="24">
        <f t="shared" ca="1" si="848"/>
        <v>68.245486272246808</v>
      </c>
      <c r="AD228" s="24">
        <f t="shared" ca="1" si="848"/>
        <v>78.436239961494266</v>
      </c>
      <c r="AE228" s="24">
        <f t="shared" ca="1" si="848"/>
        <v>78.124089014604579</v>
      </c>
      <c r="AF228" s="24">
        <f t="shared" ca="1" si="848"/>
        <v>30.037770836364643</v>
      </c>
      <c r="AG228" s="24">
        <f t="shared" ca="1" si="848"/>
        <v>28.636800190985014</v>
      </c>
      <c r="AH228" s="24">
        <f t="shared" ca="1" si="848"/>
        <v>25.187471988664811</v>
      </c>
      <c r="AI228" s="24">
        <f ca="1">+AI279-AH279</f>
        <v>19.94013892318867</v>
      </c>
      <c r="AJ228" s="24">
        <f t="shared" ca="1" si="848"/>
        <v>16.525508234175959</v>
      </c>
      <c r="AK228" s="24">
        <f t="shared" ca="1" si="848"/>
        <v>14.248946696744497</v>
      </c>
      <c r="AL228" s="24">
        <f t="shared" ca="1" si="848"/>
        <v>9.8852545204690614</v>
      </c>
      <c r="AM228" s="24">
        <f t="shared" ca="1" si="848"/>
        <v>7.4285514919120033</v>
      </c>
      <c r="AN228" s="24">
        <f t="shared" ref="AN228:AN229" ca="1" si="849">+AN279-AM279</f>
        <v>7.1077220858110195</v>
      </c>
      <c r="AO228" s="24">
        <f t="shared" ref="AO228:AO229" ca="1" si="850">+AO279-AN279</f>
        <v>10.778916600109824</v>
      </c>
      <c r="AP228" s="24">
        <f t="shared" ref="AP228:AP229" ca="1" si="851">+AP279-AO279</f>
        <v>9.83695274526508</v>
      </c>
      <c r="AQ228" s="24">
        <f ca="1">+AQ279-AP279</f>
        <v>7.082805446922066</v>
      </c>
      <c r="AR228" s="24">
        <f t="shared" ref="AR228:AR229" ca="1" si="852">+AR279-AQ279</f>
        <v>6.7657097252103995</v>
      </c>
      <c r="AS228" s="24">
        <f t="shared" ref="AS228:AS229" ca="1" si="853">+AS279-AR279</f>
        <v>-467.91054534557929</v>
      </c>
      <c r="AT228" s="24">
        <f t="shared" ref="AT228:AT229" ca="1" si="854">+AT279-AS279</f>
        <v>38.642180611410595</v>
      </c>
      <c r="AU228" s="24">
        <f t="shared" ref="AU228:AU229" ca="1" si="855">+AU279-AT279</f>
        <v>0</v>
      </c>
      <c r="AV228" s="24">
        <f t="shared" ref="AV228:AV229" ca="1" si="856">+AV279-AU279</f>
        <v>0</v>
      </c>
      <c r="AW228" s="24">
        <f t="shared" ref="AW228:AW229" ca="1" si="857">+AW279-AV279</f>
        <v>0</v>
      </c>
      <c r="AX228" s="24">
        <f t="shared" ref="AX228:AX229" ca="1" si="858">+AX279-AW279</f>
        <v>0</v>
      </c>
      <c r="AY228" s="24">
        <f t="shared" ref="AY228:AY229" ca="1" si="859">+AY279-AX279</f>
        <v>0</v>
      </c>
      <c r="AZ228" s="54"/>
      <c r="BA228" s="28">
        <f>25-108.485</f>
        <v>-83.484999999999999</v>
      </c>
      <c r="BB228" s="28">
        <v>50</v>
      </c>
      <c r="BC228" s="4">
        <f t="shared" si="823"/>
        <v>-96.637</v>
      </c>
      <c r="BD228" s="4">
        <f t="shared" si="837"/>
        <v>-734.99400000000003</v>
      </c>
      <c r="BE228" s="4">
        <f t="shared" si="838"/>
        <v>7.6329999999999814</v>
      </c>
      <c r="BF228" s="4">
        <f t="shared" si="839"/>
        <v>-386.99799999999999</v>
      </c>
      <c r="BG228" s="4">
        <f t="shared" si="840"/>
        <v>-459.00200000000001</v>
      </c>
      <c r="BH228" s="4">
        <f t="shared" si="841"/>
        <v>-994.08</v>
      </c>
      <c r="BI228" s="4">
        <f t="shared" ca="1" si="842"/>
        <v>230.61981524834562</v>
      </c>
      <c r="BJ228" s="4">
        <f t="shared" ca="1" si="843"/>
        <v>103.80218193920314</v>
      </c>
      <c r="BK228" s="4">
        <f t="shared" ca="1" si="844"/>
        <v>48.08826094330152</v>
      </c>
      <c r="BL228" s="4">
        <f t="shared" ca="1" si="845"/>
        <v>34.806396878107989</v>
      </c>
      <c r="BM228" s="4">
        <f t="shared" ca="1" si="846"/>
        <v>-422.5026550089583</v>
      </c>
      <c r="BN228" s="4">
        <f t="shared" ca="1" si="847"/>
        <v>0</v>
      </c>
      <c r="BO228" s="24"/>
    </row>
    <row r="229" spans="2:67">
      <c r="B229" s="58" t="s">
        <v>377</v>
      </c>
      <c r="D229" s="7"/>
      <c r="E229" s="7"/>
      <c r="F229" s="7"/>
      <c r="G229" s="28"/>
      <c r="H229" s="7"/>
      <c r="I229" s="7"/>
      <c r="J229" s="28"/>
      <c r="K229" s="28"/>
      <c r="L229" s="28"/>
      <c r="M229" s="28"/>
      <c r="N229" s="28"/>
      <c r="O229" s="28"/>
      <c r="P229" s="28"/>
      <c r="Q229" s="28"/>
      <c r="R229" s="28"/>
      <c r="S229" s="28"/>
      <c r="T229" s="28"/>
      <c r="U229" s="28"/>
      <c r="V229" s="28"/>
      <c r="W229" s="28"/>
      <c r="X229" s="28"/>
      <c r="Y229" s="28"/>
      <c r="Z229" s="28"/>
      <c r="AA229" s="28"/>
      <c r="AB229" s="24">
        <f t="shared" si="848"/>
        <v>-5.8140000000000214</v>
      </c>
      <c r="AC229" s="24">
        <f t="shared" si="848"/>
        <v>0</v>
      </c>
      <c r="AD229" s="24">
        <f t="shared" si="848"/>
        <v>0</v>
      </c>
      <c r="AE229" s="24">
        <f t="shared" si="848"/>
        <v>0</v>
      </c>
      <c r="AF229" s="24">
        <f t="shared" si="848"/>
        <v>0</v>
      </c>
      <c r="AG229" s="24">
        <f t="shared" si="848"/>
        <v>0</v>
      </c>
      <c r="AH229" s="24">
        <f t="shared" si="848"/>
        <v>0</v>
      </c>
      <c r="AI229" s="24">
        <f t="shared" si="848"/>
        <v>0</v>
      </c>
      <c r="AJ229" s="24">
        <f t="shared" si="848"/>
        <v>0</v>
      </c>
      <c r="AK229" s="24">
        <f t="shared" si="848"/>
        <v>0</v>
      </c>
      <c r="AL229" s="24">
        <f t="shared" si="848"/>
        <v>0</v>
      </c>
      <c r="AM229" s="24">
        <f t="shared" si="848"/>
        <v>0</v>
      </c>
      <c r="AN229" s="24">
        <f t="shared" si="849"/>
        <v>0</v>
      </c>
      <c r="AO229" s="24">
        <f t="shared" si="850"/>
        <v>0</v>
      </c>
      <c r="AP229" s="24">
        <f t="shared" si="851"/>
        <v>0</v>
      </c>
      <c r="AQ229" s="24">
        <f t="shared" ref="AQ229" si="860">+AQ280-AP280</f>
        <v>0</v>
      </c>
      <c r="AR229" s="24">
        <f t="shared" si="852"/>
        <v>0</v>
      </c>
      <c r="AS229" s="24">
        <f t="shared" si="853"/>
        <v>0</v>
      </c>
      <c r="AT229" s="24">
        <f t="shared" si="854"/>
        <v>0</v>
      </c>
      <c r="AU229" s="24">
        <f t="shared" si="855"/>
        <v>0</v>
      </c>
      <c r="AV229" s="24">
        <f t="shared" si="856"/>
        <v>0</v>
      </c>
      <c r="AW229" s="24">
        <f t="shared" si="857"/>
        <v>0</v>
      </c>
      <c r="AX229" s="24">
        <f t="shared" si="858"/>
        <v>0</v>
      </c>
      <c r="AY229" s="24">
        <f t="shared" si="859"/>
        <v>0</v>
      </c>
      <c r="AZ229" s="54"/>
      <c r="BA229" s="28"/>
      <c r="BB229" s="28"/>
      <c r="BC229" s="4">
        <f>+SUM(D229:G229)</f>
        <v>0</v>
      </c>
      <c r="BD229" s="4">
        <f>+SUM(H229:K229)</f>
        <v>0</v>
      </c>
      <c r="BE229" s="4">
        <f>+SUM(L229:O229)</f>
        <v>0</v>
      </c>
      <c r="BF229" s="4">
        <f>+SUM(P229:S229)</f>
        <v>0</v>
      </c>
      <c r="BG229" s="4">
        <f>+SUM(T229:W229)</f>
        <v>0</v>
      </c>
      <c r="BH229" s="4">
        <f t="shared" si="841"/>
        <v>0</v>
      </c>
      <c r="BI229" s="4">
        <f t="shared" si="842"/>
        <v>-5.8140000000000214</v>
      </c>
      <c r="BJ229" s="4">
        <f t="shared" si="843"/>
        <v>0</v>
      </c>
      <c r="BK229" s="4">
        <f t="shared" si="844"/>
        <v>0</v>
      </c>
      <c r="BL229" s="4">
        <f t="shared" si="845"/>
        <v>0</v>
      </c>
      <c r="BM229" s="4">
        <f t="shared" si="846"/>
        <v>0</v>
      </c>
      <c r="BN229" s="4">
        <f t="shared" si="847"/>
        <v>0</v>
      </c>
      <c r="BO229" s="24"/>
    </row>
    <row r="230" spans="2:67">
      <c r="B230" t="s">
        <v>70</v>
      </c>
      <c r="D230" s="7">
        <f>-4.347/2</f>
        <v>-2.1735000000000002</v>
      </c>
      <c r="E230" s="7">
        <f>-4.347/2</f>
        <v>-2.1735000000000002</v>
      </c>
      <c r="F230" s="7">
        <f>-4.377-D230-E230</f>
        <v>-2.9999999999999361E-2</v>
      </c>
      <c r="G230" s="28">
        <f>-4.07-D230-E230-F230</f>
        <v>0.3069999999999995</v>
      </c>
      <c r="H230" s="24"/>
      <c r="I230" s="24"/>
      <c r="J230" s="24"/>
      <c r="K230" s="24"/>
      <c r="L230" s="24"/>
      <c r="M230" s="24"/>
      <c r="N230" s="24"/>
      <c r="O230" s="24"/>
      <c r="P230" s="24"/>
      <c r="Q230" s="24"/>
      <c r="R230" s="24"/>
      <c r="S230" s="24"/>
      <c r="T230" s="24"/>
      <c r="U230" s="24"/>
      <c r="V230" s="24"/>
      <c r="W230" s="24"/>
      <c r="X230" s="24"/>
      <c r="Y230" s="24"/>
      <c r="Z230" s="24"/>
      <c r="AA230" s="24"/>
      <c r="AB230" s="24"/>
      <c r="AC230" s="24"/>
      <c r="AD230" s="24"/>
      <c r="AE230" s="24"/>
      <c r="AF230" s="24"/>
      <c r="AG230" s="24"/>
      <c r="AH230" s="24"/>
      <c r="AI230" s="24"/>
      <c r="AJ230" s="24"/>
      <c r="AK230" s="24"/>
      <c r="AL230" s="24"/>
      <c r="AM230" s="24"/>
      <c r="AN230" s="24"/>
      <c r="AO230" s="24"/>
      <c r="AP230" s="24"/>
      <c r="AQ230" s="24"/>
      <c r="AR230" s="24"/>
      <c r="AS230" s="24"/>
      <c r="AT230" s="24"/>
      <c r="AU230" s="24"/>
      <c r="AV230" s="24"/>
      <c r="AW230" s="24"/>
      <c r="AX230" s="24"/>
      <c r="AY230" s="24"/>
      <c r="AZ230" s="54"/>
      <c r="BA230" s="28">
        <v>-7.8840000000000003</v>
      </c>
      <c r="BB230" s="28">
        <v>-4.12</v>
      </c>
      <c r="BC230" s="4">
        <f t="shared" si="823"/>
        <v>-4.07</v>
      </c>
      <c r="BD230" s="4">
        <f t="shared" si="837"/>
        <v>0</v>
      </c>
      <c r="BE230" s="4">
        <f t="shared" si="838"/>
        <v>0</v>
      </c>
      <c r="BF230" s="4">
        <f t="shared" si="839"/>
        <v>0</v>
      </c>
      <c r="BG230" s="4">
        <f t="shared" si="840"/>
        <v>0</v>
      </c>
      <c r="BH230" s="4">
        <f t="shared" si="841"/>
        <v>0</v>
      </c>
      <c r="BI230" s="4">
        <f t="shared" si="842"/>
        <v>0</v>
      </c>
      <c r="BJ230" s="4">
        <f t="shared" si="843"/>
        <v>0</v>
      </c>
      <c r="BK230" s="4">
        <f t="shared" si="844"/>
        <v>0</v>
      </c>
      <c r="BL230" s="4">
        <f t="shared" si="845"/>
        <v>0</v>
      </c>
      <c r="BM230" s="4">
        <f t="shared" si="846"/>
        <v>0</v>
      </c>
      <c r="BN230" s="4">
        <f t="shared" si="847"/>
        <v>0</v>
      </c>
      <c r="BO230" s="24"/>
    </row>
    <row r="231" spans="2:67">
      <c r="B231" t="s">
        <v>71</v>
      </c>
      <c r="D231" s="7">
        <f>-4.587/2</f>
        <v>-2.2934999999999999</v>
      </c>
      <c r="E231" s="7">
        <f>-4.587/2</f>
        <v>-2.2934999999999999</v>
      </c>
      <c r="F231" s="7">
        <f>-4.591-D231-E231</f>
        <v>-4.0000000000004476E-3</v>
      </c>
      <c r="G231" s="28">
        <f>-6.243-D231-E231-F231</f>
        <v>-1.6520000000000001</v>
      </c>
      <c r="H231" s="7">
        <f>-3.783/2</f>
        <v>-1.8915</v>
      </c>
      <c r="I231" s="7">
        <f>-3.783/2</f>
        <v>-1.8915</v>
      </c>
      <c r="J231" s="28">
        <f>-4.483-I231-H231</f>
        <v>-0.7</v>
      </c>
      <c r="K231" s="28">
        <f>-0.99-4.483-SUM(H231:J231)</f>
        <v>-0.99000000000000021</v>
      </c>
      <c r="L231" s="28">
        <v>-0.36699999999999999</v>
      </c>
      <c r="M231" s="28">
        <f>-0.924-L231</f>
        <v>-0.55700000000000005</v>
      </c>
      <c r="N231" s="28">
        <f>-9.648-M231-L231</f>
        <v>-8.7240000000000002</v>
      </c>
      <c r="O231" s="28">
        <f>-9.864-N231-M231-L231</f>
        <v>-0.21600000000000052</v>
      </c>
      <c r="P231" s="28">
        <v>-0.35199999999999998</v>
      </c>
      <c r="Q231" s="28">
        <f>-0.512-P231</f>
        <v>-0.16000000000000003</v>
      </c>
      <c r="R231" s="28">
        <f>-0.577-P231-Q231</f>
        <v>-6.4999999999999947E-2</v>
      </c>
      <c r="S231" s="28">
        <f>-3.649-P231-Q231-R231</f>
        <v>-3.0720000000000001</v>
      </c>
      <c r="T231" s="28"/>
      <c r="U231" s="28"/>
      <c r="V231" s="28">
        <f>-0.035-T231-U231</f>
        <v>-3.5000000000000003E-2</v>
      </c>
      <c r="W231" s="28">
        <f>-4.177-SUM(T231:V231)</f>
        <v>-4.1419999999999995</v>
      </c>
      <c r="X231" s="28">
        <v>-4.0000000000000001E-3</v>
      </c>
      <c r="Y231" s="28">
        <f>-0.038-X231</f>
        <v>-3.4000000000000002E-2</v>
      </c>
      <c r="Z231" s="28">
        <f>-0.2-X231-Y231</f>
        <v>-0.16200000000000001</v>
      </c>
      <c r="AA231" s="28">
        <f>-10.862-Y231-Z231-X231</f>
        <v>-10.661999999999999</v>
      </c>
      <c r="AB231" s="24"/>
      <c r="AC231" s="24"/>
      <c r="AD231" s="24"/>
      <c r="AE231" s="24"/>
      <c r="AF231" s="24"/>
      <c r="AG231" s="24"/>
      <c r="AH231" s="24"/>
      <c r="AI231" s="24"/>
      <c r="AJ231" s="24"/>
      <c r="AK231" s="24"/>
      <c r="AL231" s="24"/>
      <c r="AM231" s="24"/>
      <c r="AN231" s="24"/>
      <c r="AO231" s="24"/>
      <c r="AP231" s="24"/>
      <c r="AQ231" s="24"/>
      <c r="AR231" s="24"/>
      <c r="AS231" s="24"/>
      <c r="AT231" s="24"/>
      <c r="AU231" s="24"/>
      <c r="AV231" s="24"/>
      <c r="AW231" s="24"/>
      <c r="AX231" s="24"/>
      <c r="AY231" s="24"/>
      <c r="AZ231" s="54"/>
      <c r="BA231" s="28">
        <v>-5.577</v>
      </c>
      <c r="BB231" s="28">
        <v>-1.92</v>
      </c>
      <c r="BC231" s="4">
        <f t="shared" si="823"/>
        <v>-6.2430000000000003</v>
      </c>
      <c r="BD231" s="4">
        <f t="shared" si="837"/>
        <v>-5.4729999999999999</v>
      </c>
      <c r="BE231" s="4">
        <f t="shared" si="838"/>
        <v>-9.8640000000000008</v>
      </c>
      <c r="BF231" s="4">
        <f t="shared" si="839"/>
        <v>-3.649</v>
      </c>
      <c r="BG231" s="4">
        <f t="shared" si="840"/>
        <v>-4.1769999999999996</v>
      </c>
      <c r="BH231" s="4">
        <f t="shared" si="841"/>
        <v>-10.861999999999998</v>
      </c>
      <c r="BI231" s="4">
        <f t="shared" si="842"/>
        <v>0</v>
      </c>
      <c r="BJ231" s="4">
        <f t="shared" si="843"/>
        <v>0</v>
      </c>
      <c r="BK231" s="4">
        <f t="shared" si="844"/>
        <v>0</v>
      </c>
      <c r="BL231" s="4">
        <f t="shared" si="845"/>
        <v>0</v>
      </c>
      <c r="BM231" s="4">
        <f t="shared" si="846"/>
        <v>0</v>
      </c>
      <c r="BN231" s="4">
        <f t="shared" si="847"/>
        <v>0</v>
      </c>
      <c r="BO231" s="24"/>
    </row>
    <row r="232" spans="2:67">
      <c r="B232" t="s">
        <v>72</v>
      </c>
      <c r="D232" s="7">
        <f>-0.157/2</f>
        <v>-7.85E-2</v>
      </c>
      <c r="E232" s="7">
        <f>-0.157/2</f>
        <v>-7.85E-2</v>
      </c>
      <c r="F232" s="7">
        <f>-0.237-D232-E232</f>
        <v>-7.9999999999999974E-2</v>
      </c>
      <c r="G232" s="28">
        <f>-0.79-D232-E232-F232</f>
        <v>-0.55300000000000005</v>
      </c>
      <c r="H232" s="7">
        <f>-0.328/2</f>
        <v>-0.16400000000000001</v>
      </c>
      <c r="I232" s="7">
        <f>-0.328/2</f>
        <v>-0.16400000000000001</v>
      </c>
      <c r="J232" s="28">
        <f>-0.496-I232-H232</f>
        <v>-0.16799999999999995</v>
      </c>
      <c r="K232" s="28">
        <f>-0.18-0.496-SUM(H232:J232)</f>
        <v>-0.17999999999999994</v>
      </c>
      <c r="L232" s="28">
        <v>-0.17399999999999999</v>
      </c>
      <c r="M232" s="28">
        <f>-0.367-L232</f>
        <v>-0.193</v>
      </c>
      <c r="N232" s="28">
        <f>-0.553-M232-L232</f>
        <v>-0.18600000000000005</v>
      </c>
      <c r="O232" s="28">
        <f>-0.753-N232-M232-L232</f>
        <v>-0.19999999999999996</v>
      </c>
      <c r="P232" s="28">
        <v>-0.46700000000000003</v>
      </c>
      <c r="Q232" s="28">
        <f>-1.227-P232</f>
        <v>-0.76</v>
      </c>
      <c r="R232" s="28">
        <f>-4.415-P232-Q232</f>
        <v>-3.1879999999999997</v>
      </c>
      <c r="S232" s="28">
        <f>-7.677-P232-Q232-R232</f>
        <v>-3.2620000000000005</v>
      </c>
      <c r="T232" s="28">
        <v>-3.2280000000000002</v>
      </c>
      <c r="U232" s="28">
        <f>-6.454-T232</f>
        <v>-3.2259999999999995</v>
      </c>
      <c r="V232" s="28">
        <f>-9.612-T232-U232</f>
        <v>-3.1580000000000008</v>
      </c>
      <c r="W232" s="28">
        <f>-12.6-SUM(T232:V232)</f>
        <v>-2.9879999999999995</v>
      </c>
      <c r="X232" s="28">
        <v>-3.2490000000000001</v>
      </c>
      <c r="Y232" s="28">
        <f>-6.547-X232</f>
        <v>-3.2979999999999996</v>
      </c>
      <c r="Z232" s="28">
        <f>-9.865-X232-Y232</f>
        <v>-3.3180000000000001</v>
      </c>
      <c r="AA232" s="28">
        <f>-12.224-Y232-Z232-X232</f>
        <v>-2.3590000000000004</v>
      </c>
      <c r="AB232" s="24">
        <f t="shared" ref="AB232:AM232" si="861">+AB281-AA281</f>
        <v>-1.8659999999999979</v>
      </c>
      <c r="AC232" s="24">
        <f t="shared" si="861"/>
        <v>0</v>
      </c>
      <c r="AD232" s="24">
        <f t="shared" si="861"/>
        <v>0</v>
      </c>
      <c r="AE232" s="24">
        <f t="shared" si="861"/>
        <v>0</v>
      </c>
      <c r="AF232" s="24">
        <f t="shared" si="861"/>
        <v>0</v>
      </c>
      <c r="AG232" s="24">
        <f t="shared" si="861"/>
        <v>0</v>
      </c>
      <c r="AH232" s="24">
        <f t="shared" si="861"/>
        <v>0</v>
      </c>
      <c r="AI232" s="24">
        <f t="shared" si="861"/>
        <v>0</v>
      </c>
      <c r="AJ232" s="24">
        <f t="shared" si="861"/>
        <v>0</v>
      </c>
      <c r="AK232" s="24">
        <f t="shared" si="861"/>
        <v>0</v>
      </c>
      <c r="AL232" s="24">
        <f t="shared" si="861"/>
        <v>0</v>
      </c>
      <c r="AM232" s="24">
        <f t="shared" si="861"/>
        <v>0</v>
      </c>
      <c r="AN232" s="24">
        <f t="shared" ref="AN232" si="862">+AN281-AM281</f>
        <v>0</v>
      </c>
      <c r="AO232" s="24">
        <f t="shared" ref="AO232" si="863">+AO281-AN281</f>
        <v>0</v>
      </c>
      <c r="AP232" s="24">
        <f t="shared" ref="AP232" si="864">+AP281-AO281</f>
        <v>0</v>
      </c>
      <c r="AQ232" s="24">
        <f t="shared" ref="AQ232" si="865">+AQ281-AP281</f>
        <v>0</v>
      </c>
      <c r="AR232" s="24">
        <f t="shared" ref="AR232" si="866">+AR281-AQ281</f>
        <v>0</v>
      </c>
      <c r="AS232" s="24">
        <f t="shared" ref="AS232" si="867">+AS281-AR281</f>
        <v>0</v>
      </c>
      <c r="AT232" s="24">
        <f t="shared" ref="AT232" si="868">+AT281-AS281</f>
        <v>0</v>
      </c>
      <c r="AU232" s="24">
        <f t="shared" ref="AU232" si="869">+AU281-AT281</f>
        <v>0</v>
      </c>
      <c r="AV232" s="24">
        <f t="shared" ref="AV232" si="870">+AV281-AU281</f>
        <v>0</v>
      </c>
      <c r="AW232" s="24">
        <f t="shared" ref="AW232" si="871">+AW281-AV281</f>
        <v>0</v>
      </c>
      <c r="AX232" s="24">
        <f t="shared" ref="AX232" si="872">+AX281-AW281</f>
        <v>0</v>
      </c>
      <c r="AY232" s="24">
        <f t="shared" ref="AY232" si="873">+AY281-AX281</f>
        <v>0</v>
      </c>
      <c r="AZ232" s="54"/>
      <c r="BA232" s="28"/>
      <c r="BB232" s="28">
        <v>-7.5999999999999998E-2</v>
      </c>
      <c r="BC232" s="4">
        <f t="shared" si="823"/>
        <v>-0.79</v>
      </c>
      <c r="BD232" s="4">
        <f t="shared" si="837"/>
        <v>-0.67599999999999993</v>
      </c>
      <c r="BE232" s="4">
        <f t="shared" si="838"/>
        <v>-0.753</v>
      </c>
      <c r="BF232" s="4">
        <f t="shared" si="839"/>
        <v>-7.6770000000000005</v>
      </c>
      <c r="BG232" s="4">
        <f t="shared" si="840"/>
        <v>-12.6</v>
      </c>
      <c r="BH232" s="4">
        <f t="shared" si="841"/>
        <v>-12.224</v>
      </c>
      <c r="BI232" s="4">
        <f t="shared" si="842"/>
        <v>-1.8659999999999979</v>
      </c>
      <c r="BJ232" s="4">
        <f t="shared" si="843"/>
        <v>0</v>
      </c>
      <c r="BK232" s="4">
        <f t="shared" si="844"/>
        <v>0</v>
      </c>
      <c r="BL232" s="4">
        <f t="shared" si="845"/>
        <v>0</v>
      </c>
      <c r="BM232" s="4">
        <f t="shared" si="846"/>
        <v>0</v>
      </c>
      <c r="BN232" s="4">
        <f t="shared" si="847"/>
        <v>0</v>
      </c>
      <c r="BO232" s="24"/>
    </row>
    <row r="233" spans="2:67">
      <c r="B233" t="s">
        <v>73</v>
      </c>
      <c r="D233" s="7">
        <f>-1.771/2</f>
        <v>-0.88549999999999995</v>
      </c>
      <c r="E233" s="7">
        <f>-1.771/2</f>
        <v>-0.88549999999999995</v>
      </c>
      <c r="F233" s="7">
        <f>-2.39-D233-E233</f>
        <v>-0.61900000000000022</v>
      </c>
      <c r="G233" s="28">
        <f>-3.476-D233-E233-F233</f>
        <v>-1.0859999999999999</v>
      </c>
      <c r="H233" s="7">
        <f>-1.352/2</f>
        <v>-0.67600000000000005</v>
      </c>
      <c r="I233" s="7">
        <f>-1.352/2</f>
        <v>-0.67600000000000005</v>
      </c>
      <c r="J233" s="28">
        <f>-1.88-I233-H233</f>
        <v>-0.52799999999999969</v>
      </c>
      <c r="K233" s="28">
        <f>-0.359-2.057-SUM(H233:J233)</f>
        <v>-0.53600000000000003</v>
      </c>
      <c r="L233" s="28">
        <v>-0.54500000000000004</v>
      </c>
      <c r="M233" s="28">
        <f>-1.1-L233</f>
        <v>-0.55500000000000005</v>
      </c>
      <c r="N233" s="28">
        <f>-1.665-M233-L233</f>
        <v>-0.56499999999999984</v>
      </c>
      <c r="O233" s="28">
        <f>-2.239-N233-M233-L233</f>
        <v>-0.57399999999999973</v>
      </c>
      <c r="P233" s="28">
        <v>-0.58399999999999996</v>
      </c>
      <c r="Q233" s="28">
        <f>-16.6-P233</f>
        <v>-16.016000000000002</v>
      </c>
      <c r="R233" s="28">
        <f>-16.6-P233-Q233</f>
        <v>0</v>
      </c>
      <c r="S233" s="28">
        <f>-86.6-P233-Q233-R233</f>
        <v>-69.999999999999986</v>
      </c>
      <c r="T233" s="28"/>
      <c r="U233" s="28"/>
      <c r="V233" s="28"/>
      <c r="W233" s="28"/>
      <c r="X233" s="28">
        <v>-1.4E-2</v>
      </c>
      <c r="Y233" s="28">
        <f>-0.022-X233</f>
        <v>-7.9999999999999984E-3</v>
      </c>
      <c r="Z233" s="28">
        <f>-0.038-X233-Y233</f>
        <v>-1.6E-2</v>
      </c>
      <c r="AA233" s="28">
        <f>-0.054-Y233-Z233-X233</f>
        <v>-1.6E-2</v>
      </c>
      <c r="AB233" s="24">
        <f t="shared" ref="AB233:AM233" si="874">+AB278-AA278</f>
        <v>1.8660000000000001</v>
      </c>
      <c r="AC233" s="24">
        <f t="shared" si="874"/>
        <v>0</v>
      </c>
      <c r="AD233" s="24">
        <f t="shared" si="874"/>
        <v>0</v>
      </c>
      <c r="AE233" s="24">
        <f t="shared" si="874"/>
        <v>0</v>
      </c>
      <c r="AF233" s="24">
        <f t="shared" si="874"/>
        <v>0</v>
      </c>
      <c r="AG233" s="24">
        <f t="shared" si="874"/>
        <v>0</v>
      </c>
      <c r="AH233" s="24">
        <f t="shared" si="874"/>
        <v>0</v>
      </c>
      <c r="AI233" s="24">
        <f t="shared" si="874"/>
        <v>0</v>
      </c>
      <c r="AJ233" s="24">
        <f t="shared" si="874"/>
        <v>0</v>
      </c>
      <c r="AK233" s="24">
        <f t="shared" si="874"/>
        <v>0</v>
      </c>
      <c r="AL233" s="24">
        <f t="shared" si="874"/>
        <v>0</v>
      </c>
      <c r="AM233" s="24">
        <f t="shared" si="874"/>
        <v>0</v>
      </c>
      <c r="AN233" s="24">
        <f t="shared" ref="AN233" si="875">+AN278-AM278</f>
        <v>0</v>
      </c>
      <c r="AO233" s="24">
        <f t="shared" ref="AO233" si="876">+AO278-AN278</f>
        <v>0</v>
      </c>
      <c r="AP233" s="24">
        <f t="shared" ref="AP233" si="877">+AP278-AO278</f>
        <v>0</v>
      </c>
      <c r="AQ233" s="24">
        <f t="shared" ref="AQ233" si="878">+AQ278-AP278</f>
        <v>0</v>
      </c>
      <c r="AR233" s="24">
        <f t="shared" ref="AR233" si="879">+AR278-AQ278</f>
        <v>0</v>
      </c>
      <c r="AS233" s="24">
        <f t="shared" ref="AS233" si="880">+AS278-AR278</f>
        <v>-1.8660000000000001</v>
      </c>
      <c r="AT233" s="24">
        <f t="shared" ref="AT233" si="881">+AT278-AS278</f>
        <v>0</v>
      </c>
      <c r="AU233" s="24">
        <f t="shared" ref="AU233" si="882">+AU278-AT278</f>
        <v>0</v>
      </c>
      <c r="AV233" s="24">
        <f t="shared" ref="AV233" si="883">+AV278-AU278</f>
        <v>0</v>
      </c>
      <c r="AW233" s="24">
        <f t="shared" ref="AW233" si="884">+AW278-AV278</f>
        <v>0</v>
      </c>
      <c r="AX233" s="24">
        <f t="shared" ref="AX233" si="885">+AX278-AW278</f>
        <v>0</v>
      </c>
      <c r="AY233" s="24">
        <f t="shared" ref="AY233" si="886">+AY278-AX278</f>
        <v>0</v>
      </c>
      <c r="AZ233" s="54"/>
      <c r="BA233" s="28">
        <v>-4.944</v>
      </c>
      <c r="BB233" s="28">
        <v>-3.2149999999999999</v>
      </c>
      <c r="BC233" s="4">
        <f t="shared" si="823"/>
        <v>-3.476</v>
      </c>
      <c r="BD233" s="4">
        <f t="shared" si="837"/>
        <v>-2.4159999999999999</v>
      </c>
      <c r="BE233" s="4">
        <f t="shared" si="838"/>
        <v>-2.2389999999999999</v>
      </c>
      <c r="BF233" s="4">
        <f t="shared" si="839"/>
        <v>-86.6</v>
      </c>
      <c r="BG233" s="4">
        <f t="shared" si="840"/>
        <v>0</v>
      </c>
      <c r="BH233" s="4">
        <f t="shared" si="841"/>
        <v>-5.3999999999999999E-2</v>
      </c>
      <c r="BI233" s="4">
        <f t="shared" si="842"/>
        <v>1.8660000000000001</v>
      </c>
      <c r="BJ233" s="4">
        <f t="shared" si="843"/>
        <v>0</v>
      </c>
      <c r="BK233" s="4">
        <f t="shared" si="844"/>
        <v>0</v>
      </c>
      <c r="BL233" s="4">
        <f t="shared" si="845"/>
        <v>0</v>
      </c>
      <c r="BM233" s="4">
        <f t="shared" si="846"/>
        <v>-1.8660000000000001</v>
      </c>
      <c r="BN233" s="4">
        <f t="shared" si="847"/>
        <v>0</v>
      </c>
      <c r="BO233" s="24"/>
    </row>
    <row r="234" spans="2:67">
      <c r="B234" s="58" t="s">
        <v>536</v>
      </c>
      <c r="D234" s="7"/>
      <c r="E234" s="7"/>
      <c r="F234" s="7"/>
      <c r="G234" s="28"/>
      <c r="H234" s="7"/>
      <c r="I234" s="7"/>
      <c r="J234" s="28"/>
      <c r="K234" s="28"/>
      <c r="L234" s="28"/>
      <c r="M234" s="28"/>
      <c r="N234" s="28"/>
      <c r="O234" s="28"/>
      <c r="P234" s="28"/>
      <c r="Q234" s="28"/>
      <c r="R234" s="28"/>
      <c r="S234" s="28"/>
      <c r="T234" s="28"/>
      <c r="U234" s="28"/>
      <c r="V234" s="28"/>
      <c r="W234" s="28"/>
      <c r="X234" s="28"/>
      <c r="Y234" s="28"/>
      <c r="Z234" s="28"/>
      <c r="AA234" s="28"/>
      <c r="AB234" s="24">
        <f>+AB291-AA291</f>
        <v>100</v>
      </c>
      <c r="AC234" s="24">
        <f t="shared" ref="AC234:AY234" si="887">+AC291-AB291</f>
        <v>0</v>
      </c>
      <c r="AD234" s="24">
        <f t="shared" si="887"/>
        <v>0</v>
      </c>
      <c r="AE234" s="24">
        <f t="shared" si="887"/>
        <v>0</v>
      </c>
      <c r="AF234" s="24">
        <f t="shared" si="887"/>
        <v>0</v>
      </c>
      <c r="AG234" s="24">
        <f t="shared" si="887"/>
        <v>0</v>
      </c>
      <c r="AH234" s="24">
        <f t="shared" si="887"/>
        <v>0</v>
      </c>
      <c r="AI234" s="24">
        <f t="shared" si="887"/>
        <v>0</v>
      </c>
      <c r="AJ234" s="24">
        <f t="shared" si="887"/>
        <v>0</v>
      </c>
      <c r="AK234" s="24">
        <f t="shared" si="887"/>
        <v>0</v>
      </c>
      <c r="AL234" s="24">
        <f t="shared" si="887"/>
        <v>0</v>
      </c>
      <c r="AM234" s="24">
        <f t="shared" si="887"/>
        <v>0</v>
      </c>
      <c r="AN234" s="24">
        <f t="shared" si="887"/>
        <v>0</v>
      </c>
      <c r="AO234" s="24">
        <f t="shared" si="887"/>
        <v>0</v>
      </c>
      <c r="AP234" s="24">
        <f t="shared" si="887"/>
        <v>0</v>
      </c>
      <c r="AQ234" s="24">
        <f t="shared" si="887"/>
        <v>0</v>
      </c>
      <c r="AR234" s="24">
        <f t="shared" si="887"/>
        <v>0</v>
      </c>
      <c r="AS234" s="24">
        <f t="shared" si="887"/>
        <v>0</v>
      </c>
      <c r="AT234" s="24">
        <f t="shared" si="887"/>
        <v>0</v>
      </c>
      <c r="AU234" s="24">
        <f t="shared" si="887"/>
        <v>0</v>
      </c>
      <c r="AV234" s="24">
        <f t="shared" si="887"/>
        <v>0</v>
      </c>
      <c r="AW234" s="24">
        <f t="shared" si="887"/>
        <v>0</v>
      </c>
      <c r="AX234" s="24">
        <f t="shared" si="887"/>
        <v>0</v>
      </c>
      <c r="AY234" s="24">
        <f t="shared" si="887"/>
        <v>0</v>
      </c>
      <c r="AZ234" s="54"/>
      <c r="BA234" s="28"/>
      <c r="BB234" s="28"/>
      <c r="BC234" s="4"/>
      <c r="BD234" s="4"/>
      <c r="BE234" s="4"/>
      <c r="BF234" s="4"/>
      <c r="BG234" s="4">
        <f t="shared" ref="BG234" si="888">+SUM(T234:W234)</f>
        <v>0</v>
      </c>
      <c r="BH234" s="4">
        <f t="shared" ref="BH234" si="889">+SUM(X234:AA234)</f>
        <v>0</v>
      </c>
      <c r="BI234" s="4">
        <f t="shared" ref="BI234" si="890">+SUM(AB234:AE234)</f>
        <v>100</v>
      </c>
      <c r="BJ234" s="4">
        <f t="shared" ref="BJ234" si="891">+SUM(AF234:AI234)</f>
        <v>0</v>
      </c>
      <c r="BK234" s="4">
        <f t="shared" ref="BK234" si="892">+SUM(AJ234:AM234)</f>
        <v>0</v>
      </c>
      <c r="BL234" s="4">
        <f t="shared" si="845"/>
        <v>0</v>
      </c>
      <c r="BM234" s="4">
        <f t="shared" si="846"/>
        <v>0</v>
      </c>
      <c r="BN234" s="4">
        <f t="shared" si="847"/>
        <v>0</v>
      </c>
      <c r="BO234" s="24"/>
    </row>
    <row r="235" spans="2:67">
      <c r="B235" t="s">
        <v>163</v>
      </c>
      <c r="D235" s="4"/>
      <c r="E235" s="4"/>
      <c r="F235" s="4"/>
      <c r="G235" s="24"/>
      <c r="H235" s="22"/>
      <c r="I235" s="24"/>
      <c r="J235" s="24"/>
      <c r="K235" s="24"/>
      <c r="L235" s="28">
        <v>-6.9530000000000003</v>
      </c>
      <c r="M235" s="28">
        <f>-15.368-L235</f>
        <v>-8.4149999999999991</v>
      </c>
      <c r="N235" s="28">
        <f>-23.783-M235-L235</f>
        <v>-8.4150000000000027</v>
      </c>
      <c r="O235" s="28">
        <f>-32.198-N235-M235-L235</f>
        <v>-8.4149999999999991</v>
      </c>
      <c r="P235" s="28">
        <v>-8.5310000000000006</v>
      </c>
      <c r="Q235" s="28">
        <f>-19.673-P235</f>
        <v>-11.141999999999998</v>
      </c>
      <c r="R235" s="28">
        <f>-32.756-P235-Q235</f>
        <v>-13.083000000000004</v>
      </c>
      <c r="S235" s="28">
        <f>-45.892-P235-Q235-R235</f>
        <v>-13.136000000000005</v>
      </c>
      <c r="T235" s="28">
        <v>-13.193</v>
      </c>
      <c r="U235" s="28">
        <f>-28.104-T235</f>
        <v>-14.911</v>
      </c>
      <c r="V235" s="28">
        <f>-45.371-T235-U235</f>
        <v>-17.267000000000003</v>
      </c>
      <c r="W235" s="28">
        <f>-62.585-SUM(T235:V235)</f>
        <v>-17.213999999999999</v>
      </c>
      <c r="X235" s="28">
        <v>-17.222000000000001</v>
      </c>
      <c r="Y235" s="28">
        <f>-35.958-X235</f>
        <v>-18.735999999999997</v>
      </c>
      <c r="Z235" s="28">
        <f>-54.919-X235-Y235</f>
        <v>-18.960999999999999</v>
      </c>
      <c r="AA235" s="28">
        <f>-74.592-Y235-Z235-X235</f>
        <v>-19.673000000000002</v>
      </c>
      <c r="AB235" s="24">
        <f t="shared" ref="AB235:AY235" si="893">-AA185</f>
        <v>-22.535872319999999</v>
      </c>
      <c r="AC235" s="24">
        <f t="shared" ca="1" si="893"/>
        <v>-23.723154359604553</v>
      </c>
      <c r="AD235" s="24">
        <f t="shared" ca="1" si="893"/>
        <v>-23.755272574511146</v>
      </c>
      <c r="AE235" s="24">
        <f t="shared" ca="1" si="893"/>
        <v>-23.787978194045667</v>
      </c>
      <c r="AF235" s="24">
        <f t="shared" ca="1" si="893"/>
        <v>-23.821071012359056</v>
      </c>
      <c r="AG235" s="24">
        <f t="shared" ca="1" si="893"/>
        <v>-24.918893641860041</v>
      </c>
      <c r="AH235" s="24">
        <f t="shared" ca="1" si="893"/>
        <v>-24.9547905048667</v>
      </c>
      <c r="AI235" s="24">
        <f t="shared" ca="1" si="893"/>
        <v>-24.991671244943198</v>
      </c>
      <c r="AJ235" s="24">
        <f t="shared" ca="1" si="893"/>
        <v>-25.029333484315874</v>
      </c>
      <c r="AK235" s="24">
        <f t="shared" ca="1" si="893"/>
        <v>-25.624106281987352</v>
      </c>
      <c r="AL235" s="24">
        <f t="shared" ca="1" si="893"/>
        <v>-25.664119692700925</v>
      </c>
      <c r="AM235" s="24">
        <f t="shared" ca="1" si="893"/>
        <v>-25.705182338240043</v>
      </c>
      <c r="AN235" s="24">
        <f t="shared" ca="1" si="893"/>
        <v>-25.747099713897221</v>
      </c>
      <c r="AO235" s="24">
        <f t="shared" ca="1" si="893"/>
        <v>-28.962645539193055</v>
      </c>
      <c r="AP235" s="24">
        <f t="shared" ca="1" si="893"/>
        <v>-29.01156391983525</v>
      </c>
      <c r="AQ235" s="24">
        <f t="shared" ca="1" si="893"/>
        <v>-29.06175592973587</v>
      </c>
      <c r="AR235" s="24">
        <f t="shared" ca="1" si="893"/>
        <v>-29.112983422964689</v>
      </c>
      <c r="AS235" s="24">
        <f t="shared" ca="1" si="893"/>
        <v>-33.989690829125315</v>
      </c>
      <c r="AT235" s="24">
        <f t="shared" ca="1" si="893"/>
        <v>-34.051697702352499</v>
      </c>
      <c r="AU235" s="24">
        <f t="shared" ca="1" si="893"/>
        <v>-41.679333776230941</v>
      </c>
      <c r="AV235" s="24">
        <f t="shared" ca="1" si="893"/>
        <v>-45.952582913246339</v>
      </c>
      <c r="AW235" s="24">
        <f t="shared" ca="1" si="893"/>
        <v>-39.307512154068917</v>
      </c>
      <c r="AX235" s="24">
        <f t="shared" ca="1" si="893"/>
        <v>-39.365020639215409</v>
      </c>
      <c r="AY235" s="24">
        <f t="shared" ca="1" si="893"/>
        <v>-39.42397328608569</v>
      </c>
      <c r="AZ235" s="54"/>
      <c r="BA235" s="28"/>
      <c r="BB235" s="28"/>
      <c r="BC235" s="4">
        <f t="shared" si="823"/>
        <v>0</v>
      </c>
      <c r="BD235" s="4">
        <f t="shared" si="837"/>
        <v>0</v>
      </c>
      <c r="BE235" s="4">
        <f t="shared" si="838"/>
        <v>-32.198</v>
      </c>
      <c r="BF235" s="4">
        <f t="shared" si="839"/>
        <v>-45.892000000000003</v>
      </c>
      <c r="BG235" s="4">
        <f t="shared" si="840"/>
        <v>-62.585000000000001</v>
      </c>
      <c r="BH235" s="4">
        <f t="shared" si="841"/>
        <v>-74.591999999999999</v>
      </c>
      <c r="BI235" s="4">
        <f t="shared" ca="1" si="842"/>
        <v>-93.802277448161362</v>
      </c>
      <c r="BJ235" s="4">
        <f t="shared" ca="1" si="843"/>
        <v>-98.686426404028992</v>
      </c>
      <c r="BK235" s="4">
        <f t="shared" ca="1" si="844"/>
        <v>-102.02274179724418</v>
      </c>
      <c r="BL235" s="4">
        <f t="shared" ca="1" si="845"/>
        <v>-112.7830651026614</v>
      </c>
      <c r="BM235" s="4">
        <f t="shared" ca="1" si="846"/>
        <v>-138.83370573067344</v>
      </c>
      <c r="BN235" s="4">
        <f t="shared" ca="1" si="847"/>
        <v>-164.04908899261636</v>
      </c>
      <c r="BO235" s="24"/>
    </row>
    <row r="236" spans="2:67">
      <c r="B236" t="s">
        <v>125</v>
      </c>
      <c r="D236" s="4"/>
      <c r="E236" s="4"/>
      <c r="F236" s="4">
        <f>60-E236-D236</f>
        <v>60</v>
      </c>
      <c r="G236" s="28">
        <f>91.935-D236-E236-F236</f>
        <v>31.935000000000002</v>
      </c>
      <c r="H236" s="22"/>
      <c r="I236" s="24"/>
      <c r="J236" s="24"/>
      <c r="K236" s="28">
        <f>280.841-1.966-SUM(H236:J236)</f>
        <v>278.875</v>
      </c>
      <c r="L236" s="28"/>
      <c r="M236" s="28"/>
      <c r="N236" s="28"/>
      <c r="O236" s="28"/>
      <c r="P236" s="28">
        <v>166.36600000000001</v>
      </c>
      <c r="Q236" s="28">
        <f>370.074-P236</f>
        <v>203.708</v>
      </c>
      <c r="R236" s="28">
        <f>369.482-P236-Q236</f>
        <v>-0.59199999999998454</v>
      </c>
      <c r="S236" s="28">
        <f>369.372-P236-Q236-R236</f>
        <v>-0.11000000000001364</v>
      </c>
      <c r="T236" s="28"/>
      <c r="U236" s="28">
        <f>275.673-T236</f>
        <v>275.673</v>
      </c>
      <c r="V236" s="28">
        <f>275.663-T236-U236</f>
        <v>-9.9999999999909051E-3</v>
      </c>
      <c r="Y236" s="28">
        <f>39.011-X236</f>
        <v>39.011000000000003</v>
      </c>
      <c r="Z236" s="28">
        <f>92.612-X236-Y236</f>
        <v>53.600999999999992</v>
      </c>
      <c r="AA236" s="28">
        <f>107.549+4.972-4.725-Y236-Z236-X236</f>
        <v>15.184000000000005</v>
      </c>
      <c r="AB236" s="4">
        <f t="shared" ref="AB236:AM236" ca="1" si="894">+AB376</f>
        <v>0</v>
      </c>
      <c r="AC236" s="4">
        <f t="shared" ca="1" si="894"/>
        <v>0</v>
      </c>
      <c r="AD236" s="4">
        <f t="shared" ca="1" si="894"/>
        <v>0</v>
      </c>
      <c r="AE236" s="4">
        <f t="shared" ca="1" si="894"/>
        <v>0</v>
      </c>
      <c r="AF236" s="4">
        <f t="shared" ca="1" si="894"/>
        <v>0</v>
      </c>
      <c r="AG236" s="4">
        <f t="shared" ca="1" si="894"/>
        <v>0</v>
      </c>
      <c r="AH236" s="4">
        <f t="shared" ca="1" si="894"/>
        <v>0</v>
      </c>
      <c r="AI236" s="4">
        <f t="shared" ca="1" si="894"/>
        <v>0</v>
      </c>
      <c r="AJ236" s="4">
        <f t="shared" ca="1" si="894"/>
        <v>0</v>
      </c>
      <c r="AK236" s="4">
        <f t="shared" ca="1" si="894"/>
        <v>0</v>
      </c>
      <c r="AL236" s="4">
        <f t="shared" ca="1" si="894"/>
        <v>0</v>
      </c>
      <c r="AM236" s="4">
        <f t="shared" ca="1" si="894"/>
        <v>0</v>
      </c>
      <c r="AN236" s="4">
        <f t="shared" ref="AN236:AY236" ca="1" si="895">+AN376</f>
        <v>0</v>
      </c>
      <c r="AO236" s="4">
        <f t="shared" ca="1" si="895"/>
        <v>0</v>
      </c>
      <c r="AP236" s="4">
        <f t="shared" ca="1" si="895"/>
        <v>0</v>
      </c>
      <c r="AQ236" s="4">
        <f t="shared" ca="1" si="895"/>
        <v>0</v>
      </c>
      <c r="AR236" s="4">
        <f t="shared" ca="1" si="895"/>
        <v>0</v>
      </c>
      <c r="AS236" s="4">
        <f t="shared" ca="1" si="895"/>
        <v>0</v>
      </c>
      <c r="AT236" s="4">
        <f t="shared" ca="1" si="895"/>
        <v>449.34543733837444</v>
      </c>
      <c r="AU236" s="4">
        <f t="shared" ca="1" si="895"/>
        <v>250</v>
      </c>
      <c r="AV236" s="4">
        <f t="shared" ca="1" si="895"/>
        <v>0</v>
      </c>
      <c r="AW236" s="4">
        <f t="shared" ca="1" si="895"/>
        <v>0</v>
      </c>
      <c r="AX236" s="4">
        <f t="shared" ca="1" si="895"/>
        <v>0</v>
      </c>
      <c r="AY236" s="4">
        <f t="shared" ca="1" si="895"/>
        <v>0</v>
      </c>
      <c r="AZ236" s="54"/>
      <c r="BA236" s="7"/>
      <c r="BB236" s="7"/>
      <c r="BC236" s="4">
        <f t="shared" si="823"/>
        <v>91.935000000000002</v>
      </c>
      <c r="BD236" s="4">
        <f t="shared" si="837"/>
        <v>278.875</v>
      </c>
      <c r="BE236" s="4">
        <f t="shared" si="838"/>
        <v>0</v>
      </c>
      <c r="BF236" s="4">
        <f t="shared" si="839"/>
        <v>369.37200000000001</v>
      </c>
      <c r="BG236" s="4">
        <f t="shared" si="840"/>
        <v>275.66300000000001</v>
      </c>
      <c r="BH236" s="4">
        <f t="shared" si="841"/>
        <v>107.79599999999999</v>
      </c>
      <c r="BI236" s="4">
        <f t="shared" ca="1" si="842"/>
        <v>0</v>
      </c>
      <c r="BJ236" s="4">
        <f t="shared" ca="1" si="843"/>
        <v>0</v>
      </c>
      <c r="BK236" s="4">
        <f t="shared" ca="1" si="844"/>
        <v>0</v>
      </c>
      <c r="BL236" s="4">
        <f t="shared" ca="1" si="845"/>
        <v>0</v>
      </c>
      <c r="BM236" s="4">
        <f t="shared" ca="1" si="846"/>
        <v>699.3454373383745</v>
      </c>
      <c r="BN236" s="4">
        <f t="shared" ca="1" si="847"/>
        <v>0</v>
      </c>
      <c r="BO236" s="24"/>
    </row>
    <row r="237" spans="2:67">
      <c r="B237" t="s">
        <v>7</v>
      </c>
      <c r="D237" s="4"/>
      <c r="E237" s="4"/>
      <c r="F237" s="4"/>
      <c r="G237" s="24"/>
      <c r="H237" s="22"/>
      <c r="I237" s="24"/>
      <c r="J237" s="28">
        <f>-7.633-0.013-1.776</f>
        <v>-9.4220000000000006</v>
      </c>
      <c r="K237" s="24">
        <f>-7.633-0.013-SUM(H237:J237)</f>
        <v>1.7760000000000007</v>
      </c>
      <c r="L237" s="28">
        <v>-2.012</v>
      </c>
      <c r="M237" s="28">
        <f>-4.655-L237</f>
        <v>-2.6430000000000002</v>
      </c>
      <c r="N237" s="28">
        <f>-6.932-M237-L237</f>
        <v>-2.2769999999999997</v>
      </c>
      <c r="O237" s="28">
        <f>-9.049-N237-M237-L237</f>
        <v>-2.1169999999999995</v>
      </c>
      <c r="P237" s="28">
        <v>-2.1739999999999999</v>
      </c>
      <c r="Q237" s="28">
        <f>-4.414-P237</f>
        <v>-2.2399999999999998</v>
      </c>
      <c r="R237" s="28">
        <f>-6.652-P237-Q237</f>
        <v>-2.238</v>
      </c>
      <c r="S237" s="28">
        <f>-8.865-P237-Q237-R237</f>
        <v>-2.2130000000000005</v>
      </c>
      <c r="T237" s="28">
        <f>-2.186-0.379</f>
        <v>-2.5649999999999999</v>
      </c>
      <c r="U237" s="28">
        <f>-4.724-0.635-T237</f>
        <v>-2.794</v>
      </c>
      <c r="V237" s="28">
        <f>-7.189-1.252-T237-U237</f>
        <v>-3.0820000000000012</v>
      </c>
      <c r="W237" s="28">
        <f>-9.619-1.726-SUM(T237:V237)</f>
        <v>-2.9039999999999981</v>
      </c>
      <c r="X237" s="28">
        <f>-2.442+0.042-1.77</f>
        <v>-4.17</v>
      </c>
      <c r="Y237" s="28">
        <f>-5.087+0.662-2.464-X237</f>
        <v>-2.7189999999999994</v>
      </c>
      <c r="Z237" s="28">
        <f>-7.732+4.948-3.31-X237-Y237</f>
        <v>0.79499999999999993</v>
      </c>
      <c r="AA237" s="28">
        <f>-13.218-10.289-17.785-Y237-Z237-X237</f>
        <v>-35.198</v>
      </c>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54"/>
      <c r="BA237" s="7">
        <v>25</v>
      </c>
      <c r="BB237" s="7"/>
      <c r="BC237" s="4">
        <f t="shared" si="823"/>
        <v>0</v>
      </c>
      <c r="BD237" s="4">
        <f t="shared" si="837"/>
        <v>-7.6459999999999999</v>
      </c>
      <c r="BE237" s="4">
        <f t="shared" si="838"/>
        <v>-9.0489999999999995</v>
      </c>
      <c r="BF237" s="4">
        <f t="shared" si="839"/>
        <v>-8.8650000000000002</v>
      </c>
      <c r="BG237" s="4">
        <f t="shared" si="840"/>
        <v>-11.344999999999999</v>
      </c>
      <c r="BH237" s="4">
        <f t="shared" si="841"/>
        <v>-41.292000000000002</v>
      </c>
      <c r="BI237" s="4">
        <f t="shared" si="842"/>
        <v>0</v>
      </c>
      <c r="BJ237" s="4">
        <f t="shared" si="843"/>
        <v>0</v>
      </c>
      <c r="BK237" s="4">
        <f t="shared" si="844"/>
        <v>0</v>
      </c>
      <c r="BL237" s="4">
        <f t="shared" si="845"/>
        <v>0</v>
      </c>
      <c r="BM237" s="4">
        <f t="shared" si="846"/>
        <v>0</v>
      </c>
      <c r="BN237" s="4">
        <f t="shared" si="847"/>
        <v>0</v>
      </c>
      <c r="BO237" s="24"/>
    </row>
    <row r="238" spans="2:67">
      <c r="B238" t="s">
        <v>74</v>
      </c>
      <c r="D238" s="4">
        <f t="shared" ref="D238:L238" si="896">+SUM(D226:D237)</f>
        <v>22.069499999999991</v>
      </c>
      <c r="E238" s="4">
        <f t="shared" si="896"/>
        <v>22.069499999999991</v>
      </c>
      <c r="F238" s="4">
        <f t="shared" si="896"/>
        <v>12.958000000000034</v>
      </c>
      <c r="G238" s="24">
        <f t="shared" si="896"/>
        <v>103.622</v>
      </c>
      <c r="H238" s="4">
        <f t="shared" si="896"/>
        <v>31.501999999999992</v>
      </c>
      <c r="I238" s="4">
        <f t="shared" si="896"/>
        <v>31.501999999999992</v>
      </c>
      <c r="J238" s="4">
        <f t="shared" si="896"/>
        <v>27.221</v>
      </c>
      <c r="K238" s="24">
        <f t="shared" si="896"/>
        <v>15.444999999999983</v>
      </c>
      <c r="L238" s="24">
        <f t="shared" si="896"/>
        <v>47.948999999999998</v>
      </c>
      <c r="M238" s="24">
        <f t="shared" ref="M238:R238" si="897">+SUM(M226:M237)</f>
        <v>112.137</v>
      </c>
      <c r="N238" s="24">
        <f t="shared" si="897"/>
        <v>35.46599999999998</v>
      </c>
      <c r="O238" s="24">
        <f t="shared" si="897"/>
        <v>28.477999999999998</v>
      </c>
      <c r="P238" s="24">
        <f t="shared" si="897"/>
        <v>54.420000000000009</v>
      </c>
      <c r="Q238" s="24">
        <f t="shared" si="897"/>
        <v>363.39</v>
      </c>
      <c r="R238" s="24">
        <f t="shared" si="897"/>
        <v>50.83400000000001</v>
      </c>
      <c r="S238" s="24">
        <f t="shared" ref="S238:X238" si="898">+SUM(S226:S237)</f>
        <v>32.209000000000003</v>
      </c>
      <c r="T238" s="24">
        <f t="shared" si="898"/>
        <v>67.01400000000001</v>
      </c>
      <c r="U238" s="24">
        <f t="shared" si="898"/>
        <v>140.73999999999998</v>
      </c>
      <c r="V238" s="24">
        <f t="shared" si="898"/>
        <v>12.448000000000008</v>
      </c>
      <c r="W238" s="24">
        <f t="shared" si="898"/>
        <v>79.751999999999953</v>
      </c>
      <c r="X238" s="24">
        <f t="shared" si="898"/>
        <v>44.261000000000003</v>
      </c>
      <c r="Y238" s="24">
        <f>+SUM(Y226:Y237)</f>
        <v>56.216000000000001</v>
      </c>
      <c r="Z238" s="24">
        <f>+SUM(Z226:Z237)</f>
        <v>62.938999999999993</v>
      </c>
      <c r="AA238" s="24">
        <f>+SUM(AA226:AA237)</f>
        <v>99.275999999999982</v>
      </c>
      <c r="AB238" s="4">
        <f t="shared" ref="AB238:AM238" ca="1" si="899">+SUM(AB226:AB237)</f>
        <v>77.464127679999947</v>
      </c>
      <c r="AC238" s="4">
        <f t="shared" ca="1" si="899"/>
        <v>44.522331912642258</v>
      </c>
      <c r="AD238" s="4">
        <f t="shared" ca="1" si="899"/>
        <v>54.68096738698312</v>
      </c>
      <c r="AE238" s="4">
        <f t="shared" ca="1" si="899"/>
        <v>54.336110820558915</v>
      </c>
      <c r="AF238" s="4">
        <f t="shared" ca="1" si="899"/>
        <v>6.2166998240055875</v>
      </c>
      <c r="AG238" s="4">
        <f t="shared" ca="1" si="899"/>
        <v>3.7179065491249723</v>
      </c>
      <c r="AH238" s="4">
        <f t="shared" ca="1" si="899"/>
        <v>0.23268148379811038</v>
      </c>
      <c r="AI238" s="4">
        <f t="shared" ca="1" si="899"/>
        <v>-5.0515323217545287</v>
      </c>
      <c r="AJ238" s="4">
        <f t="shared" ca="1" si="899"/>
        <v>-8.503825250139915</v>
      </c>
      <c r="AK238" s="4">
        <f t="shared" ca="1" si="899"/>
        <v>-11.375159585242855</v>
      </c>
      <c r="AL238" s="4">
        <f t="shared" ca="1" si="899"/>
        <v>-15.778865172231864</v>
      </c>
      <c r="AM238" s="4">
        <f t="shared" ca="1" si="899"/>
        <v>-18.27663084632804</v>
      </c>
      <c r="AN238" s="4">
        <f t="shared" ref="AN238:AY238" ca="1" si="900">+SUM(AN226:AN237)</f>
        <v>-18.639377628086201</v>
      </c>
      <c r="AO238" s="4">
        <f t="shared" ca="1" si="900"/>
        <v>-18.183728939083231</v>
      </c>
      <c r="AP238" s="4">
        <f t="shared" ca="1" si="900"/>
        <v>-19.17461117457017</v>
      </c>
      <c r="AQ238" s="4">
        <f t="shared" ca="1" si="900"/>
        <v>-21.978950482813804</v>
      </c>
      <c r="AR238" s="4">
        <f t="shared" ca="1" si="900"/>
        <v>-22.347273697754289</v>
      </c>
      <c r="AS238" s="4">
        <f t="shared" ca="1" si="900"/>
        <v>-503.7662361747046</v>
      </c>
      <c r="AT238" s="4">
        <f t="shared" ca="1" si="900"/>
        <v>453.93592024743253</v>
      </c>
      <c r="AU238" s="4">
        <f t="shared" ca="1" si="900"/>
        <v>208.32066622376905</v>
      </c>
      <c r="AV238" s="4">
        <f t="shared" ca="1" si="900"/>
        <v>-45.952582913246339</v>
      </c>
      <c r="AW238" s="4">
        <f t="shared" ca="1" si="900"/>
        <v>-39.307512154068917</v>
      </c>
      <c r="AX238" s="4">
        <f t="shared" ca="1" si="900"/>
        <v>-39.365020639215409</v>
      </c>
      <c r="AY238" s="4">
        <f t="shared" ca="1" si="900"/>
        <v>-39.42397328608569</v>
      </c>
      <c r="AZ238" s="54"/>
      <c r="BA238" s="4">
        <f t="shared" ref="BA238:BG238" si="901">+SUM(BA226:BA237)</f>
        <v>5.6099999999999994</v>
      </c>
      <c r="BB238" s="4">
        <f t="shared" si="901"/>
        <v>94.668999999999997</v>
      </c>
      <c r="BC238" s="4">
        <f t="shared" si="901"/>
        <v>160.71899999999999</v>
      </c>
      <c r="BD238" s="4">
        <f t="shared" si="901"/>
        <v>105.66999999999997</v>
      </c>
      <c r="BE238" s="4">
        <f t="shared" si="901"/>
        <v>224.03000000000003</v>
      </c>
      <c r="BF238" s="4">
        <f t="shared" si="901"/>
        <v>500.85300000000007</v>
      </c>
      <c r="BG238" s="4">
        <f t="shared" si="901"/>
        <v>299.95400000000006</v>
      </c>
      <c r="BH238" s="4">
        <f>+SUM(BH226:BH237)</f>
        <v>262.69200000000001</v>
      </c>
      <c r="BI238" s="4">
        <f ca="1">+SUM(BI226:BI237)</f>
        <v>231.00353780018429</v>
      </c>
      <c r="BJ238" s="4">
        <f ca="1">+SUM(BJ226:BJ237)</f>
        <v>5.1157555351741451</v>
      </c>
      <c r="BK238" s="4">
        <f ca="1">+SUM(BK226:BK237)</f>
        <v>-53.934480853942659</v>
      </c>
      <c r="BL238" s="4">
        <f t="shared" ref="BL238:BN238" ca="1" si="902">+SUM(BL226:BL237)</f>
        <v>-77.976668224553407</v>
      </c>
      <c r="BM238" s="4">
        <f t="shared" ca="1" si="902"/>
        <v>136.14307659874271</v>
      </c>
      <c r="BN238" s="4">
        <f t="shared" ca="1" si="902"/>
        <v>-164.04908899261636</v>
      </c>
      <c r="BO238" s="24"/>
    </row>
    <row r="239" spans="2:67">
      <c r="D239" s="4"/>
      <c r="E239" s="4"/>
      <c r="F239" s="4"/>
      <c r="G239" s="24"/>
      <c r="H239" s="22"/>
      <c r="I239" s="24"/>
      <c r="J239" s="24"/>
      <c r="K239" s="24"/>
      <c r="L239" s="24"/>
      <c r="M239" s="24"/>
      <c r="N239" s="24"/>
      <c r="O239" s="24"/>
      <c r="P239" s="24"/>
      <c r="Q239" s="24"/>
      <c r="R239" s="24"/>
      <c r="S239" s="24"/>
      <c r="T239" s="24"/>
      <c r="U239" s="24"/>
      <c r="V239" s="24"/>
      <c r="W239" s="24"/>
      <c r="X239" s="24"/>
      <c r="Y239" s="24"/>
      <c r="Z239" s="24"/>
      <c r="AA239" s="2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54"/>
      <c r="BA239" s="4"/>
      <c r="BB239" s="4"/>
      <c r="BC239" s="4"/>
      <c r="BD239" s="4"/>
      <c r="BE239" s="4"/>
      <c r="BF239" s="4"/>
      <c r="BG239" s="4"/>
      <c r="BH239" s="4"/>
      <c r="BI239" s="4"/>
      <c r="BJ239" s="4"/>
      <c r="BK239" s="4"/>
      <c r="BL239" s="4"/>
      <c r="BM239" s="4"/>
      <c r="BN239" s="4"/>
      <c r="BO239" s="24"/>
    </row>
    <row r="240" spans="2:67">
      <c r="B240" t="s">
        <v>75</v>
      </c>
      <c r="D240" s="4">
        <f t="shared" ref="D240:J240" si="903">+D238+D224+D219</f>
        <v>-1.4130000000000056</v>
      </c>
      <c r="E240" s="4">
        <f t="shared" si="903"/>
        <v>-0.26800000000000956</v>
      </c>
      <c r="F240" s="4">
        <f t="shared" si="903"/>
        <v>0.9480000000000306</v>
      </c>
      <c r="G240" s="4">
        <f t="shared" si="903"/>
        <v>1.6229999999999816</v>
      </c>
      <c r="H240" s="4">
        <f t="shared" si="903"/>
        <v>-0.45050000000001056</v>
      </c>
      <c r="I240" s="4">
        <f t="shared" si="903"/>
        <v>-3.0815000000000072</v>
      </c>
      <c r="J240" s="4">
        <f t="shared" si="903"/>
        <v>1.8040000000000056</v>
      </c>
      <c r="K240" s="24">
        <f t="shared" ref="K240:P240" si="904">+K238+K224+K219</f>
        <v>-1.2939999999999934</v>
      </c>
      <c r="L240" s="24">
        <f t="shared" si="904"/>
        <v>2.7180000000000035</v>
      </c>
      <c r="M240" s="24">
        <f t="shared" si="904"/>
        <v>-0.43900000000000361</v>
      </c>
      <c r="N240" s="24">
        <f t="shared" si="904"/>
        <v>-2.4440000000000381</v>
      </c>
      <c r="O240" s="24">
        <f t="shared" si="904"/>
        <v>5.742999999999995</v>
      </c>
      <c r="P240" s="24">
        <f t="shared" si="904"/>
        <v>-5.0399999999999849</v>
      </c>
      <c r="Q240" s="24">
        <f t="shared" ref="Q240:W240" si="905">+Q238+Q224+Q219</f>
        <v>4.9960000000000129</v>
      </c>
      <c r="R240" s="24">
        <f t="shared" si="905"/>
        <v>-1.3999999999988688E-2</v>
      </c>
      <c r="S240" s="24">
        <f t="shared" si="905"/>
        <v>-1.9259999999999806</v>
      </c>
      <c r="T240" s="24">
        <f t="shared" si="905"/>
        <v>0.94000000000001016</v>
      </c>
      <c r="U240" s="24">
        <f t="shared" si="905"/>
        <v>3.0319999999999965</v>
      </c>
      <c r="V240" s="24">
        <f t="shared" si="905"/>
        <v>-1.007000000000005</v>
      </c>
      <c r="W240" s="24">
        <f t="shared" si="905"/>
        <v>-2.1890000000000214</v>
      </c>
      <c r="X240" s="24">
        <f>+X238+X224+X219</f>
        <v>8.6770000000000174</v>
      </c>
      <c r="Y240" s="24">
        <f>+Y238+Y224+Y219</f>
        <v>24.346999999999966</v>
      </c>
      <c r="Z240" s="24">
        <f>+Z238+Z224+Z219</f>
        <v>-33.333000000000013</v>
      </c>
      <c r="AA240" s="24">
        <f>+AA238+AA224+AA219</f>
        <v>-1.0280000000000342</v>
      </c>
      <c r="AB240" s="4">
        <f t="shared" ref="AB240:AM240" ca="1" si="906">+AB238+AB224+AB219</f>
        <v>15.890303567399734</v>
      </c>
      <c r="AC240" s="4">
        <f t="shared" ca="1" si="906"/>
        <v>-9.1333035673996932</v>
      </c>
      <c r="AD240" s="4">
        <f t="shared" ca="1" si="906"/>
        <v>5.6843418860808015E-14</v>
      </c>
      <c r="AE240" s="4">
        <f t="shared" ca="1" si="906"/>
        <v>-7.815970093361102E-14</v>
      </c>
      <c r="AF240" s="4">
        <f t="shared" ca="1" si="906"/>
        <v>-1.0658141036401503E-13</v>
      </c>
      <c r="AG240" s="4">
        <f t="shared" ca="1" si="906"/>
        <v>2.5579538487363607E-13</v>
      </c>
      <c r="AH240" s="4">
        <f t="shared" ca="1" si="906"/>
        <v>-9.2370555648813024E-14</v>
      </c>
      <c r="AI240" s="4">
        <f t="shared" ca="1" si="906"/>
        <v>0</v>
      </c>
      <c r="AJ240" s="4">
        <f t="shared" ca="1" si="906"/>
        <v>0</v>
      </c>
      <c r="AK240" s="4">
        <f t="shared" ca="1" si="906"/>
        <v>-1.3500311979441904E-13</v>
      </c>
      <c r="AL240" s="4">
        <f t="shared" ca="1" si="906"/>
        <v>3.1263880373444408E-13</v>
      </c>
      <c r="AM240" s="4">
        <f t="shared" ca="1" si="906"/>
        <v>-3.979039320256561E-13</v>
      </c>
      <c r="AN240" s="4">
        <f t="shared" ref="AN240:AY240" ca="1" si="907">+AN238+AN224+AN219</f>
        <v>4.2632564145606011E-13</v>
      </c>
      <c r="AO240" s="4">
        <f t="shared" ca="1" si="907"/>
        <v>-4.4053649617126212E-13</v>
      </c>
      <c r="AP240" s="4">
        <f t="shared" ca="1" si="907"/>
        <v>2.1316282072803006E-13</v>
      </c>
      <c r="AQ240" s="4">
        <f t="shared" ca="1" si="907"/>
        <v>2.8421709430404007E-13</v>
      </c>
      <c r="AR240" s="4">
        <f t="shared" ca="1" si="907"/>
        <v>-5.5422333389287814E-13</v>
      </c>
      <c r="AS240" s="4">
        <f t="shared" ca="1" si="907"/>
        <v>-480.99999999999966</v>
      </c>
      <c r="AT240" s="4">
        <f t="shared" ca="1" si="907"/>
        <v>480.99999999999989</v>
      </c>
      <c r="AU240" s="4">
        <f t="shared" ca="1" si="907"/>
        <v>239.00351402441785</v>
      </c>
      <c r="AV240" s="4">
        <f t="shared" ca="1" si="907"/>
        <v>-14.935799768388478</v>
      </c>
      <c r="AW240" s="4">
        <f t="shared" ca="1" si="907"/>
        <v>-8.670137531738078</v>
      </c>
      <c r="AX240" s="4">
        <f t="shared" ca="1" si="907"/>
        <v>-7.3774887733517005</v>
      </c>
      <c r="AY240" s="4">
        <f t="shared" ca="1" si="907"/>
        <v>-3.9767235672799188</v>
      </c>
      <c r="AZ240" s="54"/>
      <c r="BA240" s="4">
        <f t="shared" ref="BA240:BF240" si="908">+BA238+BA224+BA219</f>
        <v>-37.686999999999991</v>
      </c>
      <c r="BB240" s="4">
        <f t="shared" si="908"/>
        <v>0.29699999999998283</v>
      </c>
      <c r="BC240" s="4">
        <f t="shared" si="908"/>
        <v>0.89000000000000057</v>
      </c>
      <c r="BD240" s="4">
        <f t="shared" si="908"/>
        <v>-3.0220000000000056</v>
      </c>
      <c r="BE240" s="4">
        <f t="shared" si="908"/>
        <v>5.5780000000000314</v>
      </c>
      <c r="BF240" s="4">
        <f t="shared" si="908"/>
        <v>-1.983999999999952</v>
      </c>
      <c r="BG240" s="4">
        <f>+BG238+BG224+BG219</f>
        <v>0.7760000000000673</v>
      </c>
      <c r="BH240" s="4">
        <f>+BH238+BH224+BH219</f>
        <v>-1.3369999999999891</v>
      </c>
      <c r="BI240" s="4">
        <f ca="1">+BI238+BI224+BI219</f>
        <v>6.7570000000000903</v>
      </c>
      <c r="BJ240" s="4">
        <f ca="1">+BJ238+BJ224+BJ219</f>
        <v>0</v>
      </c>
      <c r="BK240" s="4">
        <f ca="1">+BK238+BK224+BK219</f>
        <v>-2.8421709430404007E-13</v>
      </c>
      <c r="BL240" s="4">
        <f t="shared" ref="BL240:BN240" ca="1" si="909">+BL238+BL224+BL219</f>
        <v>5.1159076974727213E-13</v>
      </c>
      <c r="BM240" s="4">
        <f t="shared" ca="1" si="909"/>
        <v>239.00351402441748</v>
      </c>
      <c r="BN240" s="4">
        <f t="shared" ca="1" si="909"/>
        <v>-34.960149640758232</v>
      </c>
      <c r="BO240" s="24"/>
    </row>
    <row r="241" spans="2:67">
      <c r="B241" t="s">
        <v>76</v>
      </c>
      <c r="D241" s="7">
        <v>7.3419999999999996</v>
      </c>
      <c r="E241" s="4">
        <f t="shared" ref="E241:AA241" si="910">+D242</f>
        <v>5.9289999999999941</v>
      </c>
      <c r="F241" s="4">
        <f t="shared" si="910"/>
        <v>5.6609999999999845</v>
      </c>
      <c r="G241" s="4">
        <f t="shared" si="910"/>
        <v>6.6090000000000151</v>
      </c>
      <c r="H241" s="24">
        <f t="shared" si="910"/>
        <v>8.2319999999999958</v>
      </c>
      <c r="I241" s="24">
        <f t="shared" si="910"/>
        <v>7.7814999999999852</v>
      </c>
      <c r="J241" s="24">
        <f t="shared" si="910"/>
        <v>4.7</v>
      </c>
      <c r="K241" s="24">
        <f t="shared" si="910"/>
        <v>6.5039999999999996</v>
      </c>
      <c r="L241" s="24">
        <f t="shared" si="910"/>
        <v>5.2100000000000062</v>
      </c>
      <c r="M241" s="24">
        <f t="shared" si="910"/>
        <v>7.9280000000000097</v>
      </c>
      <c r="N241" s="24">
        <f t="shared" si="910"/>
        <v>7.4890000000000061</v>
      </c>
      <c r="O241" s="24">
        <f t="shared" si="910"/>
        <v>5.044999999999968</v>
      </c>
      <c r="P241" s="24">
        <f t="shared" si="910"/>
        <v>10.787999999999963</v>
      </c>
      <c r="Q241" s="24">
        <f t="shared" si="910"/>
        <v>5.747999999999978</v>
      </c>
      <c r="R241" s="24">
        <f t="shared" si="910"/>
        <v>10.743999999999991</v>
      </c>
      <c r="S241" s="24">
        <f t="shared" si="910"/>
        <v>10.730000000000002</v>
      </c>
      <c r="T241" s="24">
        <f t="shared" si="910"/>
        <v>8.8040000000000216</v>
      </c>
      <c r="U241" s="24">
        <f t="shared" si="910"/>
        <v>9.7440000000000317</v>
      </c>
      <c r="V241" s="24">
        <f t="shared" si="910"/>
        <v>12.776000000000028</v>
      </c>
      <c r="W241" s="24">
        <f t="shared" si="910"/>
        <v>11.769000000000023</v>
      </c>
      <c r="X241" s="24">
        <f t="shared" si="910"/>
        <v>9.5800000000000018</v>
      </c>
      <c r="Y241" s="24">
        <f t="shared" si="910"/>
        <v>18.257000000000019</v>
      </c>
      <c r="Z241" s="24">
        <f t="shared" si="910"/>
        <v>42.603999999999985</v>
      </c>
      <c r="AA241" s="24">
        <f t="shared" si="910"/>
        <v>9.2709999999999724</v>
      </c>
      <c r="AB241" s="4">
        <f t="shared" ref="AB241:AM241" si="911">+AA242</f>
        <v>8.2429999999999382</v>
      </c>
      <c r="AC241" s="4">
        <f t="shared" ca="1" si="911"/>
        <v>24.133303567399672</v>
      </c>
      <c r="AD241" s="4">
        <f t="shared" ca="1" si="911"/>
        <v>14.999999999999979</v>
      </c>
      <c r="AE241" s="4">
        <f t="shared" ca="1" si="911"/>
        <v>15.000000000000036</v>
      </c>
      <c r="AF241" s="4">
        <f t="shared" ca="1" si="911"/>
        <v>14.999999999999957</v>
      </c>
      <c r="AG241" s="4">
        <f t="shared" ca="1" si="911"/>
        <v>14.999999999999851</v>
      </c>
      <c r="AH241" s="4">
        <f t="shared" ca="1" si="911"/>
        <v>15.000000000000107</v>
      </c>
      <c r="AI241" s="4">
        <f t="shared" ca="1" si="911"/>
        <v>15.000000000000014</v>
      </c>
      <c r="AJ241" s="4">
        <f t="shared" ca="1" si="911"/>
        <v>15.000000000000014</v>
      </c>
      <c r="AK241" s="4">
        <f t="shared" ca="1" si="911"/>
        <v>15.000000000000014</v>
      </c>
      <c r="AL241" s="4">
        <f t="shared" ca="1" si="911"/>
        <v>14.999999999999879</v>
      </c>
      <c r="AM241" s="4">
        <f t="shared" ca="1" si="911"/>
        <v>15.000000000000192</v>
      </c>
      <c r="AN241" s="4">
        <f t="shared" ref="AN241" ca="1" si="912">+AM242</f>
        <v>14.999999999999794</v>
      </c>
      <c r="AO241" s="4">
        <f t="shared" ref="AO241" ca="1" si="913">+AN242</f>
        <v>15.00000000000022</v>
      </c>
      <c r="AP241" s="4">
        <f t="shared" ref="AP241" ca="1" si="914">+AO242</f>
        <v>14.99999999999978</v>
      </c>
      <c r="AQ241" s="4">
        <f t="shared" ref="AQ241" ca="1" si="915">+AP242</f>
        <v>14.999999999999993</v>
      </c>
      <c r="AR241" s="4">
        <f t="shared" ref="AR241" ca="1" si="916">+AQ242</f>
        <v>15.000000000000277</v>
      </c>
      <c r="AS241" s="4">
        <f t="shared" ref="AS241" ca="1" si="917">+AR242</f>
        <v>14.999999999999723</v>
      </c>
      <c r="AT241" s="4">
        <f t="shared" ref="AT241" ca="1" si="918">+AS242</f>
        <v>-465.99999999999994</v>
      </c>
      <c r="AU241" s="4">
        <f t="shared" ref="AU241" ca="1" si="919">+AT242</f>
        <v>15.000000000000057</v>
      </c>
      <c r="AV241" s="4">
        <f t="shared" ref="AV241" ca="1" si="920">+AU242</f>
        <v>254.00351402441791</v>
      </c>
      <c r="AW241" s="4">
        <f t="shared" ref="AW241" ca="1" si="921">+AV242</f>
        <v>239.06771425602932</v>
      </c>
      <c r="AX241" s="4">
        <f t="shared" ref="AX241" ca="1" si="922">+AW242</f>
        <v>230.39757672429141</v>
      </c>
      <c r="AY241" s="4">
        <f t="shared" ref="AY241" ca="1" si="923">+AX242</f>
        <v>223.0200879509396</v>
      </c>
      <c r="AZ241" s="54"/>
      <c r="BA241" s="7">
        <v>44.731999999999999</v>
      </c>
      <c r="BB241" s="4">
        <f t="shared" ref="BB241:BG241" si="924">+BA242</f>
        <v>7.0450000000000088</v>
      </c>
      <c r="BC241" s="4">
        <f t="shared" si="924"/>
        <v>7.3419999999999916</v>
      </c>
      <c r="BD241" s="4">
        <f t="shared" si="924"/>
        <v>8.2319999999999922</v>
      </c>
      <c r="BE241" s="4">
        <f t="shared" si="924"/>
        <v>5.2099999999999866</v>
      </c>
      <c r="BF241" s="4">
        <f t="shared" si="924"/>
        <v>10.788000000000018</v>
      </c>
      <c r="BG241" s="4">
        <f t="shared" si="924"/>
        <v>8.804000000000066</v>
      </c>
      <c r="BH241" s="4">
        <f>+BG242</f>
        <v>9.5800000000001333</v>
      </c>
      <c r="BI241" s="4">
        <f>+BH242</f>
        <v>8.2430000000001442</v>
      </c>
      <c r="BJ241" s="4">
        <f ca="1">+BI242</f>
        <v>15.000000000000234</v>
      </c>
      <c r="BK241" s="4">
        <f ca="1">+BJ242</f>
        <v>15.000000000000234</v>
      </c>
      <c r="BL241" s="4">
        <f t="shared" ref="BL241:BN241" ca="1" si="925">+BK242</f>
        <v>14.99999999999995</v>
      </c>
      <c r="BM241" s="4">
        <f t="shared" ca="1" si="925"/>
        <v>15.000000000000462</v>
      </c>
      <c r="BN241" s="4">
        <f t="shared" ca="1" si="925"/>
        <v>254.00351402441794</v>
      </c>
      <c r="BO241" s="24"/>
    </row>
    <row r="242" spans="2:67">
      <c r="B242" t="s">
        <v>77</v>
      </c>
      <c r="D242" s="4">
        <f>SUM(D240:D241)</f>
        <v>5.9289999999999941</v>
      </c>
      <c r="E242" s="4">
        <f>SUM(E240:E241)</f>
        <v>5.6609999999999845</v>
      </c>
      <c r="F242" s="4">
        <f>SUM(F240:F241)</f>
        <v>6.6090000000000151</v>
      </c>
      <c r="G242" s="4">
        <f>SUM(G240:G241)</f>
        <v>8.2319999999999958</v>
      </c>
      <c r="H242" s="24">
        <f>SUM(H240:H241)</f>
        <v>7.7814999999999852</v>
      </c>
      <c r="I242" s="24">
        <f>+I268</f>
        <v>4.7</v>
      </c>
      <c r="J242" s="24">
        <f>+J268</f>
        <v>6.5039999999999996</v>
      </c>
      <c r="K242" s="24">
        <f t="shared" ref="K242:R242" si="926">SUM(K240:K241)</f>
        <v>5.2100000000000062</v>
      </c>
      <c r="L242" s="24">
        <f t="shared" si="926"/>
        <v>7.9280000000000097</v>
      </c>
      <c r="M242" s="24">
        <f t="shared" si="926"/>
        <v>7.4890000000000061</v>
      </c>
      <c r="N242" s="24">
        <f t="shared" si="926"/>
        <v>5.044999999999968</v>
      </c>
      <c r="O242" s="24">
        <f t="shared" si="926"/>
        <v>10.787999999999963</v>
      </c>
      <c r="P242" s="24">
        <f t="shared" si="926"/>
        <v>5.747999999999978</v>
      </c>
      <c r="Q242" s="24">
        <f t="shared" si="926"/>
        <v>10.743999999999991</v>
      </c>
      <c r="R242" s="24">
        <f t="shared" si="926"/>
        <v>10.730000000000002</v>
      </c>
      <c r="S242" s="24">
        <f t="shared" ref="S242:X242" si="927">SUM(S240:S241)</f>
        <v>8.8040000000000216</v>
      </c>
      <c r="T242" s="24">
        <f t="shared" si="927"/>
        <v>9.7440000000000317</v>
      </c>
      <c r="U242" s="24">
        <f t="shared" si="927"/>
        <v>12.776000000000028</v>
      </c>
      <c r="V242" s="24">
        <f t="shared" si="927"/>
        <v>11.769000000000023</v>
      </c>
      <c r="W242" s="24">
        <f t="shared" si="927"/>
        <v>9.5800000000000018</v>
      </c>
      <c r="X242" s="24">
        <f t="shared" si="927"/>
        <v>18.257000000000019</v>
      </c>
      <c r="Y242" s="24">
        <f>SUM(Y240:Y241)</f>
        <v>42.603999999999985</v>
      </c>
      <c r="Z242" s="24">
        <f>SUM(Z240:Z241)</f>
        <v>9.2709999999999724</v>
      </c>
      <c r="AA242" s="24">
        <f>SUM(AA240:AA241)</f>
        <v>8.2429999999999382</v>
      </c>
      <c r="AB242" s="4">
        <f t="shared" ref="AB242:AM242" ca="1" si="928">SUM(AB240:AB241)</f>
        <v>24.133303567399672</v>
      </c>
      <c r="AC242" s="4">
        <f t="shared" ca="1" si="928"/>
        <v>14.999999999999979</v>
      </c>
      <c r="AD242" s="4">
        <f t="shared" ca="1" si="928"/>
        <v>15.000000000000036</v>
      </c>
      <c r="AE242" s="4">
        <f t="shared" ca="1" si="928"/>
        <v>14.999999999999957</v>
      </c>
      <c r="AF242" s="4">
        <f t="shared" ca="1" si="928"/>
        <v>14.999999999999851</v>
      </c>
      <c r="AG242" s="4">
        <f t="shared" ca="1" si="928"/>
        <v>15.000000000000107</v>
      </c>
      <c r="AH242" s="4">
        <f t="shared" ca="1" si="928"/>
        <v>15.000000000000014</v>
      </c>
      <c r="AI242" s="4">
        <f t="shared" ca="1" si="928"/>
        <v>15.000000000000014</v>
      </c>
      <c r="AJ242" s="4">
        <f t="shared" ca="1" si="928"/>
        <v>15.000000000000014</v>
      </c>
      <c r="AK242" s="4">
        <f t="shared" ca="1" si="928"/>
        <v>14.999999999999879</v>
      </c>
      <c r="AL242" s="4">
        <f t="shared" ca="1" si="928"/>
        <v>15.000000000000192</v>
      </c>
      <c r="AM242" s="4">
        <f t="shared" ca="1" si="928"/>
        <v>14.999999999999794</v>
      </c>
      <c r="AN242" s="4">
        <f t="shared" ref="AN242:AY242" ca="1" si="929">SUM(AN240:AN241)</f>
        <v>15.00000000000022</v>
      </c>
      <c r="AO242" s="4">
        <f t="shared" ca="1" si="929"/>
        <v>14.99999999999978</v>
      </c>
      <c r="AP242" s="4">
        <f t="shared" ca="1" si="929"/>
        <v>14.999999999999993</v>
      </c>
      <c r="AQ242" s="4">
        <f t="shared" ca="1" si="929"/>
        <v>15.000000000000277</v>
      </c>
      <c r="AR242" s="4">
        <f t="shared" ca="1" si="929"/>
        <v>14.999999999999723</v>
      </c>
      <c r="AS242" s="4">
        <f t="shared" ca="1" si="929"/>
        <v>-465.99999999999994</v>
      </c>
      <c r="AT242" s="4">
        <f t="shared" ca="1" si="929"/>
        <v>14.999999999999943</v>
      </c>
      <c r="AU242" s="4">
        <f t="shared" ca="1" si="929"/>
        <v>254.00351402441791</v>
      </c>
      <c r="AV242" s="4">
        <f t="shared" ca="1" si="929"/>
        <v>239.06771425602943</v>
      </c>
      <c r="AW242" s="4">
        <f t="shared" ca="1" si="929"/>
        <v>230.39757672429124</v>
      </c>
      <c r="AX242" s="4">
        <f t="shared" ca="1" si="929"/>
        <v>223.02008795093971</v>
      </c>
      <c r="AY242" s="4">
        <f t="shared" ca="1" si="929"/>
        <v>219.04336438365968</v>
      </c>
      <c r="AZ242" s="54"/>
      <c r="BA242" s="4">
        <f t="shared" ref="BA242:BG242" si="930">SUM(BA240:BA241)</f>
        <v>7.0450000000000088</v>
      </c>
      <c r="BB242" s="4">
        <f t="shared" si="930"/>
        <v>7.3419999999999916</v>
      </c>
      <c r="BC242" s="4">
        <f t="shared" si="930"/>
        <v>8.2319999999999922</v>
      </c>
      <c r="BD242" s="4">
        <f t="shared" si="930"/>
        <v>5.2099999999999866</v>
      </c>
      <c r="BE242" s="4">
        <f t="shared" si="930"/>
        <v>10.788000000000018</v>
      </c>
      <c r="BF242" s="4">
        <f t="shared" si="930"/>
        <v>8.804000000000066</v>
      </c>
      <c r="BG242" s="4">
        <f t="shared" si="930"/>
        <v>9.5800000000001333</v>
      </c>
      <c r="BH242" s="4">
        <f>SUM(BH240:BH241)</f>
        <v>8.2430000000001442</v>
      </c>
      <c r="BI242" s="4">
        <f ca="1">SUM(BI240:BI241)</f>
        <v>15.000000000000234</v>
      </c>
      <c r="BJ242" s="4">
        <f ca="1">SUM(BJ240:BJ241)</f>
        <v>15.000000000000234</v>
      </c>
      <c r="BK242" s="4">
        <f ca="1">SUM(BK240:BK241)</f>
        <v>14.99999999999995</v>
      </c>
      <c r="BL242" s="4">
        <f t="shared" ref="BL242:BN242" ca="1" si="931">SUM(BL240:BL241)</f>
        <v>15.000000000000462</v>
      </c>
      <c r="BM242" s="4">
        <f t="shared" ca="1" si="931"/>
        <v>254.00351402441794</v>
      </c>
      <c r="BN242" s="4">
        <f t="shared" ca="1" si="931"/>
        <v>219.04336438365971</v>
      </c>
      <c r="BO242" s="24"/>
    </row>
    <row r="243" spans="2:67">
      <c r="G243" s="22"/>
      <c r="H243" s="22"/>
      <c r="I243" s="22"/>
      <c r="J243" s="22"/>
      <c r="K243" s="24"/>
      <c r="L243" s="24"/>
      <c r="M243" s="24"/>
      <c r="N243" s="24"/>
      <c r="O243" s="24"/>
      <c r="P243" s="2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54"/>
      <c r="BA243" s="4"/>
      <c r="BB243" s="4"/>
      <c r="BC243" s="4"/>
      <c r="BD243" s="4"/>
      <c r="BE243" s="4"/>
      <c r="BF243" s="4"/>
      <c r="BG243" s="4"/>
      <c r="BH243" s="4"/>
      <c r="BI243" s="4"/>
      <c r="BJ243" s="4"/>
      <c r="BK243" s="4"/>
      <c r="BL243" s="4"/>
      <c r="BM243" s="4"/>
      <c r="BN243" s="4"/>
    </row>
    <row r="244" spans="2:67">
      <c r="B244" t="s">
        <v>78</v>
      </c>
      <c r="D244" s="7">
        <f>10.848/2</f>
        <v>5.4240000000000004</v>
      </c>
      <c r="E244" s="7">
        <f>10.848/2</f>
        <v>5.4240000000000004</v>
      </c>
      <c r="F244" s="7">
        <f>16.617-D244-E244</f>
        <v>5.769000000000001</v>
      </c>
      <c r="G244" s="28">
        <f>21.291-D244-E244-F244</f>
        <v>4.6740000000000004</v>
      </c>
      <c r="H244" s="7">
        <f>14.755/2</f>
        <v>7.3775000000000004</v>
      </c>
      <c r="I244" s="7">
        <f>14.755/2</f>
        <v>7.3775000000000004</v>
      </c>
      <c r="J244" s="28">
        <f>14.265-I244-H244</f>
        <v>-0.49000000000000021</v>
      </c>
      <c r="K244" s="28">
        <f>15.974+1.995-SUM(H244:J244)</f>
        <v>3.7040000000000006</v>
      </c>
      <c r="L244" s="28">
        <v>1.3740000000000001</v>
      </c>
      <c r="M244" s="28">
        <f>2.973-L244</f>
        <v>1.5989999999999998</v>
      </c>
      <c r="N244" s="28">
        <f>4.599-M244-L244</f>
        <v>1.6260000000000003</v>
      </c>
      <c r="O244" s="28">
        <f>4.95-N244-M244-L244</f>
        <v>0.35099999999999998</v>
      </c>
      <c r="P244" s="28">
        <v>9.4390000000000001</v>
      </c>
      <c r="Q244" s="4"/>
      <c r="R244" s="4"/>
      <c r="S244" s="28">
        <f>18.027-P244-Q244-R244</f>
        <v>8.588000000000001</v>
      </c>
      <c r="T244" s="28">
        <v>9.3040000000000003</v>
      </c>
      <c r="U244" s="28">
        <f>9.001-T244</f>
        <v>-0.30300000000000082</v>
      </c>
      <c r="V244" s="28">
        <f>18.659-T244-U244</f>
        <v>9.6579999999999995</v>
      </c>
      <c r="W244" s="28">
        <f>19.897-SUM(T244:V244)</f>
        <v>1.2379999999999995</v>
      </c>
      <c r="X244" s="28">
        <v>9.3680000000000003</v>
      </c>
      <c r="Y244" s="28">
        <f>11.517-X244</f>
        <v>2.1489999999999991</v>
      </c>
      <c r="Z244" s="28">
        <f>22.759-X244-Y244</f>
        <v>11.242000000000001</v>
      </c>
      <c r="AA244" s="28">
        <f>29.934-Y244-Z244-X244</f>
        <v>7.1750000000000025</v>
      </c>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54"/>
      <c r="BA244" s="4"/>
      <c r="BB244" s="4"/>
      <c r="BC244" s="4"/>
      <c r="BD244" s="4"/>
      <c r="BE244" s="4"/>
      <c r="BF244" s="4"/>
      <c r="BG244" s="4"/>
      <c r="BH244" s="4"/>
      <c r="BI244" s="4"/>
      <c r="BJ244" s="4"/>
      <c r="BK244" s="4"/>
      <c r="BL244" s="4"/>
      <c r="BM244" s="4"/>
      <c r="BN244" s="4"/>
    </row>
    <row r="245" spans="2:67">
      <c r="B245" t="s">
        <v>79</v>
      </c>
      <c r="D245" s="7"/>
      <c r="E245" s="7"/>
      <c r="F245" s="4"/>
      <c r="G245" s="24"/>
      <c r="H245" s="7"/>
      <c r="I245" s="7"/>
      <c r="J245" s="24"/>
      <c r="K245" s="24"/>
      <c r="L245" s="24"/>
      <c r="M245" s="24"/>
      <c r="N245" s="24"/>
      <c r="O245" s="24"/>
      <c r="P245" s="2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54"/>
      <c r="BA245" s="4"/>
      <c r="BB245" s="4"/>
      <c r="BC245" s="4"/>
      <c r="BD245" s="4"/>
      <c r="BE245" s="4"/>
      <c r="BF245" s="4"/>
      <c r="BG245" s="4"/>
      <c r="BH245" s="4"/>
      <c r="BI245" s="4"/>
      <c r="BJ245" s="4"/>
      <c r="BK245" s="4"/>
      <c r="BL245" s="4"/>
      <c r="BM245" s="4"/>
      <c r="BN245" s="4"/>
    </row>
    <row r="246" spans="2:67">
      <c r="B246" t="s">
        <v>80</v>
      </c>
      <c r="D246" s="7">
        <f>11.596/2</f>
        <v>5.798</v>
      </c>
      <c r="E246" s="7">
        <f>11.596/2</f>
        <v>5.798</v>
      </c>
      <c r="F246" s="7">
        <f>26.456-D246-E246</f>
        <v>14.860000000000001</v>
      </c>
      <c r="G246" s="28">
        <f>18.789-D246-E246-F246</f>
        <v>-7.6669999999999998</v>
      </c>
      <c r="H246" s="7">
        <f>27.26/2</f>
        <v>13.63</v>
      </c>
      <c r="I246" s="7">
        <f>27.26/2</f>
        <v>13.63</v>
      </c>
      <c r="J246" s="28">
        <f>20.939-I246-H246</f>
        <v>-6.3210000000000015</v>
      </c>
      <c r="K246" s="28">
        <f>39.801+20.939-SUM(H246:J246)</f>
        <v>39.801000000000002</v>
      </c>
      <c r="L246" s="28">
        <v>36.185000000000002</v>
      </c>
      <c r="M246" s="28">
        <f>32.638-L246</f>
        <v>-3.5470000000000041</v>
      </c>
      <c r="N246" s="28">
        <f>36.381-M246-L246</f>
        <v>3.7430000000000021</v>
      </c>
      <c r="O246" s="28">
        <f>49.589-N246-M246-L246</f>
        <v>13.207999999999998</v>
      </c>
      <c r="P246" s="28">
        <v>61.491999999999997</v>
      </c>
      <c r="Q246" s="4"/>
      <c r="R246" s="4"/>
      <c r="S246" s="28">
        <f>52.552-P246-Q246-R246</f>
        <v>-8.9399999999999977</v>
      </c>
      <c r="T246" s="28">
        <v>37.570999999999998</v>
      </c>
      <c r="U246" s="28">
        <f>16.988-T246</f>
        <v>-20.582999999999998</v>
      </c>
      <c r="V246" s="28">
        <f>40.344-T246-U246</f>
        <v>23.356000000000002</v>
      </c>
      <c r="W246" s="28">
        <f>40.431-SUM(T246:V246)</f>
        <v>8.6999999999996191E-2</v>
      </c>
      <c r="X246" s="28">
        <v>39.673000000000002</v>
      </c>
      <c r="Y246" s="28">
        <f>46.894-X246</f>
        <v>7.2209999999999965</v>
      </c>
      <c r="Z246" s="28">
        <f>28.368-X246-Y246</f>
        <v>-18.526</v>
      </c>
      <c r="AA246" s="28">
        <f>75.965-Y246-Z246-X246</f>
        <v>47.596999999999994</v>
      </c>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54"/>
      <c r="BA246" s="4"/>
      <c r="BB246" s="4"/>
      <c r="BC246" s="4"/>
      <c r="BD246" s="4"/>
      <c r="BE246" s="4"/>
      <c r="BF246" s="4"/>
      <c r="BG246" s="4"/>
      <c r="BH246" s="4"/>
      <c r="BI246" s="4"/>
      <c r="BJ246" s="4"/>
      <c r="BK246" s="4"/>
      <c r="BL246" s="4"/>
      <c r="BM246" s="4"/>
      <c r="BN246" s="4"/>
    </row>
    <row r="247" spans="2:67">
      <c r="B247" t="s">
        <v>296</v>
      </c>
      <c r="D247" s="4"/>
      <c r="E247" s="4"/>
      <c r="F247" s="4"/>
      <c r="G247" s="24"/>
      <c r="H247" s="7"/>
      <c r="I247" s="7"/>
      <c r="J247" s="28">
        <v>0.99</v>
      </c>
      <c r="K247" s="28">
        <f>0.99-SUM(H247:J247)</f>
        <v>0</v>
      </c>
      <c r="L247" s="28"/>
      <c r="M247" s="28"/>
      <c r="N247" s="28"/>
      <c r="O247" s="28">
        <v>2.8580000000000001</v>
      </c>
      <c r="P247" s="28"/>
      <c r="Q247" s="4"/>
      <c r="R247" s="4"/>
      <c r="S247" s="28">
        <f>0.001-P247-Q247-R247</f>
        <v>1E-3</v>
      </c>
      <c r="T247" s="28"/>
      <c r="U247" s="28"/>
      <c r="V247" s="28"/>
      <c r="W247" s="28">
        <f>0.039-SUM(T247:V247)</f>
        <v>3.9E-2</v>
      </c>
      <c r="X247" s="28">
        <v>0</v>
      </c>
      <c r="Y247" s="28">
        <v>0</v>
      </c>
      <c r="Z247" s="28">
        <f>0.008+1.785-X247-Y247</f>
        <v>1.7929999999999999</v>
      </c>
      <c r="AA247" s="28">
        <f>0.458-Y247-Z247-X247</f>
        <v>-1.335</v>
      </c>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54"/>
      <c r="BA247" s="4"/>
      <c r="BB247" s="4"/>
      <c r="BC247" s="4"/>
      <c r="BD247" s="4"/>
      <c r="BE247" s="4"/>
      <c r="BF247" s="4"/>
      <c r="BG247" s="4"/>
      <c r="BH247" s="4"/>
      <c r="BI247" s="4"/>
      <c r="BJ247" s="4"/>
      <c r="BK247" s="4"/>
      <c r="BL247" s="4"/>
      <c r="BM247" s="4"/>
      <c r="BN247" s="4"/>
    </row>
    <row r="248" spans="2:67">
      <c r="B248" t="s">
        <v>297</v>
      </c>
      <c r="D248" s="4"/>
      <c r="E248" s="4"/>
      <c r="F248" s="4"/>
      <c r="G248" s="24"/>
      <c r="H248" s="7"/>
      <c r="I248" s="7"/>
      <c r="J248" s="28">
        <v>0.44700000000000001</v>
      </c>
      <c r="K248" s="28">
        <f>0.364+0.257-SUM(H248:J248)</f>
        <v>0.17399999999999999</v>
      </c>
      <c r="L248" s="28"/>
      <c r="M248" s="28"/>
      <c r="N248" s="28"/>
      <c r="O248" s="28"/>
      <c r="P248" s="28"/>
      <c r="Q248" s="4"/>
      <c r="R248" s="4"/>
      <c r="S248" s="28">
        <f>0.057-P248-Q248-R248</f>
        <v>5.7000000000000002E-2</v>
      </c>
      <c r="T248" s="28">
        <v>7.0000000000000001E-3</v>
      </c>
      <c r="U248" s="28">
        <f>0.01-T248</f>
        <v>3.0000000000000001E-3</v>
      </c>
      <c r="V248" s="28"/>
      <c r="W248" s="28"/>
      <c r="X248" s="28"/>
      <c r="Y248" s="28"/>
      <c r="Z248" s="28">
        <f>0.026-X248-Y248</f>
        <v>2.5999999999999999E-2</v>
      </c>
      <c r="AA248" s="28">
        <f>0.025-Y248-Z248-X248</f>
        <v>-9.9999999999999742E-4</v>
      </c>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54"/>
      <c r="BA248" s="4"/>
      <c r="BB248" s="4"/>
      <c r="BC248" s="4"/>
      <c r="BD248" s="4"/>
      <c r="BE248" s="4"/>
      <c r="BF248" s="4"/>
      <c r="BG248" s="4"/>
      <c r="BH248" s="4"/>
      <c r="BI248" s="4"/>
      <c r="BJ248" s="4"/>
      <c r="BK248" s="4"/>
      <c r="BL248" s="4"/>
      <c r="BM248" s="4"/>
      <c r="BN248" s="4"/>
    </row>
    <row r="249" spans="2:67">
      <c r="B249" s="58" t="s">
        <v>443</v>
      </c>
      <c r="D249" s="4"/>
      <c r="E249" s="4"/>
      <c r="F249" s="4"/>
      <c r="G249" s="24"/>
      <c r="H249" s="7"/>
      <c r="I249" s="7"/>
      <c r="J249" s="28"/>
      <c r="K249" s="28"/>
      <c r="L249" s="28"/>
      <c r="M249" s="28"/>
      <c r="N249" s="28"/>
      <c r="O249" s="28"/>
      <c r="P249" s="28"/>
      <c r="Q249" s="4"/>
      <c r="R249" s="4"/>
      <c r="S249" s="28">
        <f>43.832-P249-Q249-R249</f>
        <v>43.832000000000001</v>
      </c>
      <c r="T249" s="28"/>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54"/>
      <c r="BA249" s="4"/>
      <c r="BB249" s="4"/>
      <c r="BC249" s="4"/>
      <c r="BD249" s="4"/>
      <c r="BE249" s="4"/>
      <c r="BF249" s="4"/>
      <c r="BG249" s="4"/>
      <c r="BH249" s="4"/>
      <c r="BI249" s="4"/>
      <c r="BJ249" s="4"/>
      <c r="BK249" s="4"/>
      <c r="BL249" s="4"/>
      <c r="BM249" s="4"/>
      <c r="BN249" s="4"/>
    </row>
    <row r="250" spans="2:67">
      <c r="B250" t="s">
        <v>81</v>
      </c>
      <c r="G250" s="22"/>
      <c r="H250" s="7">
        <f>10/2</f>
        <v>5</v>
      </c>
      <c r="I250" s="7">
        <f>10/2</f>
        <v>5</v>
      </c>
      <c r="J250" s="28">
        <f>10-I250-H250</f>
        <v>0</v>
      </c>
      <c r="K250" s="28">
        <f>10-SUM(H250:J250)</f>
        <v>0</v>
      </c>
      <c r="L250" s="28"/>
      <c r="M250" s="28"/>
      <c r="N250" s="28"/>
      <c r="O250" s="28"/>
      <c r="P250" s="28"/>
      <c r="AZ250" s="54"/>
      <c r="BA250"/>
    </row>
    <row r="251" spans="2:67">
      <c r="G251" s="22"/>
      <c r="J251" s="22"/>
      <c r="K251" s="2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c r="AI251" s="22"/>
      <c r="AJ251" s="22"/>
      <c r="AK251" s="22"/>
      <c r="AL251" s="22"/>
      <c r="AM251" s="22"/>
      <c r="AN251" s="22"/>
      <c r="AO251" s="22"/>
      <c r="AP251" s="22"/>
      <c r="AQ251" s="22"/>
      <c r="AR251" s="22"/>
      <c r="AS251" s="22"/>
      <c r="AT251" s="22"/>
      <c r="AU251" s="22"/>
      <c r="AV251" s="22"/>
      <c r="AW251" s="22"/>
      <c r="AX251" s="22"/>
      <c r="AY251" s="22"/>
      <c r="BA251"/>
    </row>
    <row r="252" spans="2:67">
      <c r="BA252"/>
    </row>
    <row r="253" spans="2:67">
      <c r="B253" s="40" t="s">
        <v>339</v>
      </c>
      <c r="BA253"/>
    </row>
    <row r="254" spans="2:67">
      <c r="B254" t="s">
        <v>340</v>
      </c>
      <c r="H254" s="4">
        <f t="shared" ref="H254:U254" si="932">+H219+H222+H223</f>
        <v>-31.952500000000001</v>
      </c>
      <c r="I254" s="4">
        <f t="shared" si="932"/>
        <v>-34.583500000000001</v>
      </c>
      <c r="J254" s="4">
        <f t="shared" si="932"/>
        <v>-25.416999999999994</v>
      </c>
      <c r="K254" s="4">
        <f t="shared" si="932"/>
        <v>-16.738999999999976</v>
      </c>
      <c r="L254" s="4">
        <f t="shared" si="932"/>
        <v>-45.230999999999995</v>
      </c>
      <c r="M254" s="4">
        <f t="shared" si="932"/>
        <v>-112.57599999999999</v>
      </c>
      <c r="N254" s="4">
        <f t="shared" si="932"/>
        <v>-37.910000000000018</v>
      </c>
      <c r="O254" s="4">
        <f t="shared" si="932"/>
        <v>-22.735000000000003</v>
      </c>
      <c r="P254" s="4">
        <f>+P219+P222+P223</f>
        <v>-59.459999999999994</v>
      </c>
      <c r="Q254" s="4">
        <f>+Q219+Q222+Q223</f>
        <v>-358.39400000000001</v>
      </c>
      <c r="R254" s="4">
        <f>+R219+R222+R223</f>
        <v>-50.847999999999999</v>
      </c>
      <c r="S254" s="4">
        <f>+S219+S222+S223</f>
        <v>-34.78299999999998</v>
      </c>
      <c r="T254" s="4">
        <f>+T219+T222+T223</f>
        <v>-66.073999999999998</v>
      </c>
      <c r="U254" s="4">
        <f t="shared" si="932"/>
        <v>-137.70799999999997</v>
      </c>
      <c r="V254" s="4">
        <f t="shared" ref="V254:AA254" si="933">+V219+V222+V223</f>
        <v>-13.455000000000013</v>
      </c>
      <c r="W254" s="4">
        <f t="shared" si="933"/>
        <v>-81.940999999999974</v>
      </c>
      <c r="X254" s="4">
        <f t="shared" si="933"/>
        <v>-35.583999999999989</v>
      </c>
      <c r="Y254" s="4">
        <f t="shared" si="933"/>
        <v>-31.869000000000028</v>
      </c>
      <c r="Z254" s="4">
        <f t="shared" si="933"/>
        <v>-96.272000000000006</v>
      </c>
      <c r="AA254" s="4">
        <f t="shared" si="933"/>
        <v>-100.30400000000003</v>
      </c>
      <c r="AB254" s="4">
        <f t="shared" ref="AB254:AM254" ca="1" si="934">+AB219+AB222+AB223</f>
        <v>-61.573824112600214</v>
      </c>
      <c r="AC254" s="4">
        <f t="shared" ca="1" si="934"/>
        <v>-53.655635480041951</v>
      </c>
      <c r="AD254" s="4">
        <f t="shared" ca="1" si="934"/>
        <v>-54.680967386983063</v>
      </c>
      <c r="AE254" s="4">
        <f t="shared" ca="1" si="934"/>
        <v>-54.336110820558993</v>
      </c>
      <c r="AF254" s="4">
        <f t="shared" ca="1" si="934"/>
        <v>-6.2166998240056941</v>
      </c>
      <c r="AG254" s="4">
        <f t="shared" ca="1" si="934"/>
        <v>-3.7179065491247201</v>
      </c>
      <c r="AH254" s="4">
        <f t="shared" ca="1" si="934"/>
        <v>-0.23268148379820275</v>
      </c>
      <c r="AI254" s="4">
        <f t="shared" ca="1" si="934"/>
        <v>5.0515323217545074</v>
      </c>
      <c r="AJ254" s="4">
        <f t="shared" ca="1" si="934"/>
        <v>8.5038252501398617</v>
      </c>
      <c r="AK254" s="4">
        <f t="shared" ca="1" si="934"/>
        <v>11.37515958524272</v>
      </c>
      <c r="AL254" s="4">
        <f t="shared" ca="1" si="934"/>
        <v>15.77886517223218</v>
      </c>
      <c r="AM254" s="4">
        <f t="shared" ca="1" si="934"/>
        <v>18.276630846327642</v>
      </c>
      <c r="AN254" s="4">
        <f t="shared" ref="AN254:AY254" ca="1" si="935">+AN219+AN222+AN223</f>
        <v>18.639377628086628</v>
      </c>
      <c r="AO254" s="4">
        <f t="shared" ca="1" si="935"/>
        <v>18.183728939082791</v>
      </c>
      <c r="AP254" s="4">
        <f t="shared" ca="1" si="935"/>
        <v>19.174611174570387</v>
      </c>
      <c r="AQ254" s="4">
        <f t="shared" ca="1" si="935"/>
        <v>21.978950482814085</v>
      </c>
      <c r="AR254" s="4">
        <f t="shared" ca="1" si="935"/>
        <v>22.347273697753735</v>
      </c>
      <c r="AS254" s="4">
        <f t="shared" ca="1" si="935"/>
        <v>22.766236174704943</v>
      </c>
      <c r="AT254" s="4">
        <f t="shared" ca="1" si="935"/>
        <v>27.064079752567309</v>
      </c>
      <c r="AU254" s="4">
        <f t="shared" ca="1" si="935"/>
        <v>30.682847800648808</v>
      </c>
      <c r="AV254" s="4">
        <f t="shared" ca="1" si="935"/>
        <v>31.016783144857868</v>
      </c>
      <c r="AW254" s="4">
        <f t="shared" ca="1" si="935"/>
        <v>30.637374622330839</v>
      </c>
      <c r="AX254" s="4">
        <f t="shared" ca="1" si="935"/>
        <v>31.987531865863708</v>
      </c>
      <c r="AY254" s="4">
        <f t="shared" ca="1" si="935"/>
        <v>35.447249718805779</v>
      </c>
      <c r="BA254" s="4">
        <f t="shared" ref="BA254:BK254" si="936">+BA219+BA222+BA223</f>
        <v>-94.188999999999993</v>
      </c>
      <c r="BB254" s="4">
        <f t="shared" si="936"/>
        <v>-94.372000000000014</v>
      </c>
      <c r="BC254" s="4">
        <f t="shared" si="936"/>
        <v>-161.37799999999999</v>
      </c>
      <c r="BD254" s="4">
        <f t="shared" si="936"/>
        <v>-108.69199999999998</v>
      </c>
      <c r="BE254" s="4">
        <f t="shared" si="936"/>
        <v>-218.452</v>
      </c>
      <c r="BF254" s="4">
        <f t="shared" si="936"/>
        <v>-503.48500000000001</v>
      </c>
      <c r="BG254" s="4">
        <f t="shared" si="936"/>
        <v>-299.178</v>
      </c>
      <c r="BH254" s="4">
        <f t="shared" si="936"/>
        <v>-264.029</v>
      </c>
      <c r="BI254" s="4">
        <f t="shared" ca="1" si="936"/>
        <v>-224.2465378001842</v>
      </c>
      <c r="BJ254" s="4">
        <f t="shared" ca="1" si="936"/>
        <v>-5.1157555351741166</v>
      </c>
      <c r="BK254" s="4">
        <f t="shared" ca="1" si="936"/>
        <v>53.934480853942375</v>
      </c>
      <c r="BL254" s="4">
        <f t="shared" ref="BL254:BN254" ca="1" si="937">+BL219+BL222+BL223</f>
        <v>77.976668224553919</v>
      </c>
      <c r="BM254" s="4">
        <f t="shared" ca="1" si="937"/>
        <v>102.86043742567477</v>
      </c>
      <c r="BN254" s="4">
        <f t="shared" ca="1" si="937"/>
        <v>129.08893935185816</v>
      </c>
    </row>
    <row r="255" spans="2:67">
      <c r="BA255"/>
    </row>
    <row r="256" spans="2:67">
      <c r="BA256"/>
    </row>
    <row r="257" spans="1:66">
      <c r="BA257"/>
    </row>
    <row r="258" spans="1:66">
      <c r="A258" s="1" t="s">
        <v>24</v>
      </c>
      <c r="B258" s="2" t="s">
        <v>0</v>
      </c>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65"/>
      <c r="BA258" s="2"/>
      <c r="BB258" s="2"/>
      <c r="BC258" s="2"/>
      <c r="BD258" s="2"/>
      <c r="BE258" s="2"/>
      <c r="BF258" s="2"/>
      <c r="BG258" s="2"/>
      <c r="BH258" s="2"/>
      <c r="BI258" s="2"/>
      <c r="BJ258" s="2"/>
      <c r="BK258" s="2"/>
      <c r="BL258" s="2"/>
      <c r="BM258" s="2"/>
      <c r="BN258" s="2"/>
    </row>
    <row r="259" spans="1:66">
      <c r="B259" s="2" t="s">
        <v>33</v>
      </c>
      <c r="C259" s="2"/>
      <c r="D259" s="3" t="str">
        <f t="shared" ref="D259:AY259" si="938">D11</f>
        <v>1Q12</v>
      </c>
      <c r="E259" s="3" t="str">
        <f t="shared" si="938"/>
        <v>2Q12</v>
      </c>
      <c r="F259" s="3" t="str">
        <f t="shared" si="938"/>
        <v>3Q12</v>
      </c>
      <c r="G259" s="3" t="str">
        <f t="shared" si="938"/>
        <v>4Q12</v>
      </c>
      <c r="H259" s="3" t="str">
        <f t="shared" si="938"/>
        <v>1Q13</v>
      </c>
      <c r="I259" s="3" t="str">
        <f t="shared" si="938"/>
        <v>2Q13</v>
      </c>
      <c r="J259" s="3" t="str">
        <f t="shared" si="938"/>
        <v>3Q13</v>
      </c>
      <c r="K259" s="3" t="str">
        <f t="shared" si="938"/>
        <v>4Q13</v>
      </c>
      <c r="L259" s="3" t="str">
        <f t="shared" si="938"/>
        <v>1Q14</v>
      </c>
      <c r="M259" s="3" t="str">
        <f t="shared" si="938"/>
        <v>2Q14</v>
      </c>
      <c r="N259" s="3" t="str">
        <f t="shared" si="938"/>
        <v>3Q14</v>
      </c>
      <c r="O259" s="3" t="str">
        <f t="shared" si="938"/>
        <v>4Q14</v>
      </c>
      <c r="P259" s="3" t="str">
        <f t="shared" si="938"/>
        <v>1Q15</v>
      </c>
      <c r="Q259" s="3" t="str">
        <f t="shared" si="938"/>
        <v>2Q15</v>
      </c>
      <c r="R259" s="3" t="str">
        <f t="shared" si="938"/>
        <v>3Q15</v>
      </c>
      <c r="S259" s="3" t="str">
        <f t="shared" si="938"/>
        <v>4Q15</v>
      </c>
      <c r="T259" s="3" t="str">
        <f t="shared" si="938"/>
        <v>1Q16</v>
      </c>
      <c r="U259" s="3" t="str">
        <f t="shared" si="938"/>
        <v>2Q16</v>
      </c>
      <c r="V259" s="3" t="str">
        <f t="shared" si="938"/>
        <v>3Q16</v>
      </c>
      <c r="W259" s="3" t="str">
        <f t="shared" si="938"/>
        <v>4Q16</v>
      </c>
      <c r="X259" s="3" t="str">
        <f t="shared" si="938"/>
        <v>1Q17</v>
      </c>
      <c r="Y259" s="3" t="str">
        <f t="shared" si="938"/>
        <v>2Q17</v>
      </c>
      <c r="Z259" s="3" t="str">
        <f t="shared" si="938"/>
        <v>3Q17</v>
      </c>
      <c r="AA259" s="3" t="str">
        <f t="shared" si="938"/>
        <v>4Q17</v>
      </c>
      <c r="AB259" s="3" t="str">
        <f t="shared" si="938"/>
        <v>1Q18E</v>
      </c>
      <c r="AC259" s="3" t="str">
        <f t="shared" si="938"/>
        <v>2Q18E</v>
      </c>
      <c r="AD259" s="3" t="str">
        <f t="shared" si="938"/>
        <v>3Q18E</v>
      </c>
      <c r="AE259" s="3" t="str">
        <f t="shared" si="938"/>
        <v>4Q18E</v>
      </c>
      <c r="AF259" s="3" t="str">
        <f t="shared" si="938"/>
        <v>1Q19E</v>
      </c>
      <c r="AG259" s="3" t="str">
        <f t="shared" si="938"/>
        <v>2Q19E</v>
      </c>
      <c r="AH259" s="3" t="str">
        <f t="shared" si="938"/>
        <v>3Q19E</v>
      </c>
      <c r="AI259" s="3" t="str">
        <f t="shared" si="938"/>
        <v>4Q19E</v>
      </c>
      <c r="AJ259" s="3" t="str">
        <f t="shared" si="938"/>
        <v>1Q20E</v>
      </c>
      <c r="AK259" s="3" t="str">
        <f t="shared" si="938"/>
        <v>2Q20E</v>
      </c>
      <c r="AL259" s="3" t="str">
        <f t="shared" si="938"/>
        <v>3Q20E</v>
      </c>
      <c r="AM259" s="3" t="str">
        <f t="shared" si="938"/>
        <v>4Q20E</v>
      </c>
      <c r="AN259" s="3" t="str">
        <f t="shared" si="938"/>
        <v>1Q21E</v>
      </c>
      <c r="AO259" s="3" t="str">
        <f t="shared" si="938"/>
        <v>2Q21E</v>
      </c>
      <c r="AP259" s="3" t="str">
        <f t="shared" si="938"/>
        <v>3Q21E</v>
      </c>
      <c r="AQ259" s="3" t="str">
        <f t="shared" si="938"/>
        <v>4Q21E</v>
      </c>
      <c r="AR259" s="3" t="str">
        <f t="shared" si="938"/>
        <v>1Q22E</v>
      </c>
      <c r="AS259" s="3" t="str">
        <f t="shared" si="938"/>
        <v>2Q22E</v>
      </c>
      <c r="AT259" s="3" t="str">
        <f t="shared" si="938"/>
        <v>3Q22E</v>
      </c>
      <c r="AU259" s="3" t="str">
        <f t="shared" si="938"/>
        <v>4Q22E</v>
      </c>
      <c r="AV259" s="3" t="str">
        <f t="shared" si="938"/>
        <v>1Q23E</v>
      </c>
      <c r="AW259" s="3" t="str">
        <f t="shared" si="938"/>
        <v>2Q23E</v>
      </c>
      <c r="AX259" s="3" t="str">
        <f t="shared" si="938"/>
        <v>3Q23E</v>
      </c>
      <c r="AY259" s="3" t="str">
        <f t="shared" si="938"/>
        <v>4Q23E</v>
      </c>
      <c r="AZ259" s="66"/>
      <c r="BA259" s="3" t="str">
        <f t="shared" ref="BA259:BN259" si="939">BA11</f>
        <v>2010A</v>
      </c>
      <c r="BB259" s="3" t="str">
        <f t="shared" si="939"/>
        <v>2011A</v>
      </c>
      <c r="BC259" s="3" t="str">
        <f t="shared" si="939"/>
        <v>2012A</v>
      </c>
      <c r="BD259" s="3" t="str">
        <f t="shared" si="939"/>
        <v>2013A</v>
      </c>
      <c r="BE259" s="3" t="str">
        <f t="shared" si="939"/>
        <v>2014A</v>
      </c>
      <c r="BF259" s="3">
        <f t="shared" si="939"/>
        <v>2015</v>
      </c>
      <c r="BG259" s="3">
        <f t="shared" si="939"/>
        <v>2016</v>
      </c>
      <c r="BH259" s="3">
        <f t="shared" si="939"/>
        <v>2017</v>
      </c>
      <c r="BI259" s="3" t="str">
        <f t="shared" si="939"/>
        <v>2018E</v>
      </c>
      <c r="BJ259" s="3" t="str">
        <f t="shared" si="939"/>
        <v>2019E</v>
      </c>
      <c r="BK259" s="3" t="str">
        <f t="shared" si="939"/>
        <v>2020E</v>
      </c>
      <c r="BL259" s="3" t="str">
        <f t="shared" si="939"/>
        <v>2021E</v>
      </c>
      <c r="BM259" s="3" t="str">
        <f t="shared" si="939"/>
        <v>2022E</v>
      </c>
      <c r="BN259" s="3" t="str">
        <f t="shared" si="939"/>
        <v>2023E</v>
      </c>
    </row>
    <row r="260" spans="1:66">
      <c r="BA260"/>
    </row>
    <row r="261" spans="1:66">
      <c r="B261" t="s">
        <v>115</v>
      </c>
      <c r="D261" s="34"/>
      <c r="E261" s="34"/>
      <c r="F261" s="34"/>
      <c r="G261" s="7">
        <v>24.713000000000001</v>
      </c>
      <c r="H261" s="32"/>
      <c r="I261" s="7">
        <v>30.516999999999999</v>
      </c>
      <c r="J261" s="7">
        <v>30.518000000000001</v>
      </c>
      <c r="K261" s="7">
        <v>30.600999999999999</v>
      </c>
      <c r="L261" s="7">
        <v>30.600999999999999</v>
      </c>
      <c r="M261" s="7">
        <v>48.576000000000001</v>
      </c>
      <c r="N261" s="7">
        <v>48.576000000000001</v>
      </c>
      <c r="O261" s="7">
        <v>48.576999999999998</v>
      </c>
      <c r="P261" s="7">
        <v>48.576999999999998</v>
      </c>
      <c r="Q261" s="7">
        <v>52.43</v>
      </c>
      <c r="R261" s="7">
        <v>52.43</v>
      </c>
      <c r="S261" s="7">
        <v>57.112000000000002</v>
      </c>
      <c r="T261" s="7">
        <v>57.128</v>
      </c>
      <c r="U261" s="7">
        <v>64.567999999999998</v>
      </c>
      <c r="V261" s="7">
        <v>73.968000000000004</v>
      </c>
      <c r="W261" s="7">
        <v>74.13</v>
      </c>
      <c r="X261" s="7">
        <v>74.13</v>
      </c>
      <c r="Y261" s="7">
        <v>86.191999999999993</v>
      </c>
      <c r="Z261" s="7">
        <v>86.191999999999993</v>
      </c>
      <c r="AA261" s="7">
        <v>88.215999999999994</v>
      </c>
      <c r="AB261" s="4">
        <f t="shared" ref="AB261:AM261" si="940">+AB312</f>
        <v>88.215999999999994</v>
      </c>
      <c r="AC261" s="4">
        <f t="shared" si="940"/>
        <v>88.215999999999994</v>
      </c>
      <c r="AD261" s="4">
        <f t="shared" si="940"/>
        <v>88.215999999999994</v>
      </c>
      <c r="AE261" s="4">
        <f t="shared" si="940"/>
        <v>88.215999999999994</v>
      </c>
      <c r="AF261" s="4">
        <f t="shared" si="940"/>
        <v>88.215999999999994</v>
      </c>
      <c r="AG261" s="4">
        <f t="shared" si="940"/>
        <v>88.215999999999994</v>
      </c>
      <c r="AH261" s="4">
        <f t="shared" si="940"/>
        <v>88.215999999999994</v>
      </c>
      <c r="AI261" s="4">
        <f t="shared" si="940"/>
        <v>88.215999999999994</v>
      </c>
      <c r="AJ261" s="4">
        <f t="shared" si="940"/>
        <v>88.215999999999994</v>
      </c>
      <c r="AK261" s="4">
        <f t="shared" si="940"/>
        <v>88.215999999999994</v>
      </c>
      <c r="AL261" s="4">
        <f t="shared" si="940"/>
        <v>88.215999999999994</v>
      </c>
      <c r="AM261" s="4">
        <f t="shared" si="940"/>
        <v>88.215999999999994</v>
      </c>
      <c r="AN261" s="4">
        <f t="shared" ref="AN261:AY261" si="941">+AN312</f>
        <v>88.215999999999994</v>
      </c>
      <c r="AO261" s="4">
        <f t="shared" si="941"/>
        <v>88.215999999999994</v>
      </c>
      <c r="AP261" s="4">
        <f t="shared" si="941"/>
        <v>88.215999999999994</v>
      </c>
      <c r="AQ261" s="4">
        <f t="shared" si="941"/>
        <v>88.215999999999994</v>
      </c>
      <c r="AR261" s="4">
        <f t="shared" si="941"/>
        <v>88.215999999999994</v>
      </c>
      <c r="AS261" s="4">
        <f t="shared" si="941"/>
        <v>88.215999999999994</v>
      </c>
      <c r="AT261" s="4">
        <f t="shared" si="941"/>
        <v>88.215999999999994</v>
      </c>
      <c r="AU261" s="4">
        <f t="shared" si="941"/>
        <v>88.215999999999994</v>
      </c>
      <c r="AV261" s="4">
        <f t="shared" si="941"/>
        <v>88.215999999999994</v>
      </c>
      <c r="AW261" s="4">
        <f t="shared" si="941"/>
        <v>88.215999999999994</v>
      </c>
      <c r="AX261" s="4">
        <f t="shared" si="941"/>
        <v>88.215999999999994</v>
      </c>
      <c r="AY261" s="4">
        <f t="shared" si="941"/>
        <v>88.215999999999994</v>
      </c>
      <c r="AZ261" s="24"/>
      <c r="BA261" s="238" t="s">
        <v>327</v>
      </c>
      <c r="BB261" s="7">
        <v>20.603999999999999</v>
      </c>
      <c r="BC261" s="4">
        <f>+G261</f>
        <v>24.713000000000001</v>
      </c>
      <c r="BD261" s="4">
        <f>+K261</f>
        <v>30.600999999999999</v>
      </c>
      <c r="BE261" s="4">
        <f>+O261</f>
        <v>48.576999999999998</v>
      </c>
      <c r="BF261" s="4">
        <f>+S261</f>
        <v>57.112000000000002</v>
      </c>
      <c r="BG261" s="4">
        <f>+W261</f>
        <v>74.13</v>
      </c>
      <c r="BH261" s="4">
        <f>+AA261</f>
        <v>88.215999999999994</v>
      </c>
      <c r="BI261" s="4">
        <f>+AE261</f>
        <v>88.215999999999994</v>
      </c>
      <c r="BJ261" s="4">
        <f>+AI261</f>
        <v>88.215999999999994</v>
      </c>
      <c r="BK261" s="4">
        <f>+AM261</f>
        <v>88.215999999999994</v>
      </c>
      <c r="BL261" s="4">
        <f>+AQ261</f>
        <v>88.215999999999994</v>
      </c>
      <c r="BM261" s="4">
        <f>+AU261</f>
        <v>88.215999999999994</v>
      </c>
      <c r="BN261" s="4">
        <f>+AY261</f>
        <v>88.215999999999994</v>
      </c>
    </row>
    <row r="262" spans="1:66">
      <c r="B262" t="s">
        <v>114</v>
      </c>
      <c r="C262" s="4"/>
      <c r="D262" s="34"/>
      <c r="E262" s="34"/>
      <c r="F262" s="34"/>
      <c r="G262" s="7">
        <v>622.50599999999997</v>
      </c>
      <c r="H262" s="33"/>
      <c r="I262" s="7">
        <v>670.78300000000002</v>
      </c>
      <c r="J262" s="7">
        <v>711.23800000000006</v>
      </c>
      <c r="K262" s="7">
        <v>728.23</v>
      </c>
      <c r="L262" s="7">
        <v>743.101</v>
      </c>
      <c r="M262" s="7">
        <v>829.05700000000002</v>
      </c>
      <c r="N262" s="7">
        <v>894.01400000000001</v>
      </c>
      <c r="O262" s="7">
        <v>914.28599999999994</v>
      </c>
      <c r="P262" s="7">
        <v>954.91499999999996</v>
      </c>
      <c r="Q262" s="7">
        <v>1073.1199999999999</v>
      </c>
      <c r="R262" s="7">
        <v>1108.758</v>
      </c>
      <c r="S262" s="7">
        <v>1180.386</v>
      </c>
      <c r="T262" s="7">
        <v>1241.885</v>
      </c>
      <c r="U262" s="7">
        <v>1393.92</v>
      </c>
      <c r="V262" s="7">
        <v>1449.376</v>
      </c>
      <c r="W262" s="7">
        <v>1524.7670000000001</v>
      </c>
      <c r="X262" s="7">
        <v>1585.183</v>
      </c>
      <c r="Y262" s="7">
        <v>1625.2539999999999</v>
      </c>
      <c r="Z262" s="7">
        <v>1668.5029999999999</v>
      </c>
      <c r="AA262" s="7">
        <v>1701.287</v>
      </c>
      <c r="AB262" s="4">
        <f t="shared" ref="AB262:AM262" ca="1" si="942">+AB313</f>
        <v>1802.3178239702611</v>
      </c>
      <c r="AC262" s="4">
        <f t="shared" ca="1" si="942"/>
        <v>1905.017564480182</v>
      </c>
      <c r="AD262" s="4">
        <f t="shared" ca="1" si="942"/>
        <v>2009.5955632631183</v>
      </c>
      <c r="AE262" s="4">
        <f t="shared" ca="1" si="942"/>
        <v>2115.4116512185446</v>
      </c>
      <c r="AF262" s="4">
        <f ca="1">+AF313</f>
        <v>2171.9929540962257</v>
      </c>
      <c r="AG262" s="4">
        <f t="shared" ca="1" si="942"/>
        <v>2226.9325231022276</v>
      </c>
      <c r="AH262" s="4">
        <f t="shared" ca="1" si="942"/>
        <v>2279.9911774533402</v>
      </c>
      <c r="AI262" s="4">
        <f t="shared" ca="1" si="942"/>
        <v>2330.7156525899431</v>
      </c>
      <c r="AJ262" s="4">
        <f t="shared" ca="1" si="942"/>
        <v>2378.586352863063</v>
      </c>
      <c r="AK262" s="4">
        <f t="shared" ca="1" si="942"/>
        <v>2424.1176289850332</v>
      </c>
      <c r="AL262" s="4">
        <f t="shared" ca="1" si="942"/>
        <v>2467.1539981902401</v>
      </c>
      <c r="AM262" s="4">
        <f t="shared" ca="1" si="942"/>
        <v>2511.0861811076143</v>
      </c>
      <c r="AN262" s="4">
        <f t="shared" ref="AN262:AY262" ca="1" si="943">+AN313</f>
        <v>2555.5812831193762</v>
      </c>
      <c r="AO262" s="4">
        <f t="shared" ca="1" si="943"/>
        <v>2601.2339734906386</v>
      </c>
      <c r="AP262" s="4">
        <f t="shared" ca="1" si="943"/>
        <v>2648.0752682559819</v>
      </c>
      <c r="AQ262" s="4">
        <f t="shared" ca="1" si="943"/>
        <v>2695.8829196166639</v>
      </c>
      <c r="AR262" s="4">
        <f t="shared" ca="1" si="943"/>
        <v>2744.2928186240697</v>
      </c>
      <c r="AS262" s="4">
        <f t="shared" ca="1" si="943"/>
        <v>2793.9459636680344</v>
      </c>
      <c r="AT262" s="4">
        <f t="shared" ca="1" si="943"/>
        <v>2844.8732847989486</v>
      </c>
      <c r="AU262" s="4">
        <f t="shared" ca="1" si="943"/>
        <v>2896.8306463494669</v>
      </c>
      <c r="AV262" s="4">
        <f t="shared" ca="1" si="943"/>
        <v>2949.4200225835248</v>
      </c>
      <c r="AW262" s="4">
        <f t="shared" ca="1" si="943"/>
        <v>3003.3330179263739</v>
      </c>
      <c r="AX262" s="4">
        <f t="shared" ca="1" si="943"/>
        <v>3058.5998845125705</v>
      </c>
      <c r="AY262" s="4">
        <f t="shared" ca="1" si="943"/>
        <v>3114.9530002820029</v>
      </c>
      <c r="AZ262" s="24"/>
      <c r="BA262" s="237" t="s">
        <v>327</v>
      </c>
      <c r="BB262" s="7">
        <v>454.78500000000003</v>
      </c>
      <c r="BC262" s="4">
        <f>+G262</f>
        <v>622.50599999999997</v>
      </c>
      <c r="BD262" s="4">
        <f>+K262</f>
        <v>728.23</v>
      </c>
      <c r="BE262" s="4">
        <f>+O262</f>
        <v>914.28599999999994</v>
      </c>
      <c r="BF262" s="4">
        <f>+S262</f>
        <v>1180.386</v>
      </c>
      <c r="BG262" s="4">
        <f>+W262</f>
        <v>1524.7670000000001</v>
      </c>
      <c r="BH262" s="4">
        <f>+AA262</f>
        <v>1701.287</v>
      </c>
      <c r="BI262" s="4">
        <f ca="1">+AE262</f>
        <v>2115.4116512185446</v>
      </c>
      <c r="BJ262" s="4">
        <f ca="1">+AI262</f>
        <v>2330.7156525899431</v>
      </c>
      <c r="BK262" s="4">
        <f ca="1">+AM262</f>
        <v>2511.0861811076143</v>
      </c>
      <c r="BL262" s="4">
        <f ca="1">+AQ262</f>
        <v>2695.8829196166639</v>
      </c>
      <c r="BM262" s="4">
        <f ca="1">+AU262</f>
        <v>2896.8306463494669</v>
      </c>
      <c r="BN262" s="4">
        <f ca="1">+AY262</f>
        <v>3114.9530002820029</v>
      </c>
    </row>
    <row r="263" spans="1:66">
      <c r="B263" t="s">
        <v>82</v>
      </c>
      <c r="C263" s="4"/>
      <c r="D263" s="34"/>
      <c r="E263" s="34"/>
      <c r="F263" s="34"/>
      <c r="G263" s="7">
        <v>-102.9</v>
      </c>
      <c r="H263" s="33"/>
      <c r="I263" s="7">
        <v>-119.57599999999999</v>
      </c>
      <c r="J263" s="7">
        <v>-128.703</v>
      </c>
      <c r="K263" s="7">
        <v>-137.72499999999999</v>
      </c>
      <c r="L263" s="7">
        <v>-147.33600000000001</v>
      </c>
      <c r="M263" s="7">
        <v>-157.202</v>
      </c>
      <c r="N263" s="7">
        <v>-168.21</v>
      </c>
      <c r="O263" s="7">
        <v>-180.167</v>
      </c>
      <c r="P263" s="7">
        <v>-192.107</v>
      </c>
      <c r="Q263" s="7">
        <v>-205.28399999999999</v>
      </c>
      <c r="R263" s="7">
        <v>-222.37299999999999</v>
      </c>
      <c r="S263" s="7">
        <v>-239.93600000000001</v>
      </c>
      <c r="T263" s="7">
        <v>-255.34399999999999</v>
      </c>
      <c r="U263" s="7">
        <v>-274.14499999999998</v>
      </c>
      <c r="V263" s="7">
        <v>-295.87900000000002</v>
      </c>
      <c r="W263" s="7">
        <v>-317.834</v>
      </c>
      <c r="X263" s="7">
        <v>-340.83</v>
      </c>
      <c r="Y263" s="7">
        <v>-354.52199999999999</v>
      </c>
      <c r="Z263" s="7">
        <v>-378.88299999999998</v>
      </c>
      <c r="AA263" s="7">
        <v>-394.82299999999998</v>
      </c>
      <c r="AB263" s="4">
        <f t="shared" ref="AB263:AM263" ca="1" si="944">+AB314</f>
        <v>-434.16855661816936</v>
      </c>
      <c r="AC263" s="4">
        <f t="shared" ca="1" si="944"/>
        <v>-475.75610319014339</v>
      </c>
      <c r="AD263" s="4">
        <f t="shared" ca="1" si="944"/>
        <v>-519.62664309293007</v>
      </c>
      <c r="AE263" s="4">
        <f t="shared" ca="1" si="944"/>
        <v>-565.80720447161377</v>
      </c>
      <c r="AF263" s="4">
        <f t="shared" ca="1" si="944"/>
        <v>-613.22296578356986</v>
      </c>
      <c r="AG263" s="4">
        <f t="shared" ca="1" si="944"/>
        <v>-661.83808710526148</v>
      </c>
      <c r="AH263" s="4">
        <f t="shared" ca="1" si="944"/>
        <v>-711.61150706945159</v>
      </c>
      <c r="AI263" s="4">
        <f t="shared" ca="1" si="944"/>
        <v>-762.49226930250836</v>
      </c>
      <c r="AJ263" s="4">
        <f t="shared" ca="1" si="944"/>
        <v>-814.41807438144815</v>
      </c>
      <c r="AK263" s="4">
        <f t="shared" ca="1" si="944"/>
        <v>-867.33785143288287</v>
      </c>
      <c r="AL263" s="4">
        <f t="shared" ca="1" si="944"/>
        <v>-921.19713531196123</v>
      </c>
      <c r="AM263" s="4">
        <f t="shared" ca="1" si="944"/>
        <v>-976.0154821084376</v>
      </c>
      <c r="AN263" s="4">
        <f t="shared" ref="AN263:AY263" ca="1" si="945">+AN314</f>
        <v>-1031.8051806455178</v>
      </c>
      <c r="AO263" s="4">
        <f t="shared" ca="1" si="945"/>
        <v>-1088.5915016927263</v>
      </c>
      <c r="AP263" s="4">
        <f t="shared" ca="1" si="945"/>
        <v>-1146.4003931161176</v>
      </c>
      <c r="AQ263" s="4">
        <f ca="1">+AQ314</f>
        <v>-1205.2529509941023</v>
      </c>
      <c r="AR263" s="4">
        <f t="shared" ca="1" si="945"/>
        <v>-1265.1623227130997</v>
      </c>
      <c r="AS263" s="4">
        <f t="shared" ca="1" si="945"/>
        <v>-1326.1556489952795</v>
      </c>
      <c r="AT263" s="4">
        <f t="shared" ca="1" si="945"/>
        <v>-1388.2607457822608</v>
      </c>
      <c r="AU263" s="4">
        <f t="shared" ca="1" si="945"/>
        <v>-1451.5000994042066</v>
      </c>
      <c r="AV263" s="4">
        <f t="shared" ca="1" si="945"/>
        <v>-1515.8875070777808</v>
      </c>
      <c r="AW263" s="4">
        <f t="shared" ca="1" si="945"/>
        <v>-1581.4518641120646</v>
      </c>
      <c r="AX263" s="4">
        <f t="shared" ca="1" si="945"/>
        <v>-1648.2227262363251</v>
      </c>
      <c r="AY263" s="4">
        <f t="shared" ca="1" si="945"/>
        <v>-1716.2238068479289</v>
      </c>
      <c r="AZ263" s="24"/>
      <c r="BA263" s="237" t="s">
        <v>327</v>
      </c>
      <c r="BB263" s="7">
        <v>-74.536000000000001</v>
      </c>
      <c r="BC263" s="4">
        <f>+G263</f>
        <v>-102.9</v>
      </c>
      <c r="BD263" s="4">
        <f>+K263</f>
        <v>-137.72499999999999</v>
      </c>
      <c r="BE263" s="4">
        <f>+O263</f>
        <v>-180.167</v>
      </c>
      <c r="BF263" s="4">
        <f>+S263</f>
        <v>-239.93600000000001</v>
      </c>
      <c r="BG263" s="4">
        <f>+W263</f>
        <v>-317.834</v>
      </c>
      <c r="BH263" s="4">
        <f>+AA263</f>
        <v>-394.82299999999998</v>
      </c>
      <c r="BI263" s="4">
        <f ca="1">+AE263</f>
        <v>-565.80720447161377</v>
      </c>
      <c r="BJ263" s="4">
        <f ca="1">+AI263</f>
        <v>-762.49226930250836</v>
      </c>
      <c r="BK263" s="4">
        <f ca="1">+AM263</f>
        <v>-976.0154821084376</v>
      </c>
      <c r="BL263" s="4">
        <f ca="1">+AQ263</f>
        <v>-1205.2529509941023</v>
      </c>
      <c r="BM263" s="4">
        <f ca="1">+AU263</f>
        <v>-1451.5000994042066</v>
      </c>
      <c r="BN263" s="4">
        <f ca="1">+AY263</f>
        <v>-1716.2238068479289</v>
      </c>
    </row>
    <row r="264" spans="1:66">
      <c r="C264" s="4"/>
      <c r="D264" s="34"/>
      <c r="E264" s="34"/>
      <c r="F264" s="34"/>
      <c r="G264" s="7"/>
      <c r="H264" s="33"/>
      <c r="I264" s="7"/>
      <c r="J264" s="7"/>
      <c r="K264" s="7"/>
      <c r="L264" s="7"/>
      <c r="M264" s="7"/>
      <c r="N264" s="7"/>
      <c r="O264" s="7"/>
      <c r="P264" s="7"/>
      <c r="Q264" s="7"/>
      <c r="R264" s="7"/>
      <c r="S264" s="7"/>
      <c r="T264" s="7"/>
      <c r="U264" s="7"/>
      <c r="V264" s="7"/>
      <c r="W264" s="7"/>
      <c r="X264" s="7"/>
      <c r="Y264" s="7"/>
      <c r="Z264" s="7"/>
      <c r="AA264" s="7"/>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24"/>
      <c r="BA264" s="237"/>
      <c r="BB264" s="7"/>
      <c r="BC264" s="4"/>
      <c r="BD264" s="4"/>
      <c r="BE264" s="4"/>
      <c r="BF264" s="4"/>
      <c r="BG264" s="4"/>
      <c r="BH264" s="4"/>
      <c r="BI264" s="4"/>
      <c r="BJ264" s="4"/>
      <c r="BK264" s="4"/>
      <c r="BL264" s="4"/>
      <c r="BM264" s="4"/>
      <c r="BN264" s="4"/>
    </row>
    <row r="265" spans="1:66">
      <c r="A265" s="22"/>
      <c r="B265" t="s">
        <v>83</v>
      </c>
      <c r="C265" s="4"/>
      <c r="D265" s="34"/>
      <c r="E265" s="34"/>
      <c r="F265" s="34"/>
      <c r="G265" s="7">
        <v>87.608999999999995</v>
      </c>
      <c r="H265" s="33"/>
      <c r="I265" s="7">
        <v>120.036</v>
      </c>
      <c r="J265" s="7">
        <v>106.63</v>
      </c>
      <c r="K265" s="7">
        <v>146.904</v>
      </c>
      <c r="L265" s="7">
        <v>182.69900000000001</v>
      </c>
      <c r="M265" s="7">
        <v>183.51599999999999</v>
      </c>
      <c r="N265" s="7">
        <v>174.47</v>
      </c>
      <c r="O265" s="7">
        <v>214.71899999999999</v>
      </c>
      <c r="P265" s="7">
        <v>266.23399999999998</v>
      </c>
      <c r="Q265" s="7">
        <v>320.88499999999999</v>
      </c>
      <c r="R265" s="7">
        <v>353.78199999999998</v>
      </c>
      <c r="S265" s="7">
        <v>345.65499999999997</v>
      </c>
      <c r="T265" s="7">
        <v>340.51100000000002</v>
      </c>
      <c r="U265" s="7">
        <v>316.79700000000003</v>
      </c>
      <c r="V265" s="7">
        <v>320.64999999999998</v>
      </c>
      <c r="W265" s="7">
        <v>365.96</v>
      </c>
      <c r="X265" s="7">
        <v>361.02100000000002</v>
      </c>
      <c r="Y265" s="7">
        <v>363.44900000000001</v>
      </c>
      <c r="Z265" s="7">
        <v>429.39</v>
      </c>
      <c r="AA265" s="7">
        <v>567.81899999999996</v>
      </c>
      <c r="AB265" s="4">
        <f t="shared" ref="AB265:AM265" si="946">+AA265</f>
        <v>567.81899999999996</v>
      </c>
      <c r="AC265" s="4">
        <f t="shared" si="946"/>
        <v>567.81899999999996</v>
      </c>
      <c r="AD265" s="4">
        <f t="shared" si="946"/>
        <v>567.81899999999996</v>
      </c>
      <c r="AE265" s="4">
        <f t="shared" si="946"/>
        <v>567.81899999999996</v>
      </c>
      <c r="AF265" s="4">
        <f t="shared" si="946"/>
        <v>567.81899999999996</v>
      </c>
      <c r="AG265" s="4">
        <f t="shared" si="946"/>
        <v>567.81899999999996</v>
      </c>
      <c r="AH265" s="4">
        <f t="shared" si="946"/>
        <v>567.81899999999996</v>
      </c>
      <c r="AI265" s="4">
        <f t="shared" si="946"/>
        <v>567.81899999999996</v>
      </c>
      <c r="AJ265" s="4">
        <f t="shared" si="946"/>
        <v>567.81899999999996</v>
      </c>
      <c r="AK265" s="4">
        <f t="shared" si="946"/>
        <v>567.81899999999996</v>
      </c>
      <c r="AL265" s="4">
        <f t="shared" si="946"/>
        <v>567.81899999999996</v>
      </c>
      <c r="AM265" s="4">
        <f t="shared" si="946"/>
        <v>567.81899999999996</v>
      </c>
      <c r="AN265" s="4">
        <f t="shared" ref="AN265" si="947">+AM265</f>
        <v>567.81899999999996</v>
      </c>
      <c r="AO265" s="4">
        <f t="shared" ref="AO265" si="948">+AN265</f>
        <v>567.81899999999996</v>
      </c>
      <c r="AP265" s="4">
        <f t="shared" ref="AP265" si="949">+AO265</f>
        <v>567.81899999999996</v>
      </c>
      <c r="AQ265" s="4">
        <f t="shared" ref="AQ265" si="950">+AP265</f>
        <v>567.81899999999996</v>
      </c>
      <c r="AR265" s="4">
        <f t="shared" ref="AR265" si="951">+AQ265</f>
        <v>567.81899999999996</v>
      </c>
      <c r="AS265" s="4">
        <f t="shared" ref="AS265" si="952">+AR265</f>
        <v>567.81899999999996</v>
      </c>
      <c r="AT265" s="4">
        <f t="shared" ref="AT265" si="953">+AS265</f>
        <v>567.81899999999996</v>
      </c>
      <c r="AU265" s="4">
        <f t="shared" ref="AU265" si="954">+AT265</f>
        <v>567.81899999999996</v>
      </c>
      <c r="AV265" s="4">
        <f t="shared" ref="AV265" si="955">+AU265</f>
        <v>567.81899999999996</v>
      </c>
      <c r="AW265" s="4">
        <f t="shared" ref="AW265" si="956">+AV265</f>
        <v>567.81899999999996</v>
      </c>
      <c r="AX265" s="4">
        <f t="shared" ref="AX265" si="957">+AW265</f>
        <v>567.81899999999996</v>
      </c>
      <c r="AY265" s="4">
        <f t="shared" ref="AY265" si="958">+AX265</f>
        <v>567.81899999999996</v>
      </c>
      <c r="AZ265" s="24"/>
      <c r="BA265" s="237" t="s">
        <v>327</v>
      </c>
      <c r="BB265" s="7">
        <v>80.197000000000003</v>
      </c>
      <c r="BC265" s="4">
        <f>+G265</f>
        <v>87.608999999999995</v>
      </c>
      <c r="BD265" s="4">
        <f>+K265</f>
        <v>146.904</v>
      </c>
      <c r="BE265" s="4">
        <f>+O265</f>
        <v>214.71899999999999</v>
      </c>
      <c r="BF265" s="4">
        <f>+S265</f>
        <v>345.65499999999997</v>
      </c>
      <c r="BG265" s="4">
        <f>+W265</f>
        <v>365.96</v>
      </c>
      <c r="BH265" s="4">
        <f>+AA265</f>
        <v>567.81899999999996</v>
      </c>
      <c r="BI265" s="4">
        <f>+AE265</f>
        <v>567.81899999999996</v>
      </c>
      <c r="BJ265" s="4">
        <f>+AI265</f>
        <v>567.81899999999996</v>
      </c>
      <c r="BK265" s="4">
        <f>+AM265</f>
        <v>567.81899999999996</v>
      </c>
      <c r="BL265" s="4">
        <f>+AQ265</f>
        <v>567.81899999999996</v>
      </c>
      <c r="BM265" s="4">
        <f>+AU265</f>
        <v>567.81899999999996</v>
      </c>
      <c r="BN265" s="4">
        <f>+AY265</f>
        <v>567.81899999999996</v>
      </c>
    </row>
    <row r="266" spans="1:66">
      <c r="B266" t="s">
        <v>84</v>
      </c>
      <c r="C266" s="4"/>
      <c r="D266" s="33"/>
      <c r="E266" s="33"/>
      <c r="F266" s="33"/>
      <c r="G266" s="4">
        <f>+SUM(G261:G265)</f>
        <v>631.928</v>
      </c>
      <c r="H266" s="33"/>
      <c r="I266" s="4">
        <f t="shared" ref="I266:Q266" si="959">+SUM(I261:I265)</f>
        <v>701.76</v>
      </c>
      <c r="J266" s="4">
        <f t="shared" si="959"/>
        <v>719.68300000000011</v>
      </c>
      <c r="K266" s="4">
        <f t="shared" si="959"/>
        <v>768.01</v>
      </c>
      <c r="L266" s="4">
        <f t="shared" si="959"/>
        <v>809.06500000000005</v>
      </c>
      <c r="M266" s="4">
        <f t="shared" si="959"/>
        <v>903.947</v>
      </c>
      <c r="N266" s="4">
        <f t="shared" si="959"/>
        <v>948.85</v>
      </c>
      <c r="O266" s="4">
        <f t="shared" si="959"/>
        <v>997.41499999999996</v>
      </c>
      <c r="P266" s="4">
        <f t="shared" si="959"/>
        <v>1077.6189999999999</v>
      </c>
      <c r="Q266" s="4">
        <f t="shared" si="959"/>
        <v>1241.1509999999998</v>
      </c>
      <c r="R266" s="4">
        <f t="shared" ref="R266:W266" si="960">+SUM(R261:R265)</f>
        <v>1292.597</v>
      </c>
      <c r="S266" s="4">
        <f t="shared" si="960"/>
        <v>1343.2170000000001</v>
      </c>
      <c r="T266" s="4">
        <f t="shared" si="960"/>
        <v>1384.1799999999998</v>
      </c>
      <c r="U266" s="4">
        <f t="shared" si="960"/>
        <v>1501.14</v>
      </c>
      <c r="V266" s="4">
        <f t="shared" si="960"/>
        <v>1548.1150000000002</v>
      </c>
      <c r="W266" s="4">
        <f t="shared" si="960"/>
        <v>1647.0229999999999</v>
      </c>
      <c r="X266" s="4">
        <f>+SUM(X261:X265)</f>
        <v>1679.5040000000001</v>
      </c>
      <c r="Y266" s="4">
        <f>+SUM(Y261:Y265)</f>
        <v>1720.373</v>
      </c>
      <c r="Z266" s="4">
        <f>+SUM(Z261:Z265)</f>
        <v>1805.2019999999998</v>
      </c>
      <c r="AA266" s="4">
        <f>+SUM(AA261:AA265)</f>
        <v>1962.4989999999998</v>
      </c>
      <c r="AB266" s="4">
        <f t="shared" ref="AB266:AM266" ca="1" si="961">+SUM(AB261:AB265)</f>
        <v>2024.1842673520916</v>
      </c>
      <c r="AC266" s="4">
        <f t="shared" ca="1" si="961"/>
        <v>2085.2964612900387</v>
      </c>
      <c r="AD266" s="4">
        <f t="shared" ca="1" si="961"/>
        <v>2146.0039201701884</v>
      </c>
      <c r="AE266" s="4">
        <f t="shared" ca="1" si="961"/>
        <v>2205.6394467469308</v>
      </c>
      <c r="AF266" s="4">
        <f t="shared" ca="1" si="961"/>
        <v>2214.804988312656</v>
      </c>
      <c r="AG266" s="4">
        <f t="shared" ca="1" si="961"/>
        <v>2221.1294359969661</v>
      </c>
      <c r="AH266" s="4">
        <f t="shared" ca="1" si="961"/>
        <v>2224.4146703838887</v>
      </c>
      <c r="AI266" s="4">
        <f t="shared" ca="1" si="961"/>
        <v>2224.2583832874348</v>
      </c>
      <c r="AJ266" s="4">
        <f t="shared" ca="1" si="961"/>
        <v>2220.2032784816147</v>
      </c>
      <c r="AK266" s="4">
        <f t="shared" ca="1" si="961"/>
        <v>2212.8147775521502</v>
      </c>
      <c r="AL266" s="4">
        <f t="shared" ca="1" si="961"/>
        <v>2201.9918628782789</v>
      </c>
      <c r="AM266" s="4">
        <f t="shared" ca="1" si="961"/>
        <v>2191.1056989991766</v>
      </c>
      <c r="AN266" s="4">
        <f t="shared" ref="AN266:AY266" ca="1" si="962">+SUM(AN261:AN265)</f>
        <v>2179.8111024738582</v>
      </c>
      <c r="AO266" s="4">
        <f t="shared" ca="1" si="962"/>
        <v>2168.6774717979124</v>
      </c>
      <c r="AP266" s="4">
        <f t="shared" ca="1" si="962"/>
        <v>2157.7098751398644</v>
      </c>
      <c r="AQ266" s="4">
        <f t="shared" ca="1" si="962"/>
        <v>2146.6649686225614</v>
      </c>
      <c r="AR266" s="4">
        <f t="shared" ca="1" si="962"/>
        <v>2135.1654959109701</v>
      </c>
      <c r="AS266" s="4">
        <f t="shared" ca="1" si="962"/>
        <v>2123.8253146727548</v>
      </c>
      <c r="AT266" s="4">
        <f t="shared" ca="1" si="962"/>
        <v>2112.6475390166879</v>
      </c>
      <c r="AU266" s="4">
        <f t="shared" ca="1" si="962"/>
        <v>2101.3655469452601</v>
      </c>
      <c r="AV266" s="4">
        <f t="shared" ca="1" si="962"/>
        <v>2089.5675155057438</v>
      </c>
      <c r="AW266" s="4">
        <f t="shared" ca="1" si="962"/>
        <v>2077.9161538143089</v>
      </c>
      <c r="AX266" s="4">
        <f t="shared" ca="1" si="962"/>
        <v>2066.4121582762455</v>
      </c>
      <c r="AY266" s="4">
        <f t="shared" ca="1" si="962"/>
        <v>2054.7641934340736</v>
      </c>
      <c r="AZ266" s="24"/>
      <c r="BA266" s="237" t="s">
        <v>327</v>
      </c>
      <c r="BB266" s="4">
        <f>+SUM(BB261:BB265)</f>
        <v>481.05</v>
      </c>
      <c r="BC266" s="4">
        <f>+G266</f>
        <v>631.928</v>
      </c>
      <c r="BD266" s="4">
        <f>+K266</f>
        <v>768.01</v>
      </c>
      <c r="BE266" s="4">
        <f>+O266</f>
        <v>997.41499999999996</v>
      </c>
      <c r="BF266" s="4">
        <f>+S266</f>
        <v>1343.2170000000001</v>
      </c>
      <c r="BG266" s="4">
        <f>+W266</f>
        <v>1647.0229999999999</v>
      </c>
      <c r="BH266" s="4">
        <f>+AA266</f>
        <v>1962.4989999999998</v>
      </c>
      <c r="BI266" s="4">
        <f ca="1">+AE266</f>
        <v>2205.6394467469308</v>
      </c>
      <c r="BJ266" s="4">
        <f ca="1">+AI266</f>
        <v>2224.2583832874348</v>
      </c>
      <c r="BK266" s="4">
        <f ca="1">+AM266</f>
        <v>2191.1056989991766</v>
      </c>
      <c r="BL266" s="4">
        <f ca="1">+AQ266</f>
        <v>2146.6649686225614</v>
      </c>
      <c r="BM266" s="4">
        <f ca="1">+AU266</f>
        <v>2101.3655469452601</v>
      </c>
      <c r="BN266" s="4">
        <f ca="1">+AY266</f>
        <v>2054.7641934340736</v>
      </c>
    </row>
    <row r="267" spans="1:66">
      <c r="C267" s="4"/>
      <c r="D267" s="33"/>
      <c r="E267" s="33"/>
      <c r="F267" s="33"/>
      <c r="G267" s="4"/>
      <c r="H267" s="33"/>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24"/>
      <c r="BA267" s="237"/>
      <c r="BB267" s="4"/>
      <c r="BC267" s="4"/>
      <c r="BD267" s="4"/>
      <c r="BE267" s="4"/>
      <c r="BF267" s="4"/>
      <c r="BG267" s="4"/>
      <c r="BH267" s="4"/>
      <c r="BI267" s="4"/>
      <c r="BJ267" s="4"/>
      <c r="BK267" s="4"/>
      <c r="BL267" s="4"/>
      <c r="BM267" s="4"/>
      <c r="BN267" s="4"/>
    </row>
    <row r="268" spans="1:66">
      <c r="B268" t="s">
        <v>85</v>
      </c>
      <c r="C268" s="4"/>
      <c r="D268" s="210">
        <f>D242</f>
        <v>5.9289999999999941</v>
      </c>
      <c r="E268" s="210">
        <f>E242</f>
        <v>5.6609999999999845</v>
      </c>
      <c r="F268" s="210">
        <f>F242</f>
        <v>6.6090000000000151</v>
      </c>
      <c r="G268" s="7">
        <v>8.2319999999999993</v>
      </c>
      <c r="H268" s="33"/>
      <c r="I268" s="7">
        <v>4.7</v>
      </c>
      <c r="J268" s="7">
        <v>6.5039999999999996</v>
      </c>
      <c r="K268" s="7">
        <v>5.21</v>
      </c>
      <c r="L268" s="7">
        <v>7.9279999999999999</v>
      </c>
      <c r="M268" s="4">
        <f>+M242</f>
        <v>7.4890000000000061</v>
      </c>
      <c r="N268" s="4">
        <f>+N242</f>
        <v>5.044999999999968</v>
      </c>
      <c r="O268" s="4">
        <f>+O242</f>
        <v>10.787999999999963</v>
      </c>
      <c r="P268" s="4">
        <f>+P242</f>
        <v>5.747999999999978</v>
      </c>
      <c r="Q268" s="4">
        <f>+Q242</f>
        <v>10.743999999999991</v>
      </c>
      <c r="R268" s="4">
        <f t="shared" ref="R268:W268" si="963">+R242</f>
        <v>10.730000000000002</v>
      </c>
      <c r="S268" s="4">
        <f t="shared" si="963"/>
        <v>8.8040000000000216</v>
      </c>
      <c r="T268" s="4">
        <f t="shared" si="963"/>
        <v>9.7440000000000317</v>
      </c>
      <c r="U268" s="4">
        <f t="shared" si="963"/>
        <v>12.776000000000028</v>
      </c>
      <c r="V268" s="4">
        <f t="shared" si="963"/>
        <v>11.769000000000023</v>
      </c>
      <c r="W268" s="4">
        <f t="shared" si="963"/>
        <v>9.5800000000000018</v>
      </c>
      <c r="X268" s="4">
        <f>+X242</f>
        <v>18.257000000000019</v>
      </c>
      <c r="Y268" s="4">
        <f>+Y242</f>
        <v>42.603999999999985</v>
      </c>
      <c r="Z268" s="4">
        <f>+Z242</f>
        <v>9.2709999999999724</v>
      </c>
      <c r="AA268" s="4">
        <f>+AA242</f>
        <v>8.2429999999999382</v>
      </c>
      <c r="AB268" s="4">
        <f t="shared" ref="AB268:AM268" ca="1" si="964">+AB242</f>
        <v>24.133303567399672</v>
      </c>
      <c r="AC268" s="4">
        <f t="shared" ca="1" si="964"/>
        <v>14.999999999999979</v>
      </c>
      <c r="AD268" s="4">
        <f ca="1">+AD242</f>
        <v>15.000000000000036</v>
      </c>
      <c r="AE268" s="4">
        <f t="shared" ca="1" si="964"/>
        <v>14.999999999999957</v>
      </c>
      <c r="AF268" s="4">
        <f t="shared" ca="1" si="964"/>
        <v>14.999999999999851</v>
      </c>
      <c r="AG268" s="4">
        <f t="shared" ca="1" si="964"/>
        <v>15.000000000000107</v>
      </c>
      <c r="AH268" s="4">
        <f t="shared" ca="1" si="964"/>
        <v>15.000000000000014</v>
      </c>
      <c r="AI268" s="4">
        <f t="shared" ca="1" si="964"/>
        <v>15.000000000000014</v>
      </c>
      <c r="AJ268" s="4">
        <f t="shared" ca="1" si="964"/>
        <v>15.000000000000014</v>
      </c>
      <c r="AK268" s="4">
        <f t="shared" ca="1" si="964"/>
        <v>14.999999999999879</v>
      </c>
      <c r="AL268" s="4">
        <f t="shared" ca="1" si="964"/>
        <v>15.000000000000192</v>
      </c>
      <c r="AM268" s="4">
        <f t="shared" ca="1" si="964"/>
        <v>14.999999999999794</v>
      </c>
      <c r="AN268" s="4">
        <f t="shared" ref="AN268:AY268" ca="1" si="965">+AN242</f>
        <v>15.00000000000022</v>
      </c>
      <c r="AO268" s="4">
        <f t="shared" ca="1" si="965"/>
        <v>14.99999999999978</v>
      </c>
      <c r="AP268" s="4">
        <f t="shared" ca="1" si="965"/>
        <v>14.999999999999993</v>
      </c>
      <c r="AQ268" s="4">
        <f ca="1">+AQ242</f>
        <v>15.000000000000277</v>
      </c>
      <c r="AR268" s="4">
        <f t="shared" ca="1" si="965"/>
        <v>14.999999999999723</v>
      </c>
      <c r="AS268" s="4">
        <f t="shared" ca="1" si="965"/>
        <v>-465.99999999999994</v>
      </c>
      <c r="AT268" s="4">
        <f t="shared" ca="1" si="965"/>
        <v>14.999999999999943</v>
      </c>
      <c r="AU268" s="4">
        <f t="shared" ca="1" si="965"/>
        <v>254.00351402441791</v>
      </c>
      <c r="AV268" s="4">
        <f t="shared" ca="1" si="965"/>
        <v>239.06771425602943</v>
      </c>
      <c r="AW268" s="4">
        <f t="shared" ca="1" si="965"/>
        <v>230.39757672429124</v>
      </c>
      <c r="AX268" s="4">
        <f t="shared" ca="1" si="965"/>
        <v>223.02008795093971</v>
      </c>
      <c r="AY268" s="4">
        <f t="shared" ca="1" si="965"/>
        <v>219.04336438365968</v>
      </c>
      <c r="AZ268" s="24"/>
      <c r="BA268" s="237" t="s">
        <v>327</v>
      </c>
      <c r="BB268" s="7">
        <v>7.3419999999999996</v>
      </c>
      <c r="BC268" s="4">
        <f t="shared" ref="BC268:BC274" si="966">+G268</f>
        <v>8.2319999999999993</v>
      </c>
      <c r="BD268" s="4">
        <f t="shared" ref="BD268:BD274" si="967">+K268</f>
        <v>5.21</v>
      </c>
      <c r="BE268" s="4">
        <f t="shared" ref="BE268:BE274" si="968">+O268</f>
        <v>10.787999999999963</v>
      </c>
      <c r="BF268" s="4">
        <f t="shared" ref="BF268:BF274" si="969">+S268</f>
        <v>8.8040000000000216</v>
      </c>
      <c r="BG268" s="4">
        <f t="shared" ref="BG268:BG274" si="970">+W268</f>
        <v>9.5800000000000018</v>
      </c>
      <c r="BH268" s="4">
        <f t="shared" ref="BH268:BH274" si="971">+AA268</f>
        <v>8.2429999999999382</v>
      </c>
      <c r="BI268" s="4">
        <f t="shared" ref="BI268:BI274" ca="1" si="972">+AE268</f>
        <v>14.999999999999957</v>
      </c>
      <c r="BJ268" s="4">
        <f t="shared" ref="BJ268:BJ274" ca="1" si="973">+AI268</f>
        <v>15.000000000000014</v>
      </c>
      <c r="BK268" s="4">
        <f t="shared" ref="BK268:BK274" ca="1" si="974">+AM268</f>
        <v>14.999999999999794</v>
      </c>
      <c r="BL268" s="4">
        <f t="shared" ref="BL268:BL274" ca="1" si="975">+AQ268</f>
        <v>15.000000000000277</v>
      </c>
      <c r="BM268" s="4">
        <f t="shared" ref="BM268:BM274" ca="1" si="976">+AU268</f>
        <v>254.00351402441791</v>
      </c>
      <c r="BN268" s="4">
        <f t="shared" ref="BN268:BN274" ca="1" si="977">+AY268</f>
        <v>219.04336438365968</v>
      </c>
    </row>
    <row r="269" spans="1:66">
      <c r="B269" t="s">
        <v>56</v>
      </c>
      <c r="C269" s="4"/>
      <c r="D269" s="34"/>
      <c r="E269" s="34"/>
      <c r="F269" s="34"/>
      <c r="G269" s="7">
        <v>11.943</v>
      </c>
      <c r="H269" s="33"/>
      <c r="I269" s="7">
        <v>13.016</v>
      </c>
      <c r="J269" s="7">
        <v>12.53</v>
      </c>
      <c r="K269" s="7">
        <v>14.433999999999999</v>
      </c>
      <c r="L269" s="7">
        <v>11.497</v>
      </c>
      <c r="M269" s="7">
        <v>12.574</v>
      </c>
      <c r="N269" s="7">
        <v>13.928000000000001</v>
      </c>
      <c r="O269" s="7">
        <v>15.579000000000001</v>
      </c>
      <c r="P269" s="7">
        <v>16.73</v>
      </c>
      <c r="Q269" s="7">
        <v>30.547999999999998</v>
      </c>
      <c r="R269" s="7">
        <v>31.024000000000001</v>
      </c>
      <c r="S269" s="7">
        <v>28.233000000000001</v>
      </c>
      <c r="T269" s="7">
        <v>30.88</v>
      </c>
      <c r="U269" s="7">
        <v>35.225999999999999</v>
      </c>
      <c r="V269" s="7">
        <v>34.192</v>
      </c>
      <c r="W269" s="7">
        <v>41.54</v>
      </c>
      <c r="X269" s="7">
        <v>42.31</v>
      </c>
      <c r="Y269" s="7">
        <v>44.033000000000001</v>
      </c>
      <c r="Z269" s="7">
        <v>47.307000000000002</v>
      </c>
      <c r="AA269" s="7">
        <v>47.045999999999999</v>
      </c>
      <c r="AB269" s="4">
        <f t="shared" ref="AB269:AM269" ca="1" si="978">+AB304*AB$86/90</f>
        <v>39.971879342574759</v>
      </c>
      <c r="AC269" s="4">
        <f t="shared" ca="1" si="978"/>
        <v>40.632170211584636</v>
      </c>
      <c r="AD269" s="4">
        <f t="shared" ca="1" si="978"/>
        <v>41.375285135454405</v>
      </c>
      <c r="AE269" s="4">
        <f t="shared" ca="1" si="978"/>
        <v>41.865123276660583</v>
      </c>
      <c r="AF269" s="4">
        <f t="shared" ca="1" si="978"/>
        <v>42.237455461511054</v>
      </c>
      <c r="AG269" s="4">
        <f t="shared" ca="1" si="978"/>
        <v>43.472630176457436</v>
      </c>
      <c r="AH269" s="4">
        <f t="shared" ca="1" si="978"/>
        <v>44.664147217603542</v>
      </c>
      <c r="AI269" s="4">
        <f t="shared" ca="1" si="978"/>
        <v>45.610576154293753</v>
      </c>
      <c r="AJ269" s="4">
        <f t="shared" ca="1" si="978"/>
        <v>46.194109204633484</v>
      </c>
      <c r="AK269" s="4">
        <f t="shared" ca="1" si="978"/>
        <v>47.405299948661366</v>
      </c>
      <c r="AL269" s="4">
        <f t="shared" ca="1" si="978"/>
        <v>48.648365479300146</v>
      </c>
      <c r="AM269" s="4">
        <f t="shared" ca="1" si="978"/>
        <v>49.660994417932869</v>
      </c>
      <c r="AN269" s="4">
        <f t="shared" ref="AN269:AY269" ca="1" si="979">+AN304*AN$86/90</f>
        <v>50.297318865018113</v>
      </c>
      <c r="AO269" s="4">
        <f t="shared" ca="1" si="979"/>
        <v>51.605858191814875</v>
      </c>
      <c r="AP269" s="4">
        <f t="shared" ca="1" si="979"/>
        <v>52.949458082823767</v>
      </c>
      <c r="AQ269" s="4">
        <f t="shared" ca="1" si="979"/>
        <v>54.041828784664965</v>
      </c>
      <c r="AR269" s="4">
        <f t="shared" ca="1" si="979"/>
        <v>54.722610276411324</v>
      </c>
      <c r="AS269" s="4">
        <f t="shared" ca="1" si="979"/>
        <v>56.127977148296182</v>
      </c>
      <c r="AT269" s="4">
        <f t="shared" ca="1" si="979"/>
        <v>57.568307387758097</v>
      </c>
      <c r="AU269" s="4">
        <f t="shared" ca="1" si="979"/>
        <v>58.732666364055838</v>
      </c>
      <c r="AV269" s="4">
        <f t="shared" ca="1" si="979"/>
        <v>59.447096551382259</v>
      </c>
      <c r="AW269" s="4">
        <f t="shared" ca="1" si="979"/>
        <v>60.943317244462257</v>
      </c>
      <c r="AX269" s="4">
        <f t="shared" ca="1" si="979"/>
        <v>62.473734988213124</v>
      </c>
      <c r="AY269" s="4">
        <f t="shared" ca="1" si="979"/>
        <v>63.701632421095447</v>
      </c>
      <c r="AZ269" s="24"/>
      <c r="BA269" s="237" t="s">
        <v>327</v>
      </c>
      <c r="BB269" s="7">
        <v>11.345000000000001</v>
      </c>
      <c r="BC269" s="4">
        <f t="shared" si="966"/>
        <v>11.943</v>
      </c>
      <c r="BD269" s="4">
        <f t="shared" si="967"/>
        <v>14.433999999999999</v>
      </c>
      <c r="BE269" s="4">
        <f t="shared" si="968"/>
        <v>15.579000000000001</v>
      </c>
      <c r="BF269" s="4">
        <f t="shared" si="969"/>
        <v>28.233000000000001</v>
      </c>
      <c r="BG269" s="4">
        <f t="shared" si="970"/>
        <v>41.54</v>
      </c>
      <c r="BH269" s="4">
        <f t="shared" si="971"/>
        <v>47.045999999999999</v>
      </c>
      <c r="BI269" s="4">
        <f t="shared" ca="1" si="972"/>
        <v>41.865123276660583</v>
      </c>
      <c r="BJ269" s="4">
        <f t="shared" ca="1" si="973"/>
        <v>45.610576154293753</v>
      </c>
      <c r="BK269" s="4">
        <f t="shared" ca="1" si="974"/>
        <v>49.660994417932869</v>
      </c>
      <c r="BL269" s="4">
        <f t="shared" ca="1" si="975"/>
        <v>54.041828784664965</v>
      </c>
      <c r="BM269" s="4">
        <f t="shared" ca="1" si="976"/>
        <v>58.732666364055838</v>
      </c>
      <c r="BN269" s="4">
        <f t="shared" ca="1" si="977"/>
        <v>63.701632421095447</v>
      </c>
    </row>
    <row r="270" spans="1:66">
      <c r="B270" t="s">
        <v>86</v>
      </c>
      <c r="C270" s="4"/>
      <c r="D270" s="34"/>
      <c r="E270" s="34"/>
      <c r="F270" s="34"/>
      <c r="G270" s="7">
        <v>9.1449999999999996</v>
      </c>
      <c r="H270" s="33"/>
      <c r="I270" s="7">
        <v>7.7210000000000001</v>
      </c>
      <c r="J270" s="7">
        <v>6.85</v>
      </c>
      <c r="K270" s="7">
        <v>5.3959999999999999</v>
      </c>
      <c r="L270" s="7">
        <v>4.4130000000000003</v>
      </c>
      <c r="M270" s="7">
        <v>19.553999999999998</v>
      </c>
      <c r="N270" s="7">
        <v>18.745000000000001</v>
      </c>
      <c r="O270" s="7">
        <v>18</v>
      </c>
      <c r="P270" s="7">
        <v>17.262</v>
      </c>
      <c r="Q270" s="7">
        <v>122.005</v>
      </c>
      <c r="R270" s="7">
        <v>119.402</v>
      </c>
      <c r="S270" s="7">
        <v>115.702</v>
      </c>
      <c r="T270" s="7">
        <v>125.733</v>
      </c>
      <c r="U270" s="7">
        <v>142.84800000000001</v>
      </c>
      <c r="V270" s="7">
        <v>135.30600000000001</v>
      </c>
      <c r="W270" s="7">
        <v>129.75399999999999</v>
      </c>
      <c r="X270" s="7">
        <v>124.50700000000001</v>
      </c>
      <c r="Y270" s="7">
        <v>119.384</v>
      </c>
      <c r="Z270" s="7">
        <v>114.286</v>
      </c>
      <c r="AA270" s="7">
        <v>109.45099999999999</v>
      </c>
      <c r="AB270" s="4">
        <f t="shared" ref="AB270:AM270" si="980">+AA270</f>
        <v>109.45099999999999</v>
      </c>
      <c r="AC270" s="4">
        <f t="shared" si="980"/>
        <v>109.45099999999999</v>
      </c>
      <c r="AD270" s="4">
        <f t="shared" si="980"/>
        <v>109.45099999999999</v>
      </c>
      <c r="AE270" s="4">
        <f t="shared" si="980"/>
        <v>109.45099999999999</v>
      </c>
      <c r="AF270" s="4">
        <f t="shared" si="980"/>
        <v>109.45099999999999</v>
      </c>
      <c r="AG270" s="4">
        <f t="shared" si="980"/>
        <v>109.45099999999999</v>
      </c>
      <c r="AH270" s="4">
        <f t="shared" si="980"/>
        <v>109.45099999999999</v>
      </c>
      <c r="AI270" s="4">
        <f t="shared" si="980"/>
        <v>109.45099999999999</v>
      </c>
      <c r="AJ270" s="4">
        <f t="shared" si="980"/>
        <v>109.45099999999999</v>
      </c>
      <c r="AK270" s="4">
        <f t="shared" si="980"/>
        <v>109.45099999999999</v>
      </c>
      <c r="AL270" s="4">
        <f t="shared" si="980"/>
        <v>109.45099999999999</v>
      </c>
      <c r="AM270" s="4">
        <f t="shared" si="980"/>
        <v>109.45099999999999</v>
      </c>
      <c r="AN270" s="4">
        <f t="shared" ref="AN270:AN274" si="981">+AM270</f>
        <v>109.45099999999999</v>
      </c>
      <c r="AO270" s="4">
        <f t="shared" ref="AO270:AO274" si="982">+AN270</f>
        <v>109.45099999999999</v>
      </c>
      <c r="AP270" s="4">
        <f t="shared" ref="AP270:AP274" si="983">+AO270</f>
        <v>109.45099999999999</v>
      </c>
      <c r="AQ270" s="4">
        <f t="shared" ref="AQ270:AQ274" si="984">+AP270</f>
        <v>109.45099999999999</v>
      </c>
      <c r="AR270" s="4">
        <f t="shared" ref="AR270:AR274" si="985">+AQ270</f>
        <v>109.45099999999999</v>
      </c>
      <c r="AS270" s="4">
        <f t="shared" ref="AS270:AS274" si="986">+AR270</f>
        <v>109.45099999999999</v>
      </c>
      <c r="AT270" s="4">
        <f t="shared" ref="AT270:AT274" si="987">+AS270</f>
        <v>109.45099999999999</v>
      </c>
      <c r="AU270" s="4">
        <f t="shared" ref="AU270:AU274" si="988">+AT270</f>
        <v>109.45099999999999</v>
      </c>
      <c r="AV270" s="4">
        <f t="shared" ref="AV270:AV274" si="989">+AU270</f>
        <v>109.45099999999999</v>
      </c>
      <c r="AW270" s="4">
        <f t="shared" ref="AW270:AW274" si="990">+AV270</f>
        <v>109.45099999999999</v>
      </c>
      <c r="AX270" s="4">
        <f t="shared" ref="AX270:AX274" si="991">+AW270</f>
        <v>109.45099999999999</v>
      </c>
      <c r="AY270" s="4">
        <f t="shared" ref="AY270:AY274" si="992">+AX270</f>
        <v>109.45099999999999</v>
      </c>
      <c r="AZ270" s="24"/>
      <c r="BA270" s="237" t="s">
        <v>327</v>
      </c>
      <c r="BB270" s="7">
        <v>0.70299999999999996</v>
      </c>
      <c r="BC270" s="4">
        <f t="shared" si="966"/>
        <v>9.1449999999999996</v>
      </c>
      <c r="BD270" s="4">
        <f t="shared" si="967"/>
        <v>5.3959999999999999</v>
      </c>
      <c r="BE270" s="4">
        <f t="shared" si="968"/>
        <v>18</v>
      </c>
      <c r="BF270" s="4">
        <f t="shared" si="969"/>
        <v>115.702</v>
      </c>
      <c r="BG270" s="4">
        <f t="shared" si="970"/>
        <v>129.75399999999999</v>
      </c>
      <c r="BH270" s="4">
        <f t="shared" si="971"/>
        <v>109.45099999999999</v>
      </c>
      <c r="BI270" s="4">
        <f t="shared" si="972"/>
        <v>109.45099999999999</v>
      </c>
      <c r="BJ270" s="4">
        <f t="shared" si="973"/>
        <v>109.45099999999999</v>
      </c>
      <c r="BK270" s="4">
        <f t="shared" si="974"/>
        <v>109.45099999999999</v>
      </c>
      <c r="BL270" s="4">
        <f t="shared" si="975"/>
        <v>109.45099999999999</v>
      </c>
      <c r="BM270" s="4">
        <f t="shared" si="976"/>
        <v>109.45099999999999</v>
      </c>
      <c r="BN270" s="4">
        <f t="shared" si="977"/>
        <v>109.45099999999999</v>
      </c>
    </row>
    <row r="271" spans="1:66">
      <c r="B271" t="s">
        <v>87</v>
      </c>
      <c r="C271" s="4"/>
      <c r="D271" s="34"/>
      <c r="E271" s="34"/>
      <c r="F271" s="34"/>
      <c r="G271" s="7">
        <v>15.061999999999999</v>
      </c>
      <c r="H271" s="33"/>
      <c r="I271" s="7">
        <v>18.564</v>
      </c>
      <c r="J271" s="7">
        <v>19.190000000000001</v>
      </c>
      <c r="K271" s="7">
        <v>19.149999999999999</v>
      </c>
      <c r="L271" s="7">
        <v>19.157</v>
      </c>
      <c r="M271" s="7">
        <v>23.076000000000001</v>
      </c>
      <c r="N271" s="7">
        <v>33.686</v>
      </c>
      <c r="O271" s="7">
        <v>37.058</v>
      </c>
      <c r="P271" s="7">
        <v>37.902000000000001</v>
      </c>
      <c r="Q271" s="7">
        <v>38.012999999999998</v>
      </c>
      <c r="R271" s="7">
        <v>38.521999999999998</v>
      </c>
      <c r="S271" s="7">
        <v>40.212000000000003</v>
      </c>
      <c r="T271" s="7">
        <v>31.367000000000001</v>
      </c>
      <c r="U271" s="7">
        <v>34.920999999999999</v>
      </c>
      <c r="V271" s="7">
        <v>35.713999999999999</v>
      </c>
      <c r="W271" s="7">
        <v>38.506999999999998</v>
      </c>
      <c r="X271" s="7">
        <v>38.21</v>
      </c>
      <c r="Y271" s="7">
        <v>38.152000000000001</v>
      </c>
      <c r="Z271" s="7">
        <v>38.171999999999997</v>
      </c>
      <c r="AA271" s="7">
        <v>41.545000000000002</v>
      </c>
      <c r="AB271" s="4">
        <f t="shared" ref="AB271:AM271" si="993">+AA271</f>
        <v>41.545000000000002</v>
      </c>
      <c r="AC271" s="4">
        <f t="shared" si="993"/>
        <v>41.545000000000002</v>
      </c>
      <c r="AD271" s="4">
        <f t="shared" si="993"/>
        <v>41.545000000000002</v>
      </c>
      <c r="AE271" s="4">
        <f t="shared" si="993"/>
        <v>41.545000000000002</v>
      </c>
      <c r="AF271" s="4">
        <f t="shared" si="993"/>
        <v>41.545000000000002</v>
      </c>
      <c r="AG271" s="4">
        <f t="shared" si="993"/>
        <v>41.545000000000002</v>
      </c>
      <c r="AH271" s="4">
        <f t="shared" si="993"/>
        <v>41.545000000000002</v>
      </c>
      <c r="AI271" s="4">
        <f t="shared" si="993"/>
        <v>41.545000000000002</v>
      </c>
      <c r="AJ271" s="4">
        <f t="shared" si="993"/>
        <v>41.545000000000002</v>
      </c>
      <c r="AK271" s="4">
        <f t="shared" si="993"/>
        <v>41.545000000000002</v>
      </c>
      <c r="AL271" s="4">
        <f t="shared" si="993"/>
        <v>41.545000000000002</v>
      </c>
      <c r="AM271" s="4">
        <f t="shared" si="993"/>
        <v>41.545000000000002</v>
      </c>
      <c r="AN271" s="4">
        <f t="shared" si="981"/>
        <v>41.545000000000002</v>
      </c>
      <c r="AO271" s="4">
        <f t="shared" si="982"/>
        <v>41.545000000000002</v>
      </c>
      <c r="AP271" s="4">
        <f t="shared" si="983"/>
        <v>41.545000000000002</v>
      </c>
      <c r="AQ271" s="4">
        <f t="shared" si="984"/>
        <v>41.545000000000002</v>
      </c>
      <c r="AR271" s="4">
        <f t="shared" si="985"/>
        <v>41.545000000000002</v>
      </c>
      <c r="AS271" s="4">
        <f t="shared" si="986"/>
        <v>41.545000000000002</v>
      </c>
      <c r="AT271" s="4">
        <f t="shared" si="987"/>
        <v>41.545000000000002</v>
      </c>
      <c r="AU271" s="4">
        <f t="shared" si="988"/>
        <v>41.545000000000002</v>
      </c>
      <c r="AV271" s="4">
        <f t="shared" si="989"/>
        <v>41.545000000000002</v>
      </c>
      <c r="AW271" s="4">
        <f t="shared" si="990"/>
        <v>41.545000000000002</v>
      </c>
      <c r="AX271" s="4">
        <f t="shared" si="991"/>
        <v>41.545000000000002</v>
      </c>
      <c r="AY271" s="4">
        <f t="shared" si="992"/>
        <v>41.545000000000002</v>
      </c>
      <c r="AZ271" s="24"/>
      <c r="BA271" s="237" t="s">
        <v>327</v>
      </c>
      <c r="BB271" s="7">
        <v>10.782</v>
      </c>
      <c r="BC271" s="4">
        <f t="shared" si="966"/>
        <v>15.061999999999999</v>
      </c>
      <c r="BD271" s="4">
        <f t="shared" si="967"/>
        <v>19.149999999999999</v>
      </c>
      <c r="BE271" s="4">
        <f t="shared" si="968"/>
        <v>37.058</v>
      </c>
      <c r="BF271" s="4">
        <f t="shared" si="969"/>
        <v>40.212000000000003</v>
      </c>
      <c r="BG271" s="4">
        <f t="shared" si="970"/>
        <v>38.506999999999998</v>
      </c>
      <c r="BH271" s="4">
        <f t="shared" si="971"/>
        <v>41.545000000000002</v>
      </c>
      <c r="BI271" s="4">
        <f t="shared" si="972"/>
        <v>41.545000000000002</v>
      </c>
      <c r="BJ271" s="4">
        <f t="shared" si="973"/>
        <v>41.545000000000002</v>
      </c>
      <c r="BK271" s="4">
        <f t="shared" si="974"/>
        <v>41.545000000000002</v>
      </c>
      <c r="BL271" s="4">
        <f t="shared" si="975"/>
        <v>41.545000000000002</v>
      </c>
      <c r="BM271" s="4">
        <f t="shared" si="976"/>
        <v>41.545000000000002</v>
      </c>
      <c r="BN271" s="4">
        <f t="shared" si="977"/>
        <v>41.545000000000002</v>
      </c>
    </row>
    <row r="272" spans="1:66">
      <c r="B272" t="s">
        <v>58</v>
      </c>
      <c r="C272" s="4"/>
      <c r="D272" s="34"/>
      <c r="E272" s="34"/>
      <c r="F272" s="34"/>
      <c r="G272" s="7">
        <v>1.0109999999999999</v>
      </c>
      <c r="H272" s="33"/>
      <c r="I272" s="7">
        <v>2.0030000000000001</v>
      </c>
      <c r="J272" s="7">
        <v>2.5209999999999999</v>
      </c>
      <c r="K272" s="7">
        <v>1.7969999999999999</v>
      </c>
      <c r="L272" s="7">
        <v>4.8040000000000003</v>
      </c>
      <c r="M272" s="7">
        <v>4.298</v>
      </c>
      <c r="N272" s="7">
        <v>4.0419999999999998</v>
      </c>
      <c r="O272" s="7">
        <v>3.0790000000000002</v>
      </c>
      <c r="P272" s="7">
        <v>6.4770000000000003</v>
      </c>
      <c r="Q272" s="7">
        <v>7.1319999999999997</v>
      </c>
      <c r="R272" s="7">
        <v>9.0739999999999998</v>
      </c>
      <c r="S272" s="7">
        <v>6.5019999999999998</v>
      </c>
      <c r="T272" s="7">
        <v>10.644</v>
      </c>
      <c r="U272" s="7">
        <v>8.9469999999999992</v>
      </c>
      <c r="V272" s="7">
        <v>9.8350000000000009</v>
      </c>
      <c r="W272" s="7">
        <v>6.9180000000000001</v>
      </c>
      <c r="X272" s="7">
        <v>10.172000000000001</v>
      </c>
      <c r="Y272" s="7">
        <v>8.875</v>
      </c>
      <c r="Z272" s="7">
        <v>7.2089999999999996</v>
      </c>
      <c r="AA272" s="7">
        <v>6.1630000000000003</v>
      </c>
      <c r="AB272" s="4">
        <f t="shared" ref="AB272:AM273" si="994">+AA272</f>
        <v>6.1630000000000003</v>
      </c>
      <c r="AC272" s="4">
        <f t="shared" si="994"/>
        <v>6.1630000000000003</v>
      </c>
      <c r="AD272" s="4">
        <f t="shared" si="994"/>
        <v>6.1630000000000003</v>
      </c>
      <c r="AE272" s="4">
        <f t="shared" si="994"/>
        <v>6.1630000000000003</v>
      </c>
      <c r="AF272" s="4">
        <f t="shared" si="994"/>
        <v>6.1630000000000003</v>
      </c>
      <c r="AG272" s="4">
        <f t="shared" si="994"/>
        <v>6.1630000000000003</v>
      </c>
      <c r="AH272" s="4">
        <f t="shared" si="994"/>
        <v>6.1630000000000003</v>
      </c>
      <c r="AI272" s="4">
        <f t="shared" si="994"/>
        <v>6.1630000000000003</v>
      </c>
      <c r="AJ272" s="4">
        <f t="shared" si="994"/>
        <v>6.1630000000000003</v>
      </c>
      <c r="AK272" s="4">
        <f t="shared" si="994"/>
        <v>6.1630000000000003</v>
      </c>
      <c r="AL272" s="4">
        <f t="shared" si="994"/>
        <v>6.1630000000000003</v>
      </c>
      <c r="AM272" s="4">
        <f t="shared" si="994"/>
        <v>6.1630000000000003</v>
      </c>
      <c r="AN272" s="4">
        <f t="shared" si="981"/>
        <v>6.1630000000000003</v>
      </c>
      <c r="AO272" s="4">
        <f t="shared" si="982"/>
        <v>6.1630000000000003</v>
      </c>
      <c r="AP272" s="4">
        <f t="shared" si="983"/>
        <v>6.1630000000000003</v>
      </c>
      <c r="AQ272" s="4">
        <f t="shared" si="984"/>
        <v>6.1630000000000003</v>
      </c>
      <c r="AR272" s="4">
        <f t="shared" si="985"/>
        <v>6.1630000000000003</v>
      </c>
      <c r="AS272" s="4">
        <f t="shared" si="986"/>
        <v>6.1630000000000003</v>
      </c>
      <c r="AT272" s="4">
        <f t="shared" si="987"/>
        <v>6.1630000000000003</v>
      </c>
      <c r="AU272" s="4">
        <f t="shared" si="988"/>
        <v>6.1630000000000003</v>
      </c>
      <c r="AV272" s="4">
        <f t="shared" si="989"/>
        <v>6.1630000000000003</v>
      </c>
      <c r="AW272" s="4">
        <f t="shared" si="990"/>
        <v>6.1630000000000003</v>
      </c>
      <c r="AX272" s="4">
        <f t="shared" si="991"/>
        <v>6.1630000000000003</v>
      </c>
      <c r="AY272" s="4">
        <f t="shared" si="992"/>
        <v>6.1630000000000003</v>
      </c>
      <c r="AZ272" s="24"/>
      <c r="BA272" s="237" t="s">
        <v>327</v>
      </c>
      <c r="BB272" s="7">
        <v>1.069</v>
      </c>
      <c r="BC272" s="4">
        <f t="shared" si="966"/>
        <v>1.0109999999999999</v>
      </c>
      <c r="BD272" s="4">
        <f t="shared" si="967"/>
        <v>1.7969999999999999</v>
      </c>
      <c r="BE272" s="4">
        <f t="shared" si="968"/>
        <v>3.0790000000000002</v>
      </c>
      <c r="BF272" s="4">
        <f t="shared" si="969"/>
        <v>6.5019999999999998</v>
      </c>
      <c r="BG272" s="4">
        <f t="shared" si="970"/>
        <v>6.9180000000000001</v>
      </c>
      <c r="BH272" s="4">
        <f t="shared" si="971"/>
        <v>6.1630000000000003</v>
      </c>
      <c r="BI272" s="4">
        <f t="shared" si="972"/>
        <v>6.1630000000000003</v>
      </c>
      <c r="BJ272" s="4">
        <f t="shared" si="973"/>
        <v>6.1630000000000003</v>
      </c>
      <c r="BK272" s="4">
        <f t="shared" si="974"/>
        <v>6.1630000000000003</v>
      </c>
      <c r="BL272" s="4">
        <f t="shared" si="975"/>
        <v>6.1630000000000003</v>
      </c>
      <c r="BM272" s="4">
        <f t="shared" si="976"/>
        <v>6.1630000000000003</v>
      </c>
      <c r="BN272" s="4">
        <f t="shared" si="977"/>
        <v>6.1630000000000003</v>
      </c>
    </row>
    <row r="273" spans="2:66">
      <c r="B273" s="58" t="s">
        <v>431</v>
      </c>
      <c r="C273" s="4"/>
      <c r="D273" s="34"/>
      <c r="E273" s="34"/>
      <c r="F273" s="34"/>
      <c r="G273" s="7"/>
      <c r="H273" s="33"/>
      <c r="I273" s="7"/>
      <c r="J273" s="7"/>
      <c r="K273" s="7"/>
      <c r="L273" s="7"/>
      <c r="M273" s="7"/>
      <c r="N273" s="7"/>
      <c r="O273" s="7"/>
      <c r="P273" s="7"/>
      <c r="Q273" s="7">
        <v>173.23699999999999</v>
      </c>
      <c r="R273" s="7">
        <v>174.697</v>
      </c>
      <c r="S273" s="7">
        <v>181.738</v>
      </c>
      <c r="T273" s="7">
        <v>171.679</v>
      </c>
      <c r="U273" s="7">
        <v>173.84299999999999</v>
      </c>
      <c r="V273" s="7">
        <v>173.84299999999999</v>
      </c>
      <c r="W273" s="7">
        <v>173.84299999999999</v>
      </c>
      <c r="X273" s="7">
        <v>173.84299999999999</v>
      </c>
      <c r="Y273" s="7">
        <v>173.84299999999999</v>
      </c>
      <c r="Z273" s="7">
        <v>173.84299999999999</v>
      </c>
      <c r="AA273" s="7">
        <v>173.84299999999999</v>
      </c>
      <c r="AB273" s="4">
        <f t="shared" si="994"/>
        <v>173.84299999999999</v>
      </c>
      <c r="AC273" s="4">
        <f t="shared" si="994"/>
        <v>173.84299999999999</v>
      </c>
      <c r="AD273" s="4">
        <f t="shared" si="994"/>
        <v>173.84299999999999</v>
      </c>
      <c r="AE273" s="4">
        <f t="shared" si="994"/>
        <v>173.84299999999999</v>
      </c>
      <c r="AF273" s="4">
        <f t="shared" si="994"/>
        <v>173.84299999999999</v>
      </c>
      <c r="AG273" s="4">
        <f t="shared" si="994"/>
        <v>173.84299999999999</v>
      </c>
      <c r="AH273" s="4">
        <f t="shared" si="994"/>
        <v>173.84299999999999</v>
      </c>
      <c r="AI273" s="4">
        <f t="shared" si="994"/>
        <v>173.84299999999999</v>
      </c>
      <c r="AJ273" s="4">
        <f t="shared" si="994"/>
        <v>173.84299999999999</v>
      </c>
      <c r="AK273" s="4">
        <f t="shared" si="994"/>
        <v>173.84299999999999</v>
      </c>
      <c r="AL273" s="4">
        <f t="shared" si="994"/>
        <v>173.84299999999999</v>
      </c>
      <c r="AM273" s="4">
        <f t="shared" si="994"/>
        <v>173.84299999999999</v>
      </c>
      <c r="AN273" s="4">
        <f t="shared" si="981"/>
        <v>173.84299999999999</v>
      </c>
      <c r="AO273" s="4">
        <f t="shared" si="982"/>
        <v>173.84299999999999</v>
      </c>
      <c r="AP273" s="4">
        <f t="shared" si="983"/>
        <v>173.84299999999999</v>
      </c>
      <c r="AQ273" s="4">
        <f t="shared" si="984"/>
        <v>173.84299999999999</v>
      </c>
      <c r="AR273" s="4">
        <f t="shared" si="985"/>
        <v>173.84299999999999</v>
      </c>
      <c r="AS273" s="4">
        <f t="shared" si="986"/>
        <v>173.84299999999999</v>
      </c>
      <c r="AT273" s="4">
        <f t="shared" si="987"/>
        <v>173.84299999999999</v>
      </c>
      <c r="AU273" s="4">
        <f t="shared" si="988"/>
        <v>173.84299999999999</v>
      </c>
      <c r="AV273" s="4">
        <f t="shared" si="989"/>
        <v>173.84299999999999</v>
      </c>
      <c r="AW273" s="4">
        <f t="shared" si="990"/>
        <v>173.84299999999999</v>
      </c>
      <c r="AX273" s="4">
        <f t="shared" si="991"/>
        <v>173.84299999999999</v>
      </c>
      <c r="AY273" s="4">
        <f t="shared" si="992"/>
        <v>173.84299999999999</v>
      </c>
      <c r="AZ273" s="24"/>
      <c r="BA273" s="237"/>
      <c r="BB273" s="7"/>
      <c r="BC273" s="4"/>
      <c r="BD273" s="4"/>
      <c r="BE273" s="4"/>
      <c r="BF273" s="4">
        <f t="shared" si="969"/>
        <v>181.738</v>
      </c>
      <c r="BG273" s="4">
        <f>+W273</f>
        <v>173.84299999999999</v>
      </c>
      <c r="BH273" s="4">
        <f>+AA273</f>
        <v>173.84299999999999</v>
      </c>
      <c r="BI273" s="4">
        <f>+AE273</f>
        <v>173.84299999999999</v>
      </c>
      <c r="BJ273" s="4">
        <f>+AI273</f>
        <v>173.84299999999999</v>
      </c>
      <c r="BK273" s="4">
        <f>+AM273</f>
        <v>173.84299999999999</v>
      </c>
      <c r="BL273" s="4">
        <f t="shared" si="975"/>
        <v>173.84299999999999</v>
      </c>
      <c r="BM273" s="4">
        <f t="shared" si="976"/>
        <v>173.84299999999999</v>
      </c>
      <c r="BN273" s="4">
        <f t="shared" si="977"/>
        <v>173.84299999999999</v>
      </c>
    </row>
    <row r="274" spans="2:66">
      <c r="B274" t="s">
        <v>88</v>
      </c>
      <c r="C274" s="4"/>
      <c r="D274" s="34"/>
      <c r="E274" s="34"/>
      <c r="F274" s="34"/>
      <c r="G274" s="7">
        <f>7.976+0.146</f>
        <v>8.1219999999999999</v>
      </c>
      <c r="H274" s="33"/>
      <c r="I274" s="7">
        <v>10.667999999999999</v>
      </c>
      <c r="J274" s="7">
        <v>14.669</v>
      </c>
      <c r="K274" s="7">
        <v>17.359000000000002</v>
      </c>
      <c r="L274" s="7">
        <v>20.157</v>
      </c>
      <c r="M274" s="7">
        <v>19.989000000000001</v>
      </c>
      <c r="N274" s="7">
        <v>25.853000000000002</v>
      </c>
      <c r="O274" s="7">
        <v>24.64</v>
      </c>
      <c r="P274" s="7">
        <v>24.251999999999999</v>
      </c>
      <c r="Q274" s="7">
        <v>29.198</v>
      </c>
      <c r="R274" s="7">
        <v>29.445</v>
      </c>
      <c r="S274" s="7">
        <v>33.100999999999999</v>
      </c>
      <c r="T274" s="7">
        <v>35.180999999999997</v>
      </c>
      <c r="U274" s="7">
        <v>36.984000000000002</v>
      </c>
      <c r="V274" s="7">
        <v>37.813000000000002</v>
      </c>
      <c r="W274" s="7">
        <v>39.305</v>
      </c>
      <c r="X274" s="7">
        <v>43.779000000000003</v>
      </c>
      <c r="Y274" s="7">
        <v>59.119</v>
      </c>
      <c r="Z274" s="7">
        <v>63.155999999999999</v>
      </c>
      <c r="AA274" s="7">
        <v>66.266000000000005</v>
      </c>
      <c r="AB274" s="4">
        <f t="shared" ref="AB274:AM274" si="995">+AA274</f>
        <v>66.266000000000005</v>
      </c>
      <c r="AC274" s="4">
        <f t="shared" si="995"/>
        <v>66.266000000000005</v>
      </c>
      <c r="AD274" s="4">
        <f t="shared" si="995"/>
        <v>66.266000000000005</v>
      </c>
      <c r="AE274" s="4">
        <f t="shared" si="995"/>
        <v>66.266000000000005</v>
      </c>
      <c r="AF274" s="4">
        <f t="shared" si="995"/>
        <v>66.266000000000005</v>
      </c>
      <c r="AG274" s="4">
        <f t="shared" si="995"/>
        <v>66.266000000000005</v>
      </c>
      <c r="AH274" s="4">
        <f t="shared" si="995"/>
        <v>66.266000000000005</v>
      </c>
      <c r="AI274" s="4">
        <f t="shared" si="995"/>
        <v>66.266000000000005</v>
      </c>
      <c r="AJ274" s="4">
        <f t="shared" si="995"/>
        <v>66.266000000000005</v>
      </c>
      <c r="AK274" s="4">
        <f t="shared" si="995"/>
        <v>66.266000000000005</v>
      </c>
      <c r="AL274" s="4">
        <f t="shared" si="995"/>
        <v>66.266000000000005</v>
      </c>
      <c r="AM274" s="4">
        <f t="shared" si="995"/>
        <v>66.266000000000005</v>
      </c>
      <c r="AN274" s="4">
        <f t="shared" si="981"/>
        <v>66.266000000000005</v>
      </c>
      <c r="AO274" s="4">
        <f t="shared" si="982"/>
        <v>66.266000000000005</v>
      </c>
      <c r="AP274" s="4">
        <f t="shared" si="983"/>
        <v>66.266000000000005</v>
      </c>
      <c r="AQ274" s="4">
        <f t="shared" si="984"/>
        <v>66.266000000000005</v>
      </c>
      <c r="AR274" s="4">
        <f t="shared" si="985"/>
        <v>66.266000000000005</v>
      </c>
      <c r="AS274" s="4">
        <f t="shared" si="986"/>
        <v>66.266000000000005</v>
      </c>
      <c r="AT274" s="4">
        <f t="shared" si="987"/>
        <v>66.266000000000005</v>
      </c>
      <c r="AU274" s="4">
        <f t="shared" si="988"/>
        <v>66.266000000000005</v>
      </c>
      <c r="AV274" s="4">
        <f t="shared" si="989"/>
        <v>66.266000000000005</v>
      </c>
      <c r="AW274" s="4">
        <f t="shared" si="990"/>
        <v>66.266000000000005</v>
      </c>
      <c r="AX274" s="4">
        <f t="shared" si="991"/>
        <v>66.266000000000005</v>
      </c>
      <c r="AY274" s="4">
        <f t="shared" si="992"/>
        <v>66.266000000000005</v>
      </c>
      <c r="AZ274" s="24"/>
      <c r="BA274" s="237" t="s">
        <v>327</v>
      </c>
      <c r="BB274" s="7">
        <f>7.325+1.44</f>
        <v>8.7650000000000006</v>
      </c>
      <c r="BC274" s="4">
        <f t="shared" si="966"/>
        <v>8.1219999999999999</v>
      </c>
      <c r="BD274" s="4">
        <f t="shared" si="967"/>
        <v>17.359000000000002</v>
      </c>
      <c r="BE274" s="4">
        <f t="shared" si="968"/>
        <v>24.64</v>
      </c>
      <c r="BF274" s="4">
        <f t="shared" si="969"/>
        <v>33.100999999999999</v>
      </c>
      <c r="BG274" s="4">
        <f t="shared" si="970"/>
        <v>39.305</v>
      </c>
      <c r="BH274" s="4">
        <f t="shared" si="971"/>
        <v>66.266000000000005</v>
      </c>
      <c r="BI274" s="4">
        <f t="shared" si="972"/>
        <v>66.266000000000005</v>
      </c>
      <c r="BJ274" s="4">
        <f t="shared" si="973"/>
        <v>66.266000000000005</v>
      </c>
      <c r="BK274" s="4">
        <f t="shared" si="974"/>
        <v>66.266000000000005</v>
      </c>
      <c r="BL274" s="4">
        <f t="shared" si="975"/>
        <v>66.266000000000005</v>
      </c>
      <c r="BM274" s="4">
        <f t="shared" si="976"/>
        <v>66.266000000000005</v>
      </c>
      <c r="BN274" s="4">
        <f t="shared" si="977"/>
        <v>66.266000000000005</v>
      </c>
    </row>
    <row r="275" spans="2:66">
      <c r="C275" s="4"/>
      <c r="D275" s="34"/>
      <c r="E275" s="34"/>
      <c r="F275" s="34"/>
      <c r="G275" s="7"/>
      <c r="H275" s="33"/>
      <c r="I275" s="7"/>
      <c r="J275" s="7"/>
      <c r="K275" s="7"/>
      <c r="L275" s="7"/>
      <c r="M275" s="7"/>
      <c r="N275" s="7"/>
      <c r="O275" s="7"/>
      <c r="P275" s="7"/>
      <c r="Q275" s="7"/>
      <c r="R275" s="7"/>
      <c r="S275" s="7"/>
      <c r="T275" s="7"/>
      <c r="U275" s="7"/>
      <c r="V275" s="7"/>
      <c r="W275" s="7"/>
      <c r="X275" s="7"/>
      <c r="Y275" s="7"/>
      <c r="Z275" s="7"/>
      <c r="AA275" s="7"/>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24"/>
      <c r="BA275" s="237"/>
      <c r="BB275" s="4"/>
      <c r="BC275" s="4"/>
      <c r="BD275" s="4"/>
      <c r="BE275" s="4"/>
      <c r="BF275" s="4"/>
      <c r="BG275" s="4"/>
      <c r="BH275" s="4"/>
      <c r="BI275" s="4"/>
      <c r="BJ275" s="4"/>
      <c r="BK275" s="4"/>
      <c r="BL275" s="4"/>
      <c r="BM275" s="4"/>
      <c r="BN275" s="4"/>
    </row>
    <row r="276" spans="2:66">
      <c r="B276" t="s">
        <v>89</v>
      </c>
      <c r="D276" s="33"/>
      <c r="E276" s="33"/>
      <c r="F276" s="33"/>
      <c r="G276" s="4">
        <f>+SUM(G266:G275)</f>
        <v>685.44299999999987</v>
      </c>
      <c r="H276" s="32"/>
      <c r="I276" s="4">
        <f>+SUM(I266:I275)</f>
        <v>758.43200000000002</v>
      </c>
      <c r="J276" s="4">
        <f>+SUM(J266:J275)</f>
        <v>781.94700000000012</v>
      </c>
      <c r="K276" s="4">
        <f>+SUM(K266:K275)</f>
        <v>831.35599999999999</v>
      </c>
      <c r="L276" s="4">
        <f>+SUM(L266:L275)</f>
        <v>877.02100000000007</v>
      </c>
      <c r="M276" s="4">
        <f t="shared" ref="M276:R276" si="996">+SUM(M266:M275)</f>
        <v>990.92700000000002</v>
      </c>
      <c r="N276" s="4">
        <f t="shared" si="996"/>
        <v>1050.1490000000001</v>
      </c>
      <c r="O276" s="4">
        <f t="shared" si="996"/>
        <v>1106.559</v>
      </c>
      <c r="P276" s="4">
        <f t="shared" si="996"/>
        <v>1185.99</v>
      </c>
      <c r="Q276" s="4">
        <f t="shared" si="996"/>
        <v>1652.028</v>
      </c>
      <c r="R276" s="4">
        <f t="shared" si="996"/>
        <v>1705.4910000000002</v>
      </c>
      <c r="S276" s="4">
        <f t="shared" ref="S276:X276" si="997">+SUM(S266:S275)</f>
        <v>1757.509</v>
      </c>
      <c r="T276" s="4">
        <f t="shared" si="997"/>
        <v>1799.4080000000001</v>
      </c>
      <c r="U276" s="4">
        <f t="shared" si="997"/>
        <v>1946.6850000000002</v>
      </c>
      <c r="V276" s="4">
        <f t="shared" si="997"/>
        <v>1986.5870000000004</v>
      </c>
      <c r="W276" s="4">
        <f t="shared" si="997"/>
        <v>2086.4699999999998</v>
      </c>
      <c r="X276" s="4">
        <f t="shared" si="997"/>
        <v>2130.5820000000003</v>
      </c>
      <c r="Y276" s="4">
        <f>+SUM(Y266:Y275)</f>
        <v>2206.3830000000003</v>
      </c>
      <c r="Z276" s="4">
        <f>+SUM(Z266:Z275)</f>
        <v>2258.4459999999999</v>
      </c>
      <c r="AA276" s="4">
        <f>+SUM(AA266:AA275)</f>
        <v>2415.0559999999996</v>
      </c>
      <c r="AB276" s="4">
        <f t="shared" ref="AB276:AM276" ca="1" si="998">+SUM(AB266:AB275)</f>
        <v>2485.5574502620657</v>
      </c>
      <c r="AC276" s="4">
        <f t="shared" ca="1" si="998"/>
        <v>2538.1966315016234</v>
      </c>
      <c r="AD276" s="4">
        <f t="shared" ca="1" si="998"/>
        <v>2599.6472053056427</v>
      </c>
      <c r="AE276" s="4">
        <f t="shared" ca="1" si="998"/>
        <v>2659.7725700235915</v>
      </c>
      <c r="AF276" s="4">
        <f t="shared" ca="1" si="998"/>
        <v>2669.3104437741672</v>
      </c>
      <c r="AG276" s="4">
        <f t="shared" ca="1" si="998"/>
        <v>2676.8700661734238</v>
      </c>
      <c r="AH276" s="4">
        <f t="shared" ca="1" si="998"/>
        <v>2681.3468176014921</v>
      </c>
      <c r="AI276" s="4">
        <f t="shared" ca="1" si="998"/>
        <v>2682.1369594417283</v>
      </c>
      <c r="AJ276" s="4">
        <f t="shared" ca="1" si="998"/>
        <v>2678.6653876862483</v>
      </c>
      <c r="AK276" s="4">
        <f t="shared" ca="1" si="998"/>
        <v>2672.4880775008114</v>
      </c>
      <c r="AL276" s="4">
        <f t="shared" ca="1" si="998"/>
        <v>2662.908228357579</v>
      </c>
      <c r="AM276" s="4">
        <f t="shared" ca="1" si="998"/>
        <v>2653.0346934171093</v>
      </c>
      <c r="AN276" s="4">
        <f t="shared" ref="AN276:AY276" ca="1" si="999">+SUM(AN266:AN275)</f>
        <v>2642.3764213388763</v>
      </c>
      <c r="AO276" s="4">
        <f t="shared" ca="1" si="999"/>
        <v>2632.5513299897275</v>
      </c>
      <c r="AP276" s="4">
        <f t="shared" ca="1" si="999"/>
        <v>2622.927333222688</v>
      </c>
      <c r="AQ276" s="4">
        <f t="shared" ca="1" si="999"/>
        <v>2612.974797407227</v>
      </c>
      <c r="AR276" s="4">
        <f t="shared" ca="1" si="999"/>
        <v>2602.1561061873808</v>
      </c>
      <c r="AS276" s="4">
        <f t="shared" ca="1" si="999"/>
        <v>2111.2212918210512</v>
      </c>
      <c r="AT276" s="4">
        <f t="shared" ca="1" si="999"/>
        <v>2582.483846404446</v>
      </c>
      <c r="AU276" s="4">
        <f t="shared" ca="1" si="999"/>
        <v>2811.3697273337343</v>
      </c>
      <c r="AV276" s="4">
        <f t="shared" ca="1" si="999"/>
        <v>2785.3503263131556</v>
      </c>
      <c r="AW276" s="4">
        <f t="shared" ca="1" si="999"/>
        <v>2766.5250477830627</v>
      </c>
      <c r="AX276" s="4">
        <f t="shared" ca="1" si="999"/>
        <v>2749.1739812153983</v>
      </c>
      <c r="AY276" s="4">
        <f t="shared" ca="1" si="999"/>
        <v>2734.7771902388286</v>
      </c>
      <c r="AZ276" s="24"/>
      <c r="BA276" s="237" t="s">
        <v>327</v>
      </c>
      <c r="BB276" s="4">
        <f t="shared" ref="BB276:BG276" si="1000">+SUM(BB266:BB275)</f>
        <v>521.05599999999993</v>
      </c>
      <c r="BC276" s="4">
        <f t="shared" si="1000"/>
        <v>685.44299999999987</v>
      </c>
      <c r="BD276" s="4">
        <f t="shared" si="1000"/>
        <v>831.35599999999999</v>
      </c>
      <c r="BE276" s="4">
        <f t="shared" si="1000"/>
        <v>1106.559</v>
      </c>
      <c r="BF276" s="4">
        <f t="shared" si="1000"/>
        <v>1757.509</v>
      </c>
      <c r="BG276" s="4">
        <f t="shared" si="1000"/>
        <v>2086.4699999999998</v>
      </c>
      <c r="BH276" s="4">
        <f>+SUM(BH266:BH275)</f>
        <v>2415.0559999999996</v>
      </c>
      <c r="BI276" s="4">
        <f ca="1">+SUM(BI266:BI275)</f>
        <v>2659.7725700235915</v>
      </c>
      <c r="BJ276" s="4">
        <f ca="1">+SUM(BJ266:BJ275)</f>
        <v>2682.1369594417283</v>
      </c>
      <c r="BK276" s="4">
        <f ca="1">+SUM(BK266:BK275)</f>
        <v>2653.0346934171093</v>
      </c>
      <c r="BL276" s="4">
        <f t="shared" ref="BL276:BN276" ca="1" si="1001">+SUM(BL266:BL275)</f>
        <v>2612.974797407227</v>
      </c>
      <c r="BM276" s="4">
        <f t="shared" ca="1" si="1001"/>
        <v>2811.3697273337343</v>
      </c>
      <c r="BN276" s="4">
        <f t="shared" ca="1" si="1001"/>
        <v>2734.7771902388286</v>
      </c>
    </row>
    <row r="277" spans="2:66">
      <c r="D277" s="33"/>
      <c r="E277" s="33"/>
      <c r="F277" s="33"/>
      <c r="G277" s="4"/>
      <c r="H277" s="32"/>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24"/>
      <c r="BA277" s="237"/>
      <c r="BB277" s="4"/>
      <c r="BC277" s="4"/>
      <c r="BD277" s="4"/>
      <c r="BE277" s="4"/>
      <c r="BF277" s="4"/>
      <c r="BG277" s="4"/>
      <c r="BH277" s="4"/>
      <c r="BI277" s="4"/>
      <c r="BJ277" s="4"/>
      <c r="BK277" s="4"/>
      <c r="BL277" s="4"/>
      <c r="BM277" s="4"/>
      <c r="BN277" s="4"/>
    </row>
    <row r="278" spans="2:66">
      <c r="B278" t="s">
        <v>117</v>
      </c>
      <c r="D278" s="34"/>
      <c r="E278" s="34"/>
      <c r="F278" s="34"/>
      <c r="G278" s="7">
        <v>171.291</v>
      </c>
      <c r="H278" s="32"/>
      <c r="I278" s="7">
        <v>89.903000000000006</v>
      </c>
      <c r="J278" s="7">
        <v>89.376000000000005</v>
      </c>
      <c r="K278" s="7">
        <v>88.838999999999999</v>
      </c>
      <c r="L278" s="7">
        <v>88.293999999999997</v>
      </c>
      <c r="M278" s="7">
        <v>87.739000000000004</v>
      </c>
      <c r="N278" s="7">
        <v>87.174999999999997</v>
      </c>
      <c r="O278" s="7">
        <v>86.6</v>
      </c>
      <c r="P278" s="7">
        <v>86.016000000000005</v>
      </c>
      <c r="Q278" s="7">
        <v>70</v>
      </c>
      <c r="R278" s="7">
        <v>70</v>
      </c>
      <c r="S278" s="7"/>
      <c r="T278" s="7"/>
      <c r="U278" s="7"/>
      <c r="V278" s="7"/>
      <c r="W278" s="7"/>
      <c r="X278" s="7"/>
      <c r="Y278" s="7"/>
      <c r="Z278" s="7"/>
      <c r="AA278" s="7"/>
      <c r="AB278" s="4">
        <f t="shared" ref="AB278:AM278" si="1002">+AB482</f>
        <v>1.8660000000000001</v>
      </c>
      <c r="AC278" s="4">
        <f t="shared" si="1002"/>
        <v>1.8660000000000001</v>
      </c>
      <c r="AD278" s="4">
        <f t="shared" si="1002"/>
        <v>1.8660000000000001</v>
      </c>
      <c r="AE278" s="4">
        <f t="shared" si="1002"/>
        <v>1.8660000000000001</v>
      </c>
      <c r="AF278" s="4">
        <f t="shared" si="1002"/>
        <v>1.8660000000000001</v>
      </c>
      <c r="AG278" s="4">
        <f t="shared" si="1002"/>
        <v>1.8660000000000001</v>
      </c>
      <c r="AH278" s="4">
        <f t="shared" si="1002"/>
        <v>1.8660000000000001</v>
      </c>
      <c r="AI278" s="4">
        <f t="shared" si="1002"/>
        <v>1.8660000000000001</v>
      </c>
      <c r="AJ278" s="4">
        <f t="shared" si="1002"/>
        <v>1.8660000000000001</v>
      </c>
      <c r="AK278" s="4">
        <f t="shared" si="1002"/>
        <v>1.8660000000000001</v>
      </c>
      <c r="AL278" s="4">
        <f t="shared" si="1002"/>
        <v>1.8660000000000001</v>
      </c>
      <c r="AM278" s="4">
        <f t="shared" si="1002"/>
        <v>1.8660000000000001</v>
      </c>
      <c r="AN278" s="4">
        <f t="shared" ref="AN278:AY278" si="1003">+AN482</f>
        <v>1.8660000000000001</v>
      </c>
      <c r="AO278" s="4">
        <f t="shared" si="1003"/>
        <v>1.8660000000000001</v>
      </c>
      <c r="AP278" s="4">
        <f t="shared" si="1003"/>
        <v>1.8660000000000001</v>
      </c>
      <c r="AQ278" s="4">
        <f t="shared" si="1003"/>
        <v>1.8660000000000001</v>
      </c>
      <c r="AR278" s="4">
        <f t="shared" si="1003"/>
        <v>1.8660000000000001</v>
      </c>
      <c r="AS278" s="4">
        <f t="shared" si="1003"/>
        <v>0</v>
      </c>
      <c r="AT278" s="4">
        <f t="shared" si="1003"/>
        <v>0</v>
      </c>
      <c r="AU278" s="4">
        <f t="shared" si="1003"/>
        <v>0</v>
      </c>
      <c r="AV278" s="4">
        <f t="shared" si="1003"/>
        <v>0</v>
      </c>
      <c r="AW278" s="4">
        <f t="shared" si="1003"/>
        <v>0</v>
      </c>
      <c r="AX278" s="4">
        <f t="shared" si="1003"/>
        <v>0</v>
      </c>
      <c r="AY278" s="4">
        <f t="shared" si="1003"/>
        <v>0</v>
      </c>
      <c r="AZ278" s="24"/>
      <c r="BA278" s="237" t="s">
        <v>327</v>
      </c>
      <c r="BB278" s="7">
        <v>271.40600000000001</v>
      </c>
      <c r="BC278" s="4">
        <f t="shared" ref="BC278:BC287" si="1004">+G278</f>
        <v>171.291</v>
      </c>
      <c r="BD278" s="24">
        <f>+K278</f>
        <v>88.838999999999999</v>
      </c>
      <c r="BE278" s="4">
        <f>+O278</f>
        <v>86.6</v>
      </c>
      <c r="BF278" s="4">
        <f>+S278</f>
        <v>0</v>
      </c>
      <c r="BG278" s="4">
        <f>+W278</f>
        <v>0</v>
      </c>
      <c r="BH278" s="4">
        <f t="shared" ref="BH278:BH287" si="1005">+AA278</f>
        <v>0</v>
      </c>
      <c r="BI278" s="4">
        <f t="shared" ref="BI278:BI287" si="1006">+AE278</f>
        <v>1.8660000000000001</v>
      </c>
      <c r="BJ278" s="4">
        <f t="shared" ref="BJ278:BJ287" si="1007">+AI278</f>
        <v>1.8660000000000001</v>
      </c>
      <c r="BK278" s="4">
        <f t="shared" ref="BK278:BK287" si="1008">+AM278</f>
        <v>1.8660000000000001</v>
      </c>
      <c r="BL278" s="4">
        <f t="shared" ref="BL278:BL287" si="1009">+AQ278</f>
        <v>1.8660000000000001</v>
      </c>
      <c r="BM278" s="4">
        <f t="shared" ref="BM278:BM287" si="1010">+AU278</f>
        <v>0</v>
      </c>
      <c r="BN278" s="4">
        <f t="shared" ref="BN278:BN287" si="1011">+AY278</f>
        <v>0</v>
      </c>
    </row>
    <row r="279" spans="2:66">
      <c r="B279" t="s">
        <v>118</v>
      </c>
      <c r="D279" s="34"/>
      <c r="E279" s="34"/>
      <c r="F279" s="34"/>
      <c r="G279" s="7"/>
      <c r="H279" s="32"/>
      <c r="I279" s="7">
        <v>469</v>
      </c>
      <c r="J279" s="7">
        <v>520</v>
      </c>
      <c r="K279" s="7">
        <v>256.5</v>
      </c>
      <c r="L279" s="7">
        <v>314.5</v>
      </c>
      <c r="M279" s="7">
        <v>439</v>
      </c>
      <c r="N279" s="7">
        <v>197</v>
      </c>
      <c r="O279" s="7">
        <v>239.83799999999999</v>
      </c>
      <c r="P279" s="7">
        <v>140</v>
      </c>
      <c r="Q279" s="7">
        <v>330</v>
      </c>
      <c r="R279" s="7">
        <v>400</v>
      </c>
      <c r="S279" s="7">
        <v>524.00199999999995</v>
      </c>
      <c r="T279" s="7">
        <v>607.10500000000002</v>
      </c>
      <c r="U279" s="7">
        <v>493.255</v>
      </c>
      <c r="V279" s="7">
        <v>529.39499999999998</v>
      </c>
      <c r="W279" s="7">
        <v>634.93899999999996</v>
      </c>
      <c r="X279" s="7">
        <v>702.10500000000002</v>
      </c>
      <c r="Y279" s="7">
        <v>744.30700000000002</v>
      </c>
      <c r="Z279" s="7">
        <v>775.39800000000002</v>
      </c>
      <c r="AA279" s="7">
        <v>825.18600000000004</v>
      </c>
      <c r="AB279" s="4">
        <f t="shared" ref="AB279:AM279" ca="1" si="1012">+AB422+AB440+AB431</f>
        <v>831</v>
      </c>
      <c r="AC279" s="4">
        <f t="shared" ca="1" si="1012"/>
        <v>899.24548627224681</v>
      </c>
      <c r="AD279" s="4">
        <f t="shared" ca="1" si="1012"/>
        <v>977.68172623374107</v>
      </c>
      <c r="AE279" s="4">
        <f t="shared" ca="1" si="1012"/>
        <v>1055.8058152483457</v>
      </c>
      <c r="AF279" s="4">
        <f t="shared" ca="1" si="1012"/>
        <v>1085.8435860847103</v>
      </c>
      <c r="AG279" s="4">
        <f t="shared" ca="1" si="1012"/>
        <v>1114.4803862756953</v>
      </c>
      <c r="AH279" s="4">
        <f t="shared" ca="1" si="1012"/>
        <v>1139.6678582643601</v>
      </c>
      <c r="AI279" s="4">
        <f t="shared" ca="1" si="1012"/>
        <v>1159.6079971875488</v>
      </c>
      <c r="AJ279" s="4">
        <f t="shared" ca="1" si="1012"/>
        <v>1176.1335054217247</v>
      </c>
      <c r="AK279" s="4">
        <f t="shared" ca="1" si="1012"/>
        <v>1190.3824521184692</v>
      </c>
      <c r="AL279" s="4">
        <f t="shared" ca="1" si="1012"/>
        <v>1200.2677066389383</v>
      </c>
      <c r="AM279" s="4">
        <f t="shared" ca="1" si="1012"/>
        <v>1207.6962581308503</v>
      </c>
      <c r="AN279" s="4">
        <f t="shared" ref="AN279:AY279" ca="1" si="1013">+AN422+AN440+AN431</f>
        <v>1214.8039802166613</v>
      </c>
      <c r="AO279" s="4">
        <f t="shared" ca="1" si="1013"/>
        <v>1225.5828968167712</v>
      </c>
      <c r="AP279" s="4">
        <f t="shared" ca="1" si="1013"/>
        <v>1235.4198495620362</v>
      </c>
      <c r="AQ279" s="4">
        <f ca="1">+AQ422+AQ440+AQ431</f>
        <v>1242.5026550089583</v>
      </c>
      <c r="AR279" s="4">
        <f t="shared" ca="1" si="1013"/>
        <v>1249.2683647341687</v>
      </c>
      <c r="AS279" s="4">
        <f t="shared" ca="1" si="1013"/>
        <v>781.35781938858941</v>
      </c>
      <c r="AT279" s="4">
        <f t="shared" ca="1" si="1013"/>
        <v>820</v>
      </c>
      <c r="AU279" s="4">
        <f t="shared" ca="1" si="1013"/>
        <v>820</v>
      </c>
      <c r="AV279" s="4">
        <f t="shared" ca="1" si="1013"/>
        <v>820</v>
      </c>
      <c r="AW279" s="4">
        <f t="shared" ca="1" si="1013"/>
        <v>820</v>
      </c>
      <c r="AX279" s="4">
        <f t="shared" ca="1" si="1013"/>
        <v>820</v>
      </c>
      <c r="AY279" s="4">
        <f t="shared" ca="1" si="1013"/>
        <v>820</v>
      </c>
      <c r="AZ279" s="24"/>
      <c r="BA279" s="237" t="s">
        <v>327</v>
      </c>
      <c r="BB279" s="7"/>
      <c r="BC279" s="4">
        <f t="shared" si="1004"/>
        <v>0</v>
      </c>
      <c r="BD279" s="24">
        <f>+K279</f>
        <v>256.5</v>
      </c>
      <c r="BE279" s="4">
        <f>+O279</f>
        <v>239.83799999999999</v>
      </c>
      <c r="BF279" s="4">
        <f>+S279</f>
        <v>524.00199999999995</v>
      </c>
      <c r="BG279" s="4">
        <f>+W279</f>
        <v>634.93899999999996</v>
      </c>
      <c r="BH279" s="4">
        <f t="shared" si="1005"/>
        <v>825.18600000000004</v>
      </c>
      <c r="BI279" s="4">
        <f t="shared" ca="1" si="1006"/>
        <v>1055.8058152483457</v>
      </c>
      <c r="BJ279" s="4">
        <f t="shared" ca="1" si="1007"/>
        <v>1159.6079971875488</v>
      </c>
      <c r="BK279" s="4">
        <f t="shared" ca="1" si="1008"/>
        <v>1207.6962581308503</v>
      </c>
      <c r="BL279" s="4">
        <f t="shared" ca="1" si="1009"/>
        <v>1242.5026550089583</v>
      </c>
      <c r="BM279" s="4">
        <f t="shared" ca="1" si="1010"/>
        <v>820</v>
      </c>
      <c r="BN279" s="4">
        <f t="shared" ca="1" si="1011"/>
        <v>820</v>
      </c>
    </row>
    <row r="280" spans="2:66">
      <c r="B280" t="s">
        <v>294</v>
      </c>
      <c r="D280" s="34"/>
      <c r="E280" s="34"/>
      <c r="F280" s="34"/>
      <c r="G280" s="7">
        <v>316.5</v>
      </c>
      <c r="H280" s="32"/>
      <c r="I280" s="7"/>
      <c r="J280" s="7"/>
      <c r="K280" s="7"/>
      <c r="L280" s="7"/>
      <c r="M280" s="7"/>
      <c r="N280" s="7">
        <v>297.67099999999999</v>
      </c>
      <c r="O280" s="7">
        <v>297.72899999999998</v>
      </c>
      <c r="P280" s="7">
        <v>297.791</v>
      </c>
      <c r="Q280" s="7">
        <v>297.85199999999998</v>
      </c>
      <c r="R280" s="7">
        <v>297.91399999999999</v>
      </c>
      <c r="S280" s="7">
        <v>297.976</v>
      </c>
      <c r="T280" s="7">
        <v>291.18599999999998</v>
      </c>
      <c r="U280" s="7">
        <v>291.52100000000002</v>
      </c>
      <c r="V280" s="7">
        <v>291.84199999999998</v>
      </c>
      <c r="W280" s="7">
        <v>292.17899999999997</v>
      </c>
      <c r="X280" s="7">
        <v>292.51799999999997</v>
      </c>
      <c r="Y280" s="7">
        <v>292.858</v>
      </c>
      <c r="Z280" s="7">
        <v>293.19200000000001</v>
      </c>
      <c r="AA280" s="7">
        <v>394.178</v>
      </c>
      <c r="AB280" s="4">
        <f t="shared" ref="AB280:AM280" si="1014">+AB449</f>
        <v>388.36399999999998</v>
      </c>
      <c r="AC280" s="4">
        <f t="shared" si="1014"/>
        <v>388.36399999999998</v>
      </c>
      <c r="AD280" s="4">
        <f t="shared" si="1014"/>
        <v>388.36399999999998</v>
      </c>
      <c r="AE280" s="4">
        <f t="shared" si="1014"/>
        <v>388.36399999999998</v>
      </c>
      <c r="AF280" s="4">
        <f t="shared" si="1014"/>
        <v>388.36399999999998</v>
      </c>
      <c r="AG280" s="4">
        <f t="shared" si="1014"/>
        <v>388.36399999999998</v>
      </c>
      <c r="AH280" s="4">
        <f t="shared" si="1014"/>
        <v>388.36399999999998</v>
      </c>
      <c r="AI280" s="4">
        <f t="shared" si="1014"/>
        <v>388.36399999999998</v>
      </c>
      <c r="AJ280" s="4">
        <f t="shared" si="1014"/>
        <v>388.36399999999998</v>
      </c>
      <c r="AK280" s="4">
        <f t="shared" si="1014"/>
        <v>388.36399999999998</v>
      </c>
      <c r="AL280" s="4">
        <f t="shared" si="1014"/>
        <v>388.36399999999998</v>
      </c>
      <c r="AM280" s="4">
        <f t="shared" si="1014"/>
        <v>388.36399999999998</v>
      </c>
      <c r="AN280" s="4">
        <f t="shared" ref="AN280:AY280" si="1015">+AN449</f>
        <v>388.36399999999998</v>
      </c>
      <c r="AO280" s="4">
        <f t="shared" si="1015"/>
        <v>388.36399999999998</v>
      </c>
      <c r="AP280" s="4">
        <f t="shared" si="1015"/>
        <v>388.36399999999998</v>
      </c>
      <c r="AQ280" s="4">
        <f t="shared" si="1015"/>
        <v>388.36399999999998</v>
      </c>
      <c r="AR280" s="4">
        <f t="shared" si="1015"/>
        <v>388.36399999999998</v>
      </c>
      <c r="AS280" s="4">
        <f t="shared" si="1015"/>
        <v>388.36399999999998</v>
      </c>
      <c r="AT280" s="4">
        <f t="shared" si="1015"/>
        <v>388.36399999999998</v>
      </c>
      <c r="AU280" s="4">
        <f t="shared" si="1015"/>
        <v>388.36399999999998</v>
      </c>
      <c r="AV280" s="4">
        <f t="shared" si="1015"/>
        <v>388.36399999999998</v>
      </c>
      <c r="AW280" s="4">
        <f t="shared" si="1015"/>
        <v>388.36399999999998</v>
      </c>
      <c r="AX280" s="4">
        <f t="shared" si="1015"/>
        <v>388.36399999999998</v>
      </c>
      <c r="AY280" s="4">
        <f t="shared" si="1015"/>
        <v>388.36399999999998</v>
      </c>
      <c r="AZ280" s="24"/>
      <c r="BA280" s="237" t="s">
        <v>327</v>
      </c>
      <c r="BB280" s="7">
        <v>136.5</v>
      </c>
      <c r="BC280" s="4">
        <f t="shared" si="1004"/>
        <v>316.5</v>
      </c>
      <c r="BD280" s="24">
        <f>+K280</f>
        <v>0</v>
      </c>
      <c r="BE280" s="4">
        <f>+O280</f>
        <v>297.72899999999998</v>
      </c>
      <c r="BF280" s="4">
        <f>+S280</f>
        <v>297.976</v>
      </c>
      <c r="BG280" s="4">
        <f>+W280</f>
        <v>292.17899999999997</v>
      </c>
      <c r="BH280" s="4">
        <f t="shared" si="1005"/>
        <v>394.178</v>
      </c>
      <c r="BI280" s="4">
        <f t="shared" si="1006"/>
        <v>388.36399999999998</v>
      </c>
      <c r="BJ280" s="4">
        <f t="shared" si="1007"/>
        <v>388.36399999999998</v>
      </c>
      <c r="BK280" s="4">
        <f t="shared" si="1008"/>
        <v>388.36399999999998</v>
      </c>
      <c r="BL280" s="4">
        <f t="shared" si="1009"/>
        <v>388.36399999999998</v>
      </c>
      <c r="BM280" s="4">
        <f t="shared" si="1010"/>
        <v>388.36399999999998</v>
      </c>
      <c r="BN280" s="4">
        <f t="shared" si="1011"/>
        <v>388.36399999999998</v>
      </c>
    </row>
    <row r="281" spans="2:66">
      <c r="B281" t="s">
        <v>90</v>
      </c>
      <c r="D281" s="34"/>
      <c r="E281" s="34"/>
      <c r="F281" s="34"/>
      <c r="G281" s="7">
        <v>2.4910000000000001</v>
      </c>
      <c r="H281" s="32"/>
      <c r="I281" s="7">
        <v>2.1629999999999998</v>
      </c>
      <c r="J281" s="7">
        <v>1.9950000000000001</v>
      </c>
      <c r="K281" s="7">
        <v>2.5379999999999998</v>
      </c>
      <c r="L281" s="7">
        <v>2.7280000000000002</v>
      </c>
      <c r="M281" s="7">
        <v>4.4409999999999998</v>
      </c>
      <c r="N281" s="7">
        <v>9.0419999999999998</v>
      </c>
      <c r="O281" s="7">
        <v>13.061999999999999</v>
      </c>
      <c r="P281" s="7">
        <v>13.509</v>
      </c>
      <c r="Q281" s="7">
        <v>56.210999999999999</v>
      </c>
      <c r="R281" s="7">
        <v>53.023000000000003</v>
      </c>
      <c r="S281" s="7">
        <v>49.761000000000003</v>
      </c>
      <c r="T281" s="7">
        <v>46.665999999999997</v>
      </c>
      <c r="U281" s="7">
        <v>43.44</v>
      </c>
      <c r="V281" s="7">
        <v>41.825000000000003</v>
      </c>
      <c r="W281" s="7">
        <v>38.707999999999998</v>
      </c>
      <c r="X281" s="7">
        <v>37.365000000000002</v>
      </c>
      <c r="Y281" s="7">
        <v>34.058999999999997</v>
      </c>
      <c r="Z281" s="7">
        <v>30.725000000000001</v>
      </c>
      <c r="AA281" s="7">
        <v>10.565</v>
      </c>
      <c r="AB281" s="4">
        <f t="shared" ref="AB281:AM281" si="1016">+AB484</f>
        <v>8.6990000000000016</v>
      </c>
      <c r="AC281" s="4">
        <f t="shared" si="1016"/>
        <v>8.6990000000000016</v>
      </c>
      <c r="AD281" s="4">
        <f t="shared" si="1016"/>
        <v>8.6990000000000016</v>
      </c>
      <c r="AE281" s="4">
        <f t="shared" si="1016"/>
        <v>8.6990000000000016</v>
      </c>
      <c r="AF281" s="4">
        <f t="shared" si="1016"/>
        <v>8.6990000000000016</v>
      </c>
      <c r="AG281" s="4">
        <f t="shared" si="1016"/>
        <v>8.6990000000000016</v>
      </c>
      <c r="AH281" s="4">
        <f t="shared" si="1016"/>
        <v>8.6990000000000016</v>
      </c>
      <c r="AI281" s="4">
        <f t="shared" si="1016"/>
        <v>8.6990000000000016</v>
      </c>
      <c r="AJ281" s="4">
        <f t="shared" si="1016"/>
        <v>8.6990000000000016</v>
      </c>
      <c r="AK281" s="4">
        <f t="shared" si="1016"/>
        <v>8.6990000000000016</v>
      </c>
      <c r="AL281" s="4">
        <f t="shared" si="1016"/>
        <v>8.6990000000000016</v>
      </c>
      <c r="AM281" s="4">
        <f t="shared" si="1016"/>
        <v>8.6990000000000016</v>
      </c>
      <c r="AN281" s="4">
        <f t="shared" ref="AN281:AY281" si="1017">+AN484</f>
        <v>8.6990000000000016</v>
      </c>
      <c r="AO281" s="4">
        <f t="shared" si="1017"/>
        <v>8.6990000000000016</v>
      </c>
      <c r="AP281" s="4">
        <f t="shared" si="1017"/>
        <v>8.6990000000000016</v>
      </c>
      <c r="AQ281" s="4">
        <f t="shared" si="1017"/>
        <v>8.6990000000000016</v>
      </c>
      <c r="AR281" s="4">
        <f t="shared" si="1017"/>
        <v>8.6990000000000016</v>
      </c>
      <c r="AS281" s="4">
        <f t="shared" si="1017"/>
        <v>8.6990000000000016</v>
      </c>
      <c r="AT281" s="4">
        <f t="shared" si="1017"/>
        <v>8.6990000000000016</v>
      </c>
      <c r="AU281" s="4">
        <f t="shared" si="1017"/>
        <v>8.6990000000000016</v>
      </c>
      <c r="AV281" s="4">
        <f t="shared" si="1017"/>
        <v>8.6990000000000016</v>
      </c>
      <c r="AW281" s="4">
        <f t="shared" si="1017"/>
        <v>8.6990000000000016</v>
      </c>
      <c r="AX281" s="4">
        <f t="shared" si="1017"/>
        <v>8.6990000000000016</v>
      </c>
      <c r="AY281" s="4">
        <f t="shared" si="1017"/>
        <v>8.6990000000000016</v>
      </c>
      <c r="AZ281" s="24"/>
      <c r="BA281" s="237" t="s">
        <v>327</v>
      </c>
      <c r="BB281" s="7">
        <v>1.72</v>
      </c>
      <c r="BC281" s="4">
        <f t="shared" si="1004"/>
        <v>2.4910000000000001</v>
      </c>
      <c r="BD281" s="24">
        <f t="shared" ref="BD281:BD287" si="1018">+K281</f>
        <v>2.5379999999999998</v>
      </c>
      <c r="BE281" s="4">
        <f t="shared" ref="BE281:BE287" si="1019">+O281</f>
        <v>13.061999999999999</v>
      </c>
      <c r="BF281" s="4">
        <f t="shared" ref="BF281:BF287" si="1020">+S281</f>
        <v>49.761000000000003</v>
      </c>
      <c r="BG281" s="4">
        <f t="shared" ref="BG281:BG287" si="1021">+W281</f>
        <v>38.707999999999998</v>
      </c>
      <c r="BH281" s="4">
        <f t="shared" si="1005"/>
        <v>10.565</v>
      </c>
      <c r="BI281" s="4">
        <f t="shared" si="1006"/>
        <v>8.6990000000000016</v>
      </c>
      <c r="BJ281" s="4">
        <f t="shared" si="1007"/>
        <v>8.6990000000000016</v>
      </c>
      <c r="BK281" s="4">
        <f t="shared" si="1008"/>
        <v>8.6990000000000016</v>
      </c>
      <c r="BL281" s="4">
        <f t="shared" si="1009"/>
        <v>8.6990000000000016</v>
      </c>
      <c r="BM281" s="4">
        <f t="shared" si="1010"/>
        <v>8.6990000000000016</v>
      </c>
      <c r="BN281" s="4">
        <f t="shared" si="1011"/>
        <v>8.6990000000000016</v>
      </c>
    </row>
    <row r="282" spans="2:66">
      <c r="B282" t="s">
        <v>353</v>
      </c>
      <c r="D282" s="33"/>
      <c r="E282" s="33"/>
      <c r="F282" s="33"/>
      <c r="G282" s="4"/>
      <c r="H282" s="32"/>
      <c r="I282" s="4"/>
      <c r="J282" s="4"/>
      <c r="K282" s="7">
        <v>8.9649999999999999</v>
      </c>
      <c r="L282" s="7">
        <v>10.832000000000001</v>
      </c>
      <c r="M282" s="7">
        <v>10.657</v>
      </c>
      <c r="N282" s="7">
        <v>10.541</v>
      </c>
      <c r="O282" s="7">
        <v>10.705</v>
      </c>
      <c r="P282" s="7">
        <v>13.381</v>
      </c>
      <c r="Q282" s="7">
        <v>15.321999999999999</v>
      </c>
      <c r="R282" s="7">
        <v>15.349</v>
      </c>
      <c r="S282" s="7">
        <v>15.378</v>
      </c>
      <c r="T282" s="7">
        <v>17.358000000000001</v>
      </c>
      <c r="U282" s="7">
        <v>19.692</v>
      </c>
      <c r="V282" s="7">
        <v>19.652999999999999</v>
      </c>
      <c r="W282" s="7">
        <v>19.634</v>
      </c>
      <c r="X282" s="7">
        <v>21.382000000000001</v>
      </c>
      <c r="Y282" s="7">
        <v>21.606000000000002</v>
      </c>
      <c r="Z282" s="7">
        <v>22.23</v>
      </c>
      <c r="AA282" s="7">
        <v>22.222000000000001</v>
      </c>
      <c r="AB282" s="4">
        <f t="shared" ref="AB282:AY282" ca="1" si="1022">+AA282+AB185-AA185</f>
        <v>23.409282039604559</v>
      </c>
      <c r="AC282" s="4">
        <f t="shared" ca="1" si="1022"/>
        <v>23.441400254511148</v>
      </c>
      <c r="AD282" s="4">
        <f t="shared" ca="1" si="1022"/>
        <v>23.474105874045669</v>
      </c>
      <c r="AE282" s="4">
        <f t="shared" ca="1" si="1022"/>
        <v>23.507198692359058</v>
      </c>
      <c r="AF282" s="4">
        <f t="shared" ca="1" si="1022"/>
        <v>24.605021321860043</v>
      </c>
      <c r="AG282" s="4">
        <f t="shared" ca="1" si="1022"/>
        <v>24.640918184866702</v>
      </c>
      <c r="AH282" s="4">
        <f t="shared" ca="1" si="1022"/>
        <v>24.677798924943197</v>
      </c>
      <c r="AI282" s="4">
        <f t="shared" ca="1" si="1022"/>
        <v>24.715461164315876</v>
      </c>
      <c r="AJ282" s="4">
        <f t="shared" ca="1" si="1022"/>
        <v>25.310233961987354</v>
      </c>
      <c r="AK282" s="4">
        <f t="shared" ca="1" si="1022"/>
        <v>25.350247372700927</v>
      </c>
      <c r="AL282" s="4">
        <f t="shared" ca="1" si="1022"/>
        <v>25.391310018240045</v>
      </c>
      <c r="AM282" s="4">
        <f t="shared" ca="1" si="1022"/>
        <v>25.433227393897219</v>
      </c>
      <c r="AN282" s="4">
        <f t="shared" ca="1" si="1022"/>
        <v>28.648773219193053</v>
      </c>
      <c r="AO282" s="4">
        <f t="shared" ca="1" si="1022"/>
        <v>28.697691599835245</v>
      </c>
      <c r="AP282" s="4">
        <f t="shared" ca="1" si="1022"/>
        <v>28.747883609735869</v>
      </c>
      <c r="AQ282" s="4">
        <f t="shared" ca="1" si="1022"/>
        <v>28.799111102964684</v>
      </c>
      <c r="AR282" s="4">
        <f t="shared" ca="1" si="1022"/>
        <v>33.675818509125307</v>
      </c>
      <c r="AS282" s="4">
        <f t="shared" ca="1" si="1022"/>
        <v>33.73782538235249</v>
      </c>
      <c r="AT282" s="4">
        <f t="shared" ca="1" si="1022"/>
        <v>41.365461456230932</v>
      </c>
      <c r="AU282" s="4">
        <f t="shared" ca="1" si="1022"/>
        <v>45.638710593246323</v>
      </c>
      <c r="AV282" s="4">
        <f t="shared" ca="1" si="1022"/>
        <v>38.993639834068894</v>
      </c>
      <c r="AW282" s="4">
        <f t="shared" ca="1" si="1022"/>
        <v>39.051148319215386</v>
      </c>
      <c r="AX282" s="4">
        <f t="shared" ca="1" si="1022"/>
        <v>39.11010096608566</v>
      </c>
      <c r="AY282" s="4">
        <f t="shared" ca="1" si="1022"/>
        <v>39.170212304744844</v>
      </c>
      <c r="AZ282" s="24"/>
      <c r="BA282" s="237" t="s">
        <v>327</v>
      </c>
      <c r="BB282" s="7"/>
      <c r="BC282" s="4">
        <f t="shared" si="1004"/>
        <v>0</v>
      </c>
      <c r="BD282" s="24">
        <f t="shared" si="1018"/>
        <v>8.9649999999999999</v>
      </c>
      <c r="BE282" s="4">
        <f t="shared" si="1019"/>
        <v>10.705</v>
      </c>
      <c r="BF282" s="4">
        <f t="shared" si="1020"/>
        <v>15.378</v>
      </c>
      <c r="BG282" s="4">
        <f t="shared" si="1021"/>
        <v>19.634</v>
      </c>
      <c r="BH282" s="4">
        <f t="shared" si="1005"/>
        <v>22.222000000000001</v>
      </c>
      <c r="BI282" s="4">
        <f t="shared" ca="1" si="1006"/>
        <v>23.507198692359058</v>
      </c>
      <c r="BJ282" s="4">
        <f t="shared" ca="1" si="1007"/>
        <v>24.715461164315876</v>
      </c>
      <c r="BK282" s="4">
        <f t="shared" ca="1" si="1008"/>
        <v>25.433227393897219</v>
      </c>
      <c r="BL282" s="4">
        <f t="shared" ca="1" si="1009"/>
        <v>28.799111102964684</v>
      </c>
      <c r="BM282" s="4">
        <f t="shared" ca="1" si="1010"/>
        <v>45.638710593246323</v>
      </c>
      <c r="BN282" s="4">
        <f t="shared" ca="1" si="1011"/>
        <v>39.170212304744844</v>
      </c>
    </row>
    <row r="283" spans="2:66">
      <c r="B283" t="s">
        <v>91</v>
      </c>
      <c r="D283" s="34"/>
      <c r="E283" s="34"/>
      <c r="F283" s="34"/>
      <c r="G283" s="7">
        <v>36.000999999999998</v>
      </c>
      <c r="H283" s="32"/>
      <c r="I283" s="7">
        <v>57.383000000000003</v>
      </c>
      <c r="J283" s="7">
        <v>34.293999999999997</v>
      </c>
      <c r="K283" s="7">
        <v>63.204000000000001</v>
      </c>
      <c r="L283" s="7">
        <v>53.737000000000002</v>
      </c>
      <c r="M283" s="7">
        <v>47.584000000000003</v>
      </c>
      <c r="N283" s="7">
        <v>52.094000000000001</v>
      </c>
      <c r="O283" s="7">
        <v>64.606999999999999</v>
      </c>
      <c r="P283" s="7">
        <v>82.23</v>
      </c>
      <c r="Q283" s="7">
        <v>92.707999999999998</v>
      </c>
      <c r="R283" s="7">
        <v>80.893000000000001</v>
      </c>
      <c r="S283" s="7">
        <v>95.924000000000007</v>
      </c>
      <c r="T283" s="7">
        <v>69.063999999999993</v>
      </c>
      <c r="U283" s="7">
        <v>63.963000000000001</v>
      </c>
      <c r="V283" s="7">
        <v>84.052999999999997</v>
      </c>
      <c r="W283" s="7">
        <v>86.129000000000005</v>
      </c>
      <c r="X283" s="7">
        <v>72.820999999999998</v>
      </c>
      <c r="Y283" s="7">
        <v>84.052000000000007</v>
      </c>
      <c r="Z283" s="7">
        <v>67.231999999999999</v>
      </c>
      <c r="AA283" s="7">
        <v>113.43</v>
      </c>
      <c r="AB283" s="4">
        <f t="shared" ref="AB283:AY283" ca="1" si="1023">+AB305*AB86</f>
        <v>96.373980228462685</v>
      </c>
      <c r="AC283" s="4">
        <f t="shared" ca="1" si="1023"/>
        <v>97.965970902947021</v>
      </c>
      <c r="AD283" s="4">
        <f t="shared" ca="1" si="1023"/>
        <v>99.757654060166516</v>
      </c>
      <c r="AE283" s="4">
        <f t="shared" ca="1" si="1023"/>
        <v>100.93867562112848</v>
      </c>
      <c r="AF283" s="4">
        <f t="shared" ca="1" si="1023"/>
        <v>101.83638509117033</v>
      </c>
      <c r="AG283" s="4">
        <f t="shared" ca="1" si="1023"/>
        <v>104.81444630607422</v>
      </c>
      <c r="AH283" s="4">
        <f t="shared" ca="1" si="1023"/>
        <v>107.68724692625878</v>
      </c>
      <c r="AI283" s="4">
        <f t="shared" ca="1" si="1023"/>
        <v>109.96912921781961</v>
      </c>
      <c r="AJ283" s="4">
        <f t="shared" ca="1" si="1023"/>
        <v>111.37605337502819</v>
      </c>
      <c r="AK283" s="4">
        <f t="shared" ca="1" si="1023"/>
        <v>114.29628816852993</v>
      </c>
      <c r="AL283" s="4">
        <f t="shared" ca="1" si="1023"/>
        <v>117.29337449128546</v>
      </c>
      <c r="AM283" s="4">
        <f t="shared" ca="1" si="1023"/>
        <v>119.73486793406721</v>
      </c>
      <c r="AN283" s="4">
        <f t="shared" ca="1" si="1023"/>
        <v>121.26907449855472</v>
      </c>
      <c r="AO283" s="4">
        <f t="shared" ca="1" si="1023"/>
        <v>124.42402105806153</v>
      </c>
      <c r="AP283" s="4">
        <f t="shared" ca="1" si="1023"/>
        <v>127.66350019841647</v>
      </c>
      <c r="AQ283" s="4">
        <f t="shared" ca="1" si="1023"/>
        <v>130.29725458157012</v>
      </c>
      <c r="AR283" s="4">
        <f t="shared" ca="1" si="1023"/>
        <v>131.93864905950213</v>
      </c>
      <c r="AS283" s="4">
        <f t="shared" ca="1" si="1023"/>
        <v>135.32705113997443</v>
      </c>
      <c r="AT283" s="4">
        <f t="shared" ca="1" si="1023"/>
        <v>138.79975145588151</v>
      </c>
      <c r="AU283" s="4">
        <f t="shared" ca="1" si="1023"/>
        <v>141.60707277292127</v>
      </c>
      <c r="AV283" s="4">
        <f t="shared" ca="1" si="1023"/>
        <v>143.32959575358777</v>
      </c>
      <c r="AW283" s="4">
        <f t="shared" ca="1" si="1023"/>
        <v>146.9370504408314</v>
      </c>
      <c r="AX283" s="4">
        <f t="shared" ca="1" si="1023"/>
        <v>150.62695573934056</v>
      </c>
      <c r="AY283" s="4">
        <f t="shared" ca="1" si="1023"/>
        <v>153.58747110327886</v>
      </c>
      <c r="AZ283" s="24"/>
      <c r="BA283" s="237" t="s">
        <v>327</v>
      </c>
      <c r="BB283" s="7">
        <v>32.383000000000003</v>
      </c>
      <c r="BC283" s="4">
        <f t="shared" si="1004"/>
        <v>36.000999999999998</v>
      </c>
      <c r="BD283" s="24">
        <f t="shared" si="1018"/>
        <v>63.204000000000001</v>
      </c>
      <c r="BE283" s="4">
        <f t="shared" si="1019"/>
        <v>64.606999999999999</v>
      </c>
      <c r="BF283" s="4">
        <f t="shared" si="1020"/>
        <v>95.924000000000007</v>
      </c>
      <c r="BG283" s="4">
        <f t="shared" si="1021"/>
        <v>86.129000000000005</v>
      </c>
      <c r="BH283" s="4">
        <f t="shared" si="1005"/>
        <v>113.43</v>
      </c>
      <c r="BI283" s="4">
        <f t="shared" ca="1" si="1006"/>
        <v>100.93867562112848</v>
      </c>
      <c r="BJ283" s="4">
        <f t="shared" ca="1" si="1007"/>
        <v>109.96912921781961</v>
      </c>
      <c r="BK283" s="4">
        <f t="shared" ca="1" si="1008"/>
        <v>119.73486793406721</v>
      </c>
      <c r="BL283" s="4">
        <f t="shared" ca="1" si="1009"/>
        <v>130.29725458157012</v>
      </c>
      <c r="BM283" s="4">
        <f t="shared" ca="1" si="1010"/>
        <v>141.60707277292127</v>
      </c>
      <c r="BN283" s="4">
        <f t="shared" ca="1" si="1011"/>
        <v>153.58747110327886</v>
      </c>
    </row>
    <row r="284" spans="2:66">
      <c r="B284" t="s">
        <v>92</v>
      </c>
      <c r="D284" s="34"/>
      <c r="E284" s="34"/>
      <c r="F284" s="34"/>
      <c r="G284" s="7">
        <v>3.0110000000000001</v>
      </c>
      <c r="H284" s="32"/>
      <c r="I284" s="7">
        <v>3.1739999999999999</v>
      </c>
      <c r="J284" s="7">
        <v>3.2549999999999999</v>
      </c>
      <c r="K284" s="7">
        <v>3.2610000000000001</v>
      </c>
      <c r="L284" s="7">
        <v>3.331</v>
      </c>
      <c r="M284" s="7">
        <v>3.1970000000000001</v>
      </c>
      <c r="N284" s="7">
        <v>3.2170000000000001</v>
      </c>
      <c r="O284" s="7">
        <v>3.302</v>
      </c>
      <c r="P284" s="7">
        <v>3.4390000000000001</v>
      </c>
      <c r="Q284" s="7">
        <v>19.443999999999999</v>
      </c>
      <c r="R284" s="7">
        <v>19.079000000000001</v>
      </c>
      <c r="S284" s="7">
        <v>18.797999999999998</v>
      </c>
      <c r="T284" s="7">
        <v>20.061</v>
      </c>
      <c r="U284" s="7">
        <v>20.922999999999998</v>
      </c>
      <c r="V284" s="7">
        <v>20.655000000000001</v>
      </c>
      <c r="W284" s="7">
        <v>24.893000000000001</v>
      </c>
      <c r="X284" s="7">
        <v>28.721</v>
      </c>
      <c r="Y284" s="7">
        <v>31.504999999999999</v>
      </c>
      <c r="Z284" s="7">
        <v>29.21</v>
      </c>
      <c r="AA284" s="7">
        <v>28.902999999999999</v>
      </c>
      <c r="AB284" s="4">
        <f t="shared" ref="AB284:AM284" si="1024">+AA284</f>
        <v>28.902999999999999</v>
      </c>
      <c r="AC284" s="4">
        <f t="shared" si="1024"/>
        <v>28.902999999999999</v>
      </c>
      <c r="AD284" s="4">
        <f t="shared" si="1024"/>
        <v>28.902999999999999</v>
      </c>
      <c r="AE284" s="4">
        <f t="shared" si="1024"/>
        <v>28.902999999999999</v>
      </c>
      <c r="AF284" s="4">
        <f t="shared" si="1024"/>
        <v>28.902999999999999</v>
      </c>
      <c r="AG284" s="4">
        <f t="shared" si="1024"/>
        <v>28.902999999999999</v>
      </c>
      <c r="AH284" s="4">
        <f t="shared" si="1024"/>
        <v>28.902999999999999</v>
      </c>
      <c r="AI284" s="4">
        <f t="shared" si="1024"/>
        <v>28.902999999999999</v>
      </c>
      <c r="AJ284" s="4">
        <f t="shared" si="1024"/>
        <v>28.902999999999999</v>
      </c>
      <c r="AK284" s="4">
        <f t="shared" si="1024"/>
        <v>28.902999999999999</v>
      </c>
      <c r="AL284" s="4">
        <f t="shared" si="1024"/>
        <v>28.902999999999999</v>
      </c>
      <c r="AM284" s="4">
        <f t="shared" si="1024"/>
        <v>28.902999999999999</v>
      </c>
      <c r="AN284" s="4">
        <f t="shared" ref="AN284:AN286" si="1025">+AM284</f>
        <v>28.902999999999999</v>
      </c>
      <c r="AO284" s="4">
        <f t="shared" ref="AO284:AO286" si="1026">+AN284</f>
        <v>28.902999999999999</v>
      </c>
      <c r="AP284" s="4">
        <f t="shared" ref="AP284:AP286" si="1027">+AO284</f>
        <v>28.902999999999999</v>
      </c>
      <c r="AQ284" s="4">
        <f t="shared" ref="AQ284:AQ286" si="1028">+AP284</f>
        <v>28.902999999999999</v>
      </c>
      <c r="AR284" s="4">
        <f t="shared" ref="AR284:AR286" si="1029">+AQ284</f>
        <v>28.902999999999999</v>
      </c>
      <c r="AS284" s="4">
        <f t="shared" ref="AS284:AS286" si="1030">+AR284</f>
        <v>28.902999999999999</v>
      </c>
      <c r="AT284" s="4">
        <f t="shared" ref="AT284:AT286" si="1031">+AS284</f>
        <v>28.902999999999999</v>
      </c>
      <c r="AU284" s="4">
        <f t="shared" ref="AU284:AU286" si="1032">+AT284</f>
        <v>28.902999999999999</v>
      </c>
      <c r="AV284" s="4">
        <f t="shared" ref="AV284:AV286" si="1033">+AU284</f>
        <v>28.902999999999999</v>
      </c>
      <c r="AW284" s="4">
        <f t="shared" ref="AW284:AW286" si="1034">+AV284</f>
        <v>28.902999999999999</v>
      </c>
      <c r="AX284" s="4">
        <f t="shared" ref="AX284:AX286" si="1035">+AW284</f>
        <v>28.902999999999999</v>
      </c>
      <c r="AY284" s="4">
        <f t="shared" ref="AY284:AY286" si="1036">+AX284</f>
        <v>28.902999999999999</v>
      </c>
      <c r="AZ284" s="24"/>
      <c r="BA284" s="237" t="s">
        <v>327</v>
      </c>
      <c r="BB284" s="7">
        <v>4.5970000000000004</v>
      </c>
      <c r="BC284" s="4">
        <f t="shared" si="1004"/>
        <v>3.0110000000000001</v>
      </c>
      <c r="BD284" s="24">
        <f t="shared" si="1018"/>
        <v>3.2610000000000001</v>
      </c>
      <c r="BE284" s="4">
        <f t="shared" si="1019"/>
        <v>3.302</v>
      </c>
      <c r="BF284" s="4">
        <f t="shared" si="1020"/>
        <v>18.797999999999998</v>
      </c>
      <c r="BG284" s="4">
        <f t="shared" si="1021"/>
        <v>24.893000000000001</v>
      </c>
      <c r="BH284" s="4">
        <f t="shared" si="1005"/>
        <v>28.902999999999999</v>
      </c>
      <c r="BI284" s="4">
        <f t="shared" si="1006"/>
        <v>28.902999999999999</v>
      </c>
      <c r="BJ284" s="4">
        <f t="shared" si="1007"/>
        <v>28.902999999999999</v>
      </c>
      <c r="BK284" s="4">
        <f t="shared" si="1008"/>
        <v>28.902999999999999</v>
      </c>
      <c r="BL284" s="4">
        <f t="shared" si="1009"/>
        <v>28.902999999999999</v>
      </c>
      <c r="BM284" s="4">
        <f t="shared" si="1010"/>
        <v>28.902999999999999</v>
      </c>
      <c r="BN284" s="4">
        <f t="shared" si="1011"/>
        <v>28.902999999999999</v>
      </c>
    </row>
    <row r="285" spans="2:66">
      <c r="B285" t="s">
        <v>93</v>
      </c>
      <c r="D285" s="34"/>
      <c r="E285" s="34"/>
      <c r="F285" s="34"/>
      <c r="G285" s="7">
        <v>6.7450000000000001</v>
      </c>
      <c r="H285" s="32"/>
      <c r="I285" s="7">
        <v>6.8739999999999997</v>
      </c>
      <c r="J285" s="7">
        <v>7.5609999999999999</v>
      </c>
      <c r="K285" s="7">
        <v>7.8920000000000003</v>
      </c>
      <c r="L285" s="7">
        <v>8.1050000000000004</v>
      </c>
      <c r="M285" s="7">
        <v>8.1769999999999996</v>
      </c>
      <c r="N285" s="7">
        <v>9.5289999999999999</v>
      </c>
      <c r="O285" s="7">
        <v>10.531000000000001</v>
      </c>
      <c r="P285" s="7">
        <v>11.401</v>
      </c>
      <c r="Q285" s="7">
        <f>16.449+19.557</f>
        <v>36.006</v>
      </c>
      <c r="R285" s="7">
        <f>15.634+25.046</f>
        <v>40.68</v>
      </c>
      <c r="S285" s="7">
        <v>16.991</v>
      </c>
      <c r="T285" s="7">
        <v>16.434999999999999</v>
      </c>
      <c r="U285" s="7">
        <v>18.306000000000001</v>
      </c>
      <c r="V285" s="7">
        <v>16.018000000000001</v>
      </c>
      <c r="W285" s="7">
        <v>15.185</v>
      </c>
      <c r="X285" s="7">
        <v>13.603999999999999</v>
      </c>
      <c r="Y285" s="7">
        <v>12.207000000000001</v>
      </c>
      <c r="Z285" s="7">
        <v>22.54</v>
      </c>
      <c r="AA285" s="7">
        <v>25.305</v>
      </c>
      <c r="AB285" s="4">
        <f t="shared" ref="AB285:AM285" si="1037">+AA285</f>
        <v>25.305</v>
      </c>
      <c r="AC285" s="4">
        <f t="shared" si="1037"/>
        <v>25.305</v>
      </c>
      <c r="AD285" s="4">
        <f t="shared" si="1037"/>
        <v>25.305</v>
      </c>
      <c r="AE285" s="4">
        <f t="shared" si="1037"/>
        <v>25.305</v>
      </c>
      <c r="AF285" s="4">
        <f t="shared" si="1037"/>
        <v>25.305</v>
      </c>
      <c r="AG285" s="4">
        <f t="shared" si="1037"/>
        <v>25.305</v>
      </c>
      <c r="AH285" s="4">
        <f t="shared" si="1037"/>
        <v>25.305</v>
      </c>
      <c r="AI285" s="4">
        <f t="shared" si="1037"/>
        <v>25.305</v>
      </c>
      <c r="AJ285" s="4">
        <f t="shared" si="1037"/>
        <v>25.305</v>
      </c>
      <c r="AK285" s="4">
        <f t="shared" si="1037"/>
        <v>25.305</v>
      </c>
      <c r="AL285" s="4">
        <f t="shared" si="1037"/>
        <v>25.305</v>
      </c>
      <c r="AM285" s="4">
        <f t="shared" si="1037"/>
        <v>25.305</v>
      </c>
      <c r="AN285" s="4">
        <f t="shared" si="1025"/>
        <v>25.305</v>
      </c>
      <c r="AO285" s="4">
        <f t="shared" si="1026"/>
        <v>25.305</v>
      </c>
      <c r="AP285" s="4">
        <f t="shared" si="1027"/>
        <v>25.305</v>
      </c>
      <c r="AQ285" s="4">
        <f t="shared" si="1028"/>
        <v>25.305</v>
      </c>
      <c r="AR285" s="4">
        <f t="shared" si="1029"/>
        <v>25.305</v>
      </c>
      <c r="AS285" s="4">
        <f t="shared" si="1030"/>
        <v>25.305</v>
      </c>
      <c r="AT285" s="4">
        <f t="shared" si="1031"/>
        <v>25.305</v>
      </c>
      <c r="AU285" s="4">
        <f t="shared" si="1032"/>
        <v>25.305</v>
      </c>
      <c r="AV285" s="4">
        <f t="shared" si="1033"/>
        <v>25.305</v>
      </c>
      <c r="AW285" s="4">
        <f t="shared" si="1034"/>
        <v>25.305</v>
      </c>
      <c r="AX285" s="4">
        <f t="shared" si="1035"/>
        <v>25.305</v>
      </c>
      <c r="AY285" s="4">
        <f t="shared" si="1036"/>
        <v>25.305</v>
      </c>
      <c r="AZ285" s="24"/>
      <c r="BA285" s="237" t="s">
        <v>327</v>
      </c>
      <c r="BB285" s="7">
        <v>5.5819999999999999</v>
      </c>
      <c r="BC285" s="4">
        <f t="shared" si="1004"/>
        <v>6.7450000000000001</v>
      </c>
      <c r="BD285" s="24">
        <f t="shared" si="1018"/>
        <v>7.8920000000000003</v>
      </c>
      <c r="BE285" s="4">
        <f t="shared" si="1019"/>
        <v>10.531000000000001</v>
      </c>
      <c r="BF285" s="4">
        <f t="shared" si="1020"/>
        <v>16.991</v>
      </c>
      <c r="BG285" s="4">
        <f t="shared" si="1021"/>
        <v>15.185</v>
      </c>
      <c r="BH285" s="4">
        <f t="shared" si="1005"/>
        <v>25.305</v>
      </c>
      <c r="BI285" s="4">
        <f t="shared" si="1006"/>
        <v>25.305</v>
      </c>
      <c r="BJ285" s="4">
        <f t="shared" si="1007"/>
        <v>25.305</v>
      </c>
      <c r="BK285" s="4">
        <f t="shared" si="1008"/>
        <v>25.305</v>
      </c>
      <c r="BL285" s="4">
        <f t="shared" si="1009"/>
        <v>25.305</v>
      </c>
      <c r="BM285" s="4">
        <f t="shared" si="1010"/>
        <v>25.305</v>
      </c>
      <c r="BN285" s="4">
        <f t="shared" si="1011"/>
        <v>25.305</v>
      </c>
    </row>
    <row r="286" spans="2:66">
      <c r="B286" t="s">
        <v>94</v>
      </c>
      <c r="D286" s="34"/>
      <c r="E286" s="34"/>
      <c r="F286" s="34"/>
      <c r="G286" s="7">
        <v>0.76700000000000002</v>
      </c>
      <c r="H286" s="32"/>
      <c r="I286" s="7">
        <v>0.55500000000000005</v>
      </c>
      <c r="J286" s="7">
        <v>0.54700000000000004</v>
      </c>
      <c r="K286" s="7">
        <v>0.45300000000000001</v>
      </c>
      <c r="L286" s="7">
        <v>0.32</v>
      </c>
      <c r="M286" s="7">
        <v>0.159</v>
      </c>
      <c r="N286" s="7">
        <v>0</v>
      </c>
      <c r="O286" s="7">
        <v>0</v>
      </c>
      <c r="P286" s="7"/>
      <c r="Q286" s="7"/>
      <c r="R286" s="7"/>
      <c r="S286" s="7">
        <v>18.812999999999999</v>
      </c>
      <c r="T286" s="7">
        <v>21.048999999999999</v>
      </c>
      <c r="U286" s="7">
        <v>19.742000000000001</v>
      </c>
      <c r="V286" s="7">
        <v>18.402999999999999</v>
      </c>
      <c r="W286" s="7">
        <v>21.992999999999999</v>
      </c>
      <c r="X286" s="7">
        <v>23.783999999999999</v>
      </c>
      <c r="Y286" s="7">
        <v>23.433</v>
      </c>
      <c r="Z286" s="7">
        <v>9.8140000000000001</v>
      </c>
      <c r="AA286" s="7">
        <v>4.6109999999999998</v>
      </c>
      <c r="AB286" s="4">
        <f t="shared" ref="AB286:AM286" si="1038">+AA286</f>
        <v>4.6109999999999998</v>
      </c>
      <c r="AC286" s="4">
        <f t="shared" si="1038"/>
        <v>4.6109999999999998</v>
      </c>
      <c r="AD286" s="4">
        <f t="shared" si="1038"/>
        <v>4.6109999999999998</v>
      </c>
      <c r="AE286" s="4">
        <f t="shared" si="1038"/>
        <v>4.6109999999999998</v>
      </c>
      <c r="AF286" s="4">
        <f t="shared" si="1038"/>
        <v>4.6109999999999998</v>
      </c>
      <c r="AG286" s="4">
        <f t="shared" si="1038"/>
        <v>4.6109999999999998</v>
      </c>
      <c r="AH286" s="4">
        <f t="shared" si="1038"/>
        <v>4.6109999999999998</v>
      </c>
      <c r="AI286" s="4">
        <f t="shared" si="1038"/>
        <v>4.6109999999999998</v>
      </c>
      <c r="AJ286" s="4">
        <f t="shared" si="1038"/>
        <v>4.6109999999999998</v>
      </c>
      <c r="AK286" s="4">
        <f t="shared" si="1038"/>
        <v>4.6109999999999998</v>
      </c>
      <c r="AL286" s="4">
        <f t="shared" si="1038"/>
        <v>4.6109999999999998</v>
      </c>
      <c r="AM286" s="4">
        <f t="shared" si="1038"/>
        <v>4.6109999999999998</v>
      </c>
      <c r="AN286" s="4">
        <f t="shared" si="1025"/>
        <v>4.6109999999999998</v>
      </c>
      <c r="AO286" s="4">
        <f t="shared" si="1026"/>
        <v>4.6109999999999998</v>
      </c>
      <c r="AP286" s="4">
        <f t="shared" si="1027"/>
        <v>4.6109999999999998</v>
      </c>
      <c r="AQ286" s="4">
        <f t="shared" si="1028"/>
        <v>4.6109999999999998</v>
      </c>
      <c r="AR286" s="4">
        <f t="shared" si="1029"/>
        <v>4.6109999999999998</v>
      </c>
      <c r="AS286" s="4">
        <f t="shared" si="1030"/>
        <v>4.6109999999999998</v>
      </c>
      <c r="AT286" s="4">
        <f t="shared" si="1031"/>
        <v>4.6109999999999998</v>
      </c>
      <c r="AU286" s="4">
        <f t="shared" si="1032"/>
        <v>4.6109999999999998</v>
      </c>
      <c r="AV286" s="4">
        <f t="shared" si="1033"/>
        <v>4.6109999999999998</v>
      </c>
      <c r="AW286" s="4">
        <f t="shared" si="1034"/>
        <v>4.6109999999999998</v>
      </c>
      <c r="AX286" s="4">
        <f t="shared" si="1035"/>
        <v>4.6109999999999998</v>
      </c>
      <c r="AY286" s="4">
        <f t="shared" si="1036"/>
        <v>4.6109999999999998</v>
      </c>
      <c r="AZ286" s="24"/>
      <c r="BA286" s="237" t="s">
        <v>327</v>
      </c>
      <c r="BB286" s="7">
        <v>4.3769999999999998</v>
      </c>
      <c r="BC286" s="4">
        <f t="shared" si="1004"/>
        <v>0.76700000000000002</v>
      </c>
      <c r="BD286" s="24">
        <f t="shared" si="1018"/>
        <v>0.45300000000000001</v>
      </c>
      <c r="BE286" s="4">
        <f t="shared" si="1019"/>
        <v>0</v>
      </c>
      <c r="BF286" s="4">
        <f t="shared" si="1020"/>
        <v>18.812999999999999</v>
      </c>
      <c r="BG286" s="4">
        <f t="shared" si="1021"/>
        <v>21.992999999999999</v>
      </c>
      <c r="BH286" s="4">
        <f t="shared" si="1005"/>
        <v>4.6109999999999998</v>
      </c>
      <c r="BI286" s="4">
        <f t="shared" si="1006"/>
        <v>4.6109999999999998</v>
      </c>
      <c r="BJ286" s="4">
        <f t="shared" si="1007"/>
        <v>4.6109999999999998</v>
      </c>
      <c r="BK286" s="4">
        <f t="shared" si="1008"/>
        <v>4.6109999999999998</v>
      </c>
      <c r="BL286" s="4">
        <f t="shared" si="1009"/>
        <v>4.6109999999999998</v>
      </c>
      <c r="BM286" s="4">
        <f t="shared" si="1010"/>
        <v>4.6109999999999998</v>
      </c>
      <c r="BN286" s="4">
        <f t="shared" si="1011"/>
        <v>4.6109999999999998</v>
      </c>
    </row>
    <row r="287" spans="2:66">
      <c r="B287" t="s">
        <v>295</v>
      </c>
      <c r="D287" s="34"/>
      <c r="E287" s="34"/>
      <c r="F287" s="34"/>
      <c r="G287" s="7">
        <v>26.957999999999998</v>
      </c>
      <c r="H287" s="32"/>
      <c r="I287" s="7"/>
      <c r="J287" s="7"/>
      <c r="K287" s="7"/>
      <c r="L287" s="7"/>
      <c r="M287" s="7"/>
      <c r="N287" s="7"/>
      <c r="O287" s="7"/>
      <c r="P287" s="7"/>
      <c r="Q287" s="7"/>
      <c r="R287" s="7"/>
      <c r="S287" s="7"/>
      <c r="T287" s="7"/>
      <c r="U287" s="7"/>
      <c r="V287" s="7"/>
      <c r="W287" s="7"/>
      <c r="X287" s="7"/>
      <c r="Y287" s="7"/>
      <c r="Z287" s="7"/>
      <c r="AA287" s="7"/>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24"/>
      <c r="BA287" s="237" t="s">
        <v>327</v>
      </c>
      <c r="BB287" s="7">
        <v>24.626000000000001</v>
      </c>
      <c r="BC287" s="4">
        <f t="shared" si="1004"/>
        <v>26.957999999999998</v>
      </c>
      <c r="BD287" s="24">
        <f t="shared" si="1018"/>
        <v>0</v>
      </c>
      <c r="BE287" s="4">
        <f t="shared" si="1019"/>
        <v>0</v>
      </c>
      <c r="BF287" s="4">
        <f t="shared" si="1020"/>
        <v>0</v>
      </c>
      <c r="BG287" s="4">
        <f t="shared" si="1021"/>
        <v>0</v>
      </c>
      <c r="BH287" s="4">
        <f t="shared" si="1005"/>
        <v>0</v>
      </c>
      <c r="BI287" s="4">
        <f t="shared" si="1006"/>
        <v>0</v>
      </c>
      <c r="BJ287" s="4">
        <f t="shared" si="1007"/>
        <v>0</v>
      </c>
      <c r="BK287" s="4">
        <f t="shared" si="1008"/>
        <v>0</v>
      </c>
      <c r="BL287" s="4">
        <f t="shared" si="1009"/>
        <v>0</v>
      </c>
      <c r="BM287" s="4">
        <f t="shared" si="1010"/>
        <v>0</v>
      </c>
      <c r="BN287" s="4">
        <f t="shared" si="1011"/>
        <v>0</v>
      </c>
    </row>
    <row r="288" spans="2:66">
      <c r="D288" s="33"/>
      <c r="E288" s="33"/>
      <c r="F288" s="33"/>
      <c r="G288" s="4"/>
      <c r="H288" s="32"/>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24"/>
      <c r="BA288" s="237"/>
      <c r="BB288" s="4"/>
      <c r="BC288" s="4"/>
      <c r="BD288" s="4"/>
      <c r="BE288" s="4"/>
      <c r="BF288" s="4"/>
      <c r="BG288" s="4"/>
      <c r="BH288" s="4"/>
      <c r="BI288" s="4"/>
      <c r="BJ288" s="4"/>
      <c r="BK288" s="4"/>
      <c r="BL288" s="4"/>
      <c r="BM288" s="4"/>
      <c r="BN288" s="4"/>
    </row>
    <row r="289" spans="1:75">
      <c r="B289" t="s">
        <v>95</v>
      </c>
      <c r="D289" s="33"/>
      <c r="E289" s="33"/>
      <c r="F289" s="33"/>
      <c r="G289" s="4">
        <f>+SUM(G278:G288)</f>
        <v>563.76400000000001</v>
      </c>
      <c r="H289" s="32"/>
      <c r="I289" s="4">
        <f t="shared" ref="I289:R289" si="1039">+SUM(I278:I288)</f>
        <v>629.05200000000002</v>
      </c>
      <c r="J289" s="4">
        <f t="shared" si="1039"/>
        <v>657.02800000000002</v>
      </c>
      <c r="K289" s="4">
        <f t="shared" si="1039"/>
        <v>431.65199999999999</v>
      </c>
      <c r="L289" s="4">
        <f t="shared" si="1039"/>
        <v>481.84700000000004</v>
      </c>
      <c r="M289" s="4">
        <f t="shared" si="1039"/>
        <v>600.95400000000006</v>
      </c>
      <c r="N289" s="4">
        <f t="shared" si="1039"/>
        <v>666.26900000000012</v>
      </c>
      <c r="O289" s="4">
        <f t="shared" si="1039"/>
        <v>726.37399999999991</v>
      </c>
      <c r="P289" s="4">
        <f t="shared" si="1039"/>
        <v>647.76699999999994</v>
      </c>
      <c r="Q289" s="4">
        <f t="shared" si="1039"/>
        <v>917.54299999999989</v>
      </c>
      <c r="R289" s="4">
        <f t="shared" si="1039"/>
        <v>976.93799999999999</v>
      </c>
      <c r="S289" s="4">
        <f t="shared" ref="S289:X289" si="1040">+SUM(S278:S288)</f>
        <v>1037.643</v>
      </c>
      <c r="T289" s="4">
        <f t="shared" si="1040"/>
        <v>1088.9239999999998</v>
      </c>
      <c r="U289" s="4">
        <f t="shared" si="1040"/>
        <v>970.8420000000001</v>
      </c>
      <c r="V289" s="4">
        <f t="shared" si="1040"/>
        <v>1021.8440000000001</v>
      </c>
      <c r="W289" s="4">
        <f t="shared" si="1040"/>
        <v>1133.6599999999999</v>
      </c>
      <c r="X289" s="4">
        <f t="shared" si="1040"/>
        <v>1192.3000000000002</v>
      </c>
      <c r="Y289" s="4">
        <f>+SUM(Y278:Y288)</f>
        <v>1244.027</v>
      </c>
      <c r="Z289" s="4">
        <f>+SUM(Z278:Z288)</f>
        <v>1250.3410000000001</v>
      </c>
      <c r="AA289" s="4">
        <f>+SUM(AA278:AA288)</f>
        <v>1424.4000000000003</v>
      </c>
      <c r="AB289" s="4">
        <f t="shared" ref="AB289:AM289" ca="1" si="1041">+SUM(AB278:AB288)</f>
        <v>1408.5312622680674</v>
      </c>
      <c r="AC289" s="4">
        <f t="shared" ca="1" si="1041"/>
        <v>1478.4008574297052</v>
      </c>
      <c r="AD289" s="4">
        <f t="shared" ca="1" si="1041"/>
        <v>1558.6614861679534</v>
      </c>
      <c r="AE289" s="4">
        <f t="shared" ca="1" si="1041"/>
        <v>1637.9996895618335</v>
      </c>
      <c r="AF289" s="4">
        <f t="shared" ca="1" si="1041"/>
        <v>1670.0329924977409</v>
      </c>
      <c r="AG289" s="4">
        <f t="shared" ca="1" si="1041"/>
        <v>1701.6837507666364</v>
      </c>
      <c r="AH289" s="4">
        <f t="shared" ca="1" si="1041"/>
        <v>1729.7809041155622</v>
      </c>
      <c r="AI289" s="4">
        <f t="shared" ca="1" si="1041"/>
        <v>1752.0405875696845</v>
      </c>
      <c r="AJ289" s="4">
        <f t="shared" ca="1" si="1041"/>
        <v>1770.5677927587406</v>
      </c>
      <c r="AK289" s="4">
        <f t="shared" ca="1" si="1041"/>
        <v>1787.7769876597004</v>
      </c>
      <c r="AL289" s="4">
        <f t="shared" ca="1" si="1041"/>
        <v>1800.7003911484642</v>
      </c>
      <c r="AM289" s="4">
        <f t="shared" ca="1" si="1041"/>
        <v>1810.6123534588148</v>
      </c>
      <c r="AN289" s="4">
        <f t="shared" ref="AN289:AY289" ca="1" si="1042">+SUM(AN278:AN288)</f>
        <v>1822.4698279344095</v>
      </c>
      <c r="AO289" s="4">
        <f t="shared" ca="1" si="1042"/>
        <v>1836.4526094746682</v>
      </c>
      <c r="AP289" s="4">
        <f t="shared" ca="1" si="1042"/>
        <v>1849.5792333701888</v>
      </c>
      <c r="AQ289" s="4">
        <f t="shared" ca="1" si="1042"/>
        <v>1859.3470206934933</v>
      </c>
      <c r="AR289" s="4">
        <f t="shared" ca="1" si="1042"/>
        <v>1872.6308323027963</v>
      </c>
      <c r="AS289" s="4">
        <f t="shared" ca="1" si="1042"/>
        <v>1406.3046959109165</v>
      </c>
      <c r="AT289" s="4">
        <f t="shared" ca="1" si="1042"/>
        <v>1456.0472129121126</v>
      </c>
      <c r="AU289" s="4">
        <f t="shared" ca="1" si="1042"/>
        <v>1463.1277833661679</v>
      </c>
      <c r="AV289" s="4">
        <f t="shared" ca="1" si="1042"/>
        <v>1458.2052355876569</v>
      </c>
      <c r="AW289" s="4">
        <f t="shared" ca="1" si="1042"/>
        <v>1461.8701987600471</v>
      </c>
      <c r="AX289" s="4">
        <f t="shared" ca="1" si="1042"/>
        <v>1465.6190567054264</v>
      </c>
      <c r="AY289" s="4">
        <f t="shared" ca="1" si="1042"/>
        <v>1468.639683408024</v>
      </c>
      <c r="AZ289" s="24"/>
      <c r="BA289" s="237" t="s">
        <v>327</v>
      </c>
      <c r="BB289" s="4">
        <f t="shared" ref="BB289:BG289" si="1043">+SUM(BB278:BB288)</f>
        <v>481.19099999999997</v>
      </c>
      <c r="BC289" s="4">
        <f t="shared" si="1043"/>
        <v>563.76400000000001</v>
      </c>
      <c r="BD289" s="4">
        <f t="shared" si="1043"/>
        <v>431.65199999999999</v>
      </c>
      <c r="BE289" s="4">
        <f t="shared" si="1043"/>
        <v>726.37399999999991</v>
      </c>
      <c r="BF289" s="4">
        <f t="shared" si="1043"/>
        <v>1037.643</v>
      </c>
      <c r="BG289" s="4">
        <f t="shared" si="1043"/>
        <v>1133.6599999999999</v>
      </c>
      <c r="BH289" s="4">
        <f>+SUM(BH278:BH288)</f>
        <v>1424.4000000000003</v>
      </c>
      <c r="BI289" s="4">
        <f ca="1">+SUM(BI278:BI288)</f>
        <v>1637.9996895618335</v>
      </c>
      <c r="BJ289" s="4">
        <f ca="1">+SUM(BJ278:BJ288)</f>
        <v>1752.0405875696845</v>
      </c>
      <c r="BK289" s="4">
        <f ca="1">+SUM(BK278:BK288)</f>
        <v>1810.6123534588148</v>
      </c>
      <c r="BL289" s="4">
        <f t="shared" ref="BL289:BN289" ca="1" si="1044">+SUM(BL278:BL288)</f>
        <v>1859.3470206934933</v>
      </c>
      <c r="BM289" s="4">
        <f t="shared" ca="1" si="1044"/>
        <v>1463.1277833661679</v>
      </c>
      <c r="BN289" s="4">
        <f t="shared" ca="1" si="1044"/>
        <v>1468.639683408024</v>
      </c>
    </row>
    <row r="290" spans="1:75">
      <c r="D290" s="33"/>
      <c r="E290" s="33"/>
      <c r="F290" s="33"/>
      <c r="G290" s="4"/>
      <c r="H290" s="32"/>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24"/>
      <c r="BA290" s="237"/>
      <c r="BB290" s="4"/>
      <c r="BC290" s="4"/>
      <c r="BD290" s="4"/>
      <c r="BE290" s="4"/>
      <c r="BF290" s="4"/>
      <c r="BG290" s="4"/>
      <c r="BH290" s="4"/>
      <c r="BI290" s="4"/>
      <c r="BJ290" s="4"/>
      <c r="BK290" s="4"/>
      <c r="BL290" s="4"/>
      <c r="BM290" s="4"/>
      <c r="BN290" s="4"/>
    </row>
    <row r="291" spans="1:75" s="22" customFormat="1">
      <c r="B291" s="314" t="s">
        <v>535</v>
      </c>
      <c r="D291" s="24"/>
      <c r="E291" s="24"/>
      <c r="F291" s="24"/>
      <c r="G291" s="24"/>
      <c r="I291" s="24"/>
      <c r="J291" s="24"/>
      <c r="K291" s="24"/>
      <c r="L291" s="24"/>
      <c r="M291" s="24"/>
      <c r="N291" s="24"/>
      <c r="O291" s="24"/>
      <c r="P291" s="24"/>
      <c r="Q291" s="24"/>
      <c r="R291" s="24"/>
      <c r="S291" s="24"/>
      <c r="T291" s="24"/>
      <c r="U291" s="24"/>
      <c r="V291" s="24"/>
      <c r="W291" s="24"/>
      <c r="X291" s="24"/>
      <c r="Y291" s="24"/>
      <c r="Z291" s="24"/>
      <c r="AA291" s="24"/>
      <c r="AB291" s="24">
        <f>+AB414</f>
        <v>100</v>
      </c>
      <c r="AC291" s="24">
        <f t="shared" ref="AC291:AY291" si="1045">+AC414</f>
        <v>100</v>
      </c>
      <c r="AD291" s="24">
        <f t="shared" si="1045"/>
        <v>100</v>
      </c>
      <c r="AE291" s="24">
        <f t="shared" si="1045"/>
        <v>100</v>
      </c>
      <c r="AF291" s="24">
        <f t="shared" si="1045"/>
        <v>100</v>
      </c>
      <c r="AG291" s="24">
        <f t="shared" si="1045"/>
        <v>100</v>
      </c>
      <c r="AH291" s="24">
        <f t="shared" si="1045"/>
        <v>100</v>
      </c>
      <c r="AI291" s="24">
        <f t="shared" si="1045"/>
        <v>100</v>
      </c>
      <c r="AJ291" s="24">
        <f t="shared" si="1045"/>
        <v>100</v>
      </c>
      <c r="AK291" s="24">
        <f t="shared" si="1045"/>
        <v>100</v>
      </c>
      <c r="AL291" s="24">
        <f t="shared" si="1045"/>
        <v>100</v>
      </c>
      <c r="AM291" s="24">
        <f t="shared" si="1045"/>
        <v>100</v>
      </c>
      <c r="AN291" s="24">
        <f t="shared" si="1045"/>
        <v>100</v>
      </c>
      <c r="AO291" s="24">
        <f t="shared" si="1045"/>
        <v>100</v>
      </c>
      <c r="AP291" s="24">
        <f t="shared" si="1045"/>
        <v>100</v>
      </c>
      <c r="AQ291" s="24">
        <f t="shared" si="1045"/>
        <v>100</v>
      </c>
      <c r="AR291" s="24">
        <f t="shared" si="1045"/>
        <v>100</v>
      </c>
      <c r="AS291" s="24">
        <f t="shared" si="1045"/>
        <v>100</v>
      </c>
      <c r="AT291" s="24">
        <f t="shared" si="1045"/>
        <v>100</v>
      </c>
      <c r="AU291" s="24">
        <f t="shared" si="1045"/>
        <v>100</v>
      </c>
      <c r="AV291" s="24">
        <f t="shared" si="1045"/>
        <v>100</v>
      </c>
      <c r="AW291" s="24">
        <f t="shared" si="1045"/>
        <v>100</v>
      </c>
      <c r="AX291" s="24">
        <f t="shared" si="1045"/>
        <v>100</v>
      </c>
      <c r="AY291" s="24">
        <f t="shared" si="1045"/>
        <v>100</v>
      </c>
      <c r="AZ291" s="24"/>
      <c r="BA291" s="376"/>
      <c r="BB291" s="24"/>
      <c r="BC291" s="24"/>
      <c r="BD291" s="24"/>
      <c r="BE291" s="24"/>
      <c r="BF291" s="24"/>
      <c r="BG291" s="24">
        <f>+W291</f>
        <v>0</v>
      </c>
      <c r="BH291" s="24">
        <f t="shared" ref="BH291" si="1046">+AA291</f>
        <v>0</v>
      </c>
      <c r="BI291" s="24">
        <f t="shared" ref="BI291" si="1047">+AE291</f>
        <v>100</v>
      </c>
      <c r="BJ291" s="24">
        <f t="shared" ref="BJ291" si="1048">+AI291</f>
        <v>100</v>
      </c>
      <c r="BK291" s="24">
        <f t="shared" ref="BK291" si="1049">+AM291</f>
        <v>100</v>
      </c>
      <c r="BL291" s="24">
        <f t="shared" ref="BL291:BL297" si="1050">+AQ291</f>
        <v>100</v>
      </c>
      <c r="BM291" s="24">
        <f t="shared" ref="BM291:BM297" si="1051">+AU291</f>
        <v>100</v>
      </c>
      <c r="BN291" s="24">
        <f t="shared" ref="BN291:BN297" si="1052">+AY291</f>
        <v>100</v>
      </c>
      <c r="BQ291" s="230"/>
      <c r="BR291"/>
      <c r="BS291"/>
      <c r="BT291"/>
      <c r="BU291"/>
      <c r="BV291"/>
      <c r="BW291"/>
    </row>
    <row r="292" spans="1:75">
      <c r="B292" t="s">
        <v>355</v>
      </c>
      <c r="D292" s="33"/>
      <c r="E292" s="33"/>
      <c r="F292" s="33"/>
      <c r="G292" s="4"/>
      <c r="H292" s="32"/>
      <c r="I292" s="4"/>
      <c r="J292" s="4"/>
      <c r="K292" s="7">
        <v>0.28899999999999998</v>
      </c>
      <c r="L292" s="7">
        <v>0.28999999999999998</v>
      </c>
      <c r="M292" s="7">
        <v>0.28999999999999998</v>
      </c>
      <c r="N292" s="7">
        <v>0.28999999999999998</v>
      </c>
      <c r="O292" s="7">
        <v>0.29399999999999998</v>
      </c>
      <c r="P292" s="7">
        <v>0.34799999999999998</v>
      </c>
      <c r="Q292" s="7">
        <v>0.40899999999999997</v>
      </c>
      <c r="R292" s="7">
        <v>0.41199999999999998</v>
      </c>
      <c r="S292" s="7">
        <v>0.41199999999999998</v>
      </c>
      <c r="T292" s="7">
        <v>0.41399999999999998</v>
      </c>
      <c r="U292" s="7">
        <v>0.47799999999999998</v>
      </c>
      <c r="V292" s="7">
        <v>0.47899999999999998</v>
      </c>
      <c r="W292" s="7">
        <v>0.47799999999999998</v>
      </c>
      <c r="X292" s="7">
        <v>0.48099999999999998</v>
      </c>
      <c r="Y292" s="7">
        <v>0.48799999999999999</v>
      </c>
      <c r="Z292" s="7">
        <v>0.504</v>
      </c>
      <c r="AA292" s="7">
        <v>0.50700000000000001</v>
      </c>
      <c r="AB292" s="4">
        <f t="shared" ref="AB292:AM292" si="1053">+AA292</f>
        <v>0.50700000000000001</v>
      </c>
      <c r="AC292" s="4">
        <f t="shared" si="1053"/>
        <v>0.50700000000000001</v>
      </c>
      <c r="AD292" s="4">
        <f t="shared" si="1053"/>
        <v>0.50700000000000001</v>
      </c>
      <c r="AE292" s="4">
        <f t="shared" si="1053"/>
        <v>0.50700000000000001</v>
      </c>
      <c r="AF292" s="4">
        <f t="shared" si="1053"/>
        <v>0.50700000000000001</v>
      </c>
      <c r="AG292" s="4">
        <f t="shared" si="1053"/>
        <v>0.50700000000000001</v>
      </c>
      <c r="AH292" s="4">
        <f t="shared" si="1053"/>
        <v>0.50700000000000001</v>
      </c>
      <c r="AI292" s="4">
        <f t="shared" si="1053"/>
        <v>0.50700000000000001</v>
      </c>
      <c r="AJ292" s="4">
        <f t="shared" si="1053"/>
        <v>0.50700000000000001</v>
      </c>
      <c r="AK292" s="4">
        <f t="shared" si="1053"/>
        <v>0.50700000000000001</v>
      </c>
      <c r="AL292" s="4">
        <f t="shared" si="1053"/>
        <v>0.50700000000000001</v>
      </c>
      <c r="AM292" s="4">
        <f t="shared" si="1053"/>
        <v>0.50700000000000001</v>
      </c>
      <c r="AN292" s="4">
        <f t="shared" ref="AN292:AN293" si="1054">+AM292</f>
        <v>0.50700000000000001</v>
      </c>
      <c r="AO292" s="4">
        <f t="shared" ref="AO292:AO293" si="1055">+AN292</f>
        <v>0.50700000000000001</v>
      </c>
      <c r="AP292" s="4">
        <f t="shared" ref="AP292:AP293" si="1056">+AO292</f>
        <v>0.50700000000000001</v>
      </c>
      <c r="AQ292" s="4">
        <f t="shared" ref="AQ292:AQ293" si="1057">+AP292</f>
        <v>0.50700000000000001</v>
      </c>
      <c r="AR292" s="4">
        <f t="shared" ref="AR292:AR293" si="1058">+AQ292</f>
        <v>0.50700000000000001</v>
      </c>
      <c r="AS292" s="4">
        <f t="shared" ref="AS292:AS293" si="1059">+AR292</f>
        <v>0.50700000000000001</v>
      </c>
      <c r="AT292" s="4">
        <f t="shared" ref="AT292:AT293" si="1060">+AS292</f>
        <v>0.50700000000000001</v>
      </c>
      <c r="AU292" s="4">
        <f t="shared" ref="AU292:AU293" si="1061">+AT292</f>
        <v>0.50700000000000001</v>
      </c>
      <c r="AV292" s="4">
        <f t="shared" ref="AV292:AV293" si="1062">+AU292</f>
        <v>0.50700000000000001</v>
      </c>
      <c r="AW292" s="4">
        <f t="shared" ref="AW292:AW293" si="1063">+AV292</f>
        <v>0.50700000000000001</v>
      </c>
      <c r="AX292" s="4">
        <f t="shared" ref="AX292:AX293" si="1064">+AW292</f>
        <v>0.50700000000000001</v>
      </c>
      <c r="AY292" s="4">
        <f t="shared" ref="AY292:AY293" si="1065">+AX292</f>
        <v>0.50700000000000001</v>
      </c>
      <c r="AZ292" s="24"/>
      <c r="BA292" s="237"/>
      <c r="BB292" s="4"/>
      <c r="BC292" s="4"/>
      <c r="BD292" s="4">
        <f>+K292</f>
        <v>0.28899999999999998</v>
      </c>
      <c r="BE292" s="4">
        <f>+O292</f>
        <v>0.29399999999999998</v>
      </c>
      <c r="BF292" s="4">
        <f>+S292</f>
        <v>0.41199999999999998</v>
      </c>
      <c r="BG292" s="4">
        <f>+W292</f>
        <v>0.47799999999999998</v>
      </c>
      <c r="BH292" s="4">
        <f t="shared" ref="BH292:BH297" si="1066">+AA292</f>
        <v>0.50700000000000001</v>
      </c>
      <c r="BI292" s="4">
        <f t="shared" ref="BI292:BI297" si="1067">+AE292</f>
        <v>0.50700000000000001</v>
      </c>
      <c r="BJ292" s="4">
        <f t="shared" ref="BJ292:BJ297" si="1068">+AI292</f>
        <v>0.50700000000000001</v>
      </c>
      <c r="BK292" s="4">
        <f t="shared" ref="BK292:BK297" si="1069">+AM292</f>
        <v>0.50700000000000001</v>
      </c>
      <c r="BL292" s="4">
        <f t="shared" si="1050"/>
        <v>0.50700000000000001</v>
      </c>
      <c r="BM292" s="4">
        <f t="shared" si="1051"/>
        <v>0.50700000000000001</v>
      </c>
      <c r="BN292" s="4">
        <f t="shared" si="1052"/>
        <v>0.50700000000000001</v>
      </c>
    </row>
    <row r="293" spans="1:75">
      <c r="A293" s="22"/>
      <c r="B293" t="s">
        <v>96</v>
      </c>
      <c r="D293" s="34"/>
      <c r="E293" s="34"/>
      <c r="F293" s="34"/>
      <c r="G293" s="7">
        <v>121.679</v>
      </c>
      <c r="H293" s="32"/>
      <c r="I293" s="7">
        <v>129.38</v>
      </c>
      <c r="J293" s="7">
        <v>124.919</v>
      </c>
      <c r="K293" s="7">
        <v>318.834</v>
      </c>
      <c r="L293" s="7">
        <v>319.55099999999999</v>
      </c>
      <c r="M293" s="7">
        <v>320.39</v>
      </c>
      <c r="N293" s="7">
        <v>321.11900000000003</v>
      </c>
      <c r="O293" s="7">
        <v>324.91699999999997</v>
      </c>
      <c r="P293" s="7">
        <v>474.185</v>
      </c>
      <c r="Q293" s="7"/>
      <c r="R293" s="7"/>
      <c r="S293" s="7"/>
      <c r="T293" s="7"/>
      <c r="U293" s="7"/>
      <c r="V293" s="7"/>
      <c r="W293" s="7"/>
      <c r="X293" s="7"/>
      <c r="Y293" s="7"/>
      <c r="Z293" s="7"/>
      <c r="AA293" s="7"/>
      <c r="AB293" s="4">
        <f t="shared" ref="AB293:AM293" si="1070">+AA293</f>
        <v>0</v>
      </c>
      <c r="AC293" s="4">
        <f t="shared" si="1070"/>
        <v>0</v>
      </c>
      <c r="AD293" s="4">
        <f t="shared" si="1070"/>
        <v>0</v>
      </c>
      <c r="AE293" s="4">
        <f t="shared" si="1070"/>
        <v>0</v>
      </c>
      <c r="AF293" s="4">
        <f t="shared" si="1070"/>
        <v>0</v>
      </c>
      <c r="AG293" s="4">
        <f t="shared" si="1070"/>
        <v>0</v>
      </c>
      <c r="AH293" s="4">
        <f t="shared" si="1070"/>
        <v>0</v>
      </c>
      <c r="AI293" s="4">
        <f t="shared" si="1070"/>
        <v>0</v>
      </c>
      <c r="AJ293" s="4">
        <f t="shared" si="1070"/>
        <v>0</v>
      </c>
      <c r="AK293" s="4">
        <f t="shared" si="1070"/>
        <v>0</v>
      </c>
      <c r="AL293" s="4">
        <f t="shared" si="1070"/>
        <v>0</v>
      </c>
      <c r="AM293" s="4">
        <f t="shared" si="1070"/>
        <v>0</v>
      </c>
      <c r="AN293" s="4">
        <f t="shared" si="1054"/>
        <v>0</v>
      </c>
      <c r="AO293" s="4">
        <f t="shared" si="1055"/>
        <v>0</v>
      </c>
      <c r="AP293" s="4">
        <f t="shared" si="1056"/>
        <v>0</v>
      </c>
      <c r="AQ293" s="4">
        <f t="shared" si="1057"/>
        <v>0</v>
      </c>
      <c r="AR293" s="4">
        <f t="shared" si="1058"/>
        <v>0</v>
      </c>
      <c r="AS293" s="4">
        <f t="shared" si="1059"/>
        <v>0</v>
      </c>
      <c r="AT293" s="4">
        <f t="shared" si="1060"/>
        <v>0</v>
      </c>
      <c r="AU293" s="4">
        <f t="shared" si="1061"/>
        <v>0</v>
      </c>
      <c r="AV293" s="4">
        <f t="shared" si="1062"/>
        <v>0</v>
      </c>
      <c r="AW293" s="4">
        <f t="shared" si="1063"/>
        <v>0</v>
      </c>
      <c r="AX293" s="4">
        <f t="shared" si="1064"/>
        <v>0</v>
      </c>
      <c r="AY293" s="4">
        <f t="shared" si="1065"/>
        <v>0</v>
      </c>
      <c r="AZ293" s="24"/>
      <c r="BA293" s="237" t="s">
        <v>327</v>
      </c>
      <c r="BB293" s="7">
        <v>39.865000000000002</v>
      </c>
      <c r="BC293" s="4">
        <f>+G293</f>
        <v>121.679</v>
      </c>
      <c r="BD293" s="4">
        <f>+K293</f>
        <v>318.834</v>
      </c>
      <c r="BE293" s="4">
        <f>+O293</f>
        <v>324.91699999999997</v>
      </c>
      <c r="BF293" s="4">
        <f>+S293</f>
        <v>0</v>
      </c>
      <c r="BG293" s="4">
        <f>+W293</f>
        <v>0</v>
      </c>
      <c r="BH293" s="4">
        <f t="shared" si="1066"/>
        <v>0</v>
      </c>
      <c r="BI293" s="4">
        <f t="shared" si="1067"/>
        <v>0</v>
      </c>
      <c r="BJ293" s="4">
        <f t="shared" si="1068"/>
        <v>0</v>
      </c>
      <c r="BK293" s="4">
        <f t="shared" si="1069"/>
        <v>0</v>
      </c>
      <c r="BL293" s="4">
        <f t="shared" si="1050"/>
        <v>0</v>
      </c>
      <c r="BM293" s="4">
        <f t="shared" si="1051"/>
        <v>0</v>
      </c>
      <c r="BN293" s="4">
        <f t="shared" si="1052"/>
        <v>0</v>
      </c>
    </row>
    <row r="294" spans="1:75">
      <c r="A294" s="22"/>
      <c r="B294" t="s">
        <v>141</v>
      </c>
      <c r="D294" s="34"/>
      <c r="E294" s="34"/>
      <c r="F294" s="34"/>
      <c r="G294" s="7">
        <v>0</v>
      </c>
      <c r="H294" s="32"/>
      <c r="I294" s="7"/>
      <c r="J294" s="7"/>
      <c r="K294" s="7">
        <v>-0.35699999999999998</v>
      </c>
      <c r="L294" s="7">
        <v>-0.252</v>
      </c>
      <c r="M294" s="7">
        <v>-0.124</v>
      </c>
      <c r="N294" s="7"/>
      <c r="O294" s="7"/>
      <c r="P294" s="7"/>
      <c r="Q294" s="7">
        <v>664.75099999999998</v>
      </c>
      <c r="R294" s="7">
        <v>668.24599999999998</v>
      </c>
      <c r="S294" s="7">
        <v>670.27499999999998</v>
      </c>
      <c r="T294" s="7">
        <v>671.65</v>
      </c>
      <c r="U294" s="7">
        <v>928.31299999999999</v>
      </c>
      <c r="V294" s="7">
        <v>930.12800000000004</v>
      </c>
      <c r="W294" s="7">
        <v>931.78300000000002</v>
      </c>
      <c r="X294" s="7">
        <v>933.399</v>
      </c>
      <c r="Y294" s="7">
        <v>972.37</v>
      </c>
      <c r="Z294" s="7">
        <v>1032.912</v>
      </c>
      <c r="AA294" s="7">
        <v>1049.1759999999999</v>
      </c>
      <c r="AB294" s="10">
        <f t="shared" ref="AB294:AM294" ca="1" si="1071">+AA294+AB236+AB206</f>
        <v>1052.0273715740695</v>
      </c>
      <c r="AC294" s="10">
        <f t="shared" ca="1" si="1071"/>
        <v>1054.9258446266156</v>
      </c>
      <c r="AD294" s="10">
        <f t="shared" ca="1" si="1071"/>
        <v>1057.8773273650968</v>
      </c>
      <c r="AE294" s="10">
        <f ca="1">+AD294+AE236+AE206</f>
        <v>1060.8637524324026</v>
      </c>
      <c r="AF294" s="10">
        <f t="shared" ca="1" si="1071"/>
        <v>1063.8767376071005</v>
      </c>
      <c r="AG294" s="10">
        <f t="shared" ca="1" si="1071"/>
        <v>1066.9778332767046</v>
      </c>
      <c r="AH294" s="10">
        <f t="shared" ca="1" si="1071"/>
        <v>1070.1639251455622</v>
      </c>
      <c r="AI294" s="10">
        <f t="shared" ca="1" si="1071"/>
        <v>1073.4175299913261</v>
      </c>
      <c r="AJ294" s="10">
        <f t="shared" ca="1" si="1071"/>
        <v>1076.7127608396606</v>
      </c>
      <c r="AK294" s="10">
        <f t="shared" ca="1" si="1071"/>
        <v>1080.0943912997998</v>
      </c>
      <c r="AL294" s="10">
        <f t="shared" ca="1" si="1071"/>
        <v>1083.564695141753</v>
      </c>
      <c r="AM294" s="10">
        <f t="shared" ca="1" si="1071"/>
        <v>1087.1072343005885</v>
      </c>
      <c r="AN294" s="10">
        <f t="shared" ref="AN294" ca="1" si="1072">+AM294+AN236+AN206</f>
        <v>1090.6951653066465</v>
      </c>
      <c r="AO294" s="10">
        <f t="shared" ref="AO294" ca="1" si="1073">+AN294+AO236+AO206</f>
        <v>1094.3764402310126</v>
      </c>
      <c r="AP294" s="10">
        <f t="shared" ref="AP294" ca="1" si="1074">+AO294+AP236+AP206</f>
        <v>1098.1535600993532</v>
      </c>
      <c r="AQ294" s="10">
        <f t="shared" ref="AQ294" ca="1" si="1075">+AP294+AQ236+AQ206</f>
        <v>1102.0086036184905</v>
      </c>
      <c r="AR294" s="10">
        <f t="shared" ref="AR294" ca="1" si="1076">+AQ294+AR236+AR206</f>
        <v>1105.9122103031743</v>
      </c>
      <c r="AS294" s="10">
        <f t="shared" ref="AS294" ca="1" si="1077">+AR294+AS236+AS206</f>
        <v>1109.9160680447396</v>
      </c>
      <c r="AT294" s="10">
        <f t="shared" ref="AT294" ca="1" si="1078">+AS294+AT236+AT206</f>
        <v>1563.3681082737598</v>
      </c>
      <c r="AU294" s="10">
        <f t="shared" ref="AU294" ca="1" si="1079">+AT294+AU236+AU206</f>
        <v>1817.5577700583488</v>
      </c>
      <c r="AV294" s="10">
        <f t="shared" ref="AV294" ca="1" si="1080">+AU294+AV236+AV206</f>
        <v>1821.7983953192943</v>
      </c>
      <c r="AW294" s="10">
        <f t="shared" ref="AW294" ca="1" si="1081">+AV294+AW236+AW206</f>
        <v>1826.145752643454</v>
      </c>
      <c r="AX294" s="10">
        <f t="shared" ref="AX294" ca="1" si="1082">+AW294+AX236+AX206</f>
        <v>1830.6022814582404</v>
      </c>
      <c r="AY294" s="10">
        <f t="shared" ref="AY294" ca="1" si="1083">+AX294+AY236+AY206</f>
        <v>1835.1464016471023</v>
      </c>
      <c r="AZ294" s="24"/>
      <c r="BA294" s="237">
        <v>0</v>
      </c>
      <c r="BB294" s="10">
        <v>0</v>
      </c>
      <c r="BC294" s="4">
        <v>0</v>
      </c>
      <c r="BD294" s="4">
        <f>+K294</f>
        <v>-0.35699999999999998</v>
      </c>
      <c r="BE294" s="4">
        <f>+O294</f>
        <v>0</v>
      </c>
      <c r="BF294" s="4">
        <f>+S294</f>
        <v>670.27499999999998</v>
      </c>
      <c r="BG294" s="4">
        <f>+W294</f>
        <v>931.78300000000002</v>
      </c>
      <c r="BH294" s="4">
        <f t="shared" si="1066"/>
        <v>1049.1759999999999</v>
      </c>
      <c r="BI294" s="4">
        <f t="shared" ca="1" si="1067"/>
        <v>1060.8637524324026</v>
      </c>
      <c r="BJ294" s="4">
        <f t="shared" ca="1" si="1068"/>
        <v>1073.4175299913261</v>
      </c>
      <c r="BK294" s="4">
        <f t="shared" ca="1" si="1069"/>
        <v>1087.1072343005885</v>
      </c>
      <c r="BL294" s="4">
        <f t="shared" ca="1" si="1050"/>
        <v>1102.0086036184905</v>
      </c>
      <c r="BM294" s="4">
        <f t="shared" ca="1" si="1051"/>
        <v>1817.5577700583488</v>
      </c>
      <c r="BN294" s="4">
        <f t="shared" ca="1" si="1052"/>
        <v>1835.1464016471023</v>
      </c>
    </row>
    <row r="295" spans="1:75">
      <c r="A295" s="22"/>
      <c r="B295" t="s">
        <v>142</v>
      </c>
      <c r="D295" s="34"/>
      <c r="E295" s="34"/>
      <c r="F295" s="34"/>
      <c r="G295" s="7">
        <v>0</v>
      </c>
      <c r="H295" s="32"/>
      <c r="I295" s="7"/>
      <c r="J295" s="7"/>
      <c r="K295" s="7">
        <v>-3.7989999999999999</v>
      </c>
      <c r="L295" s="7">
        <v>-8.016</v>
      </c>
      <c r="M295" s="7">
        <v>-13.340999999999999</v>
      </c>
      <c r="N295" s="7">
        <v>-18.599</v>
      </c>
      <c r="O295" s="7">
        <v>-22.503</v>
      </c>
      <c r="P295" s="7">
        <v>-29.562999999999999</v>
      </c>
      <c r="Q295" s="7">
        <v>-38.014000000000003</v>
      </c>
      <c r="R295" s="7">
        <v>-44.142000000000003</v>
      </c>
      <c r="S295" s="7">
        <v>-52.731999999999999</v>
      </c>
      <c r="T295" s="7">
        <v>-61.753999999999998</v>
      </c>
      <c r="U295" s="7">
        <v>-73.882999999999996</v>
      </c>
      <c r="V295" s="7">
        <v>-85.378</v>
      </c>
      <c r="W295" s="7">
        <v>-97.793000000000006</v>
      </c>
      <c r="X295" s="7">
        <v>-111.65300000000001</v>
      </c>
      <c r="Y295" s="7">
        <f>-1.316-126.574</f>
        <v>-127.89</v>
      </c>
      <c r="Z295" s="7">
        <f>-1.565-139.74</f>
        <v>-141.30500000000001</v>
      </c>
      <c r="AA295" s="7">
        <f>1.283-173.552</f>
        <v>-172.26900000000001</v>
      </c>
      <c r="AB295" s="4">
        <f t="shared" ref="AB295:AY295" ca="1" si="1084">+AA295+AB126-AB185</f>
        <v>-188.75018358007054</v>
      </c>
      <c r="AC295" s="4">
        <f t="shared" ca="1" si="1084"/>
        <v>-208.87907055469717</v>
      </c>
      <c r="AD295" s="4">
        <f t="shared" ca="1" si="1084"/>
        <v>-230.64060822740723</v>
      </c>
      <c r="AE295" s="4">
        <f t="shared" ca="1" si="1084"/>
        <v>-252.8398719706444</v>
      </c>
      <c r="AF295" s="4">
        <f t="shared" ca="1" si="1084"/>
        <v>-278.34828633067428</v>
      </c>
      <c r="AG295" s="4">
        <f t="shared" ca="1" si="1084"/>
        <v>-305.54051786991698</v>
      </c>
      <c r="AH295" s="4">
        <f t="shared" ca="1" si="1084"/>
        <v>-332.34701165963173</v>
      </c>
      <c r="AI295" s="4">
        <f t="shared" ca="1" si="1084"/>
        <v>-357.07015811928159</v>
      </c>
      <c r="AJ295" s="4">
        <f t="shared" ca="1" si="1084"/>
        <v>-382.36416591215254</v>
      </c>
      <c r="AK295" s="4">
        <f t="shared" ca="1" si="1084"/>
        <v>-409.1323014586884</v>
      </c>
      <c r="AL295" s="4">
        <f t="shared" ca="1" si="1084"/>
        <v>-435.10585793263755</v>
      </c>
      <c r="AM295" s="4">
        <f t="shared" ca="1" si="1084"/>
        <v>-458.43389434229397</v>
      </c>
      <c r="AN295" s="4">
        <f t="shared" ca="1" si="1084"/>
        <v>-484.53757190217874</v>
      </c>
      <c r="AO295" s="4">
        <f t="shared" ca="1" si="1084"/>
        <v>-512.0267197159535</v>
      </c>
      <c r="AP295" s="4">
        <f t="shared" ca="1" si="1084"/>
        <v>-538.55446024685398</v>
      </c>
      <c r="AQ295" s="4">
        <f t="shared" ca="1" si="1084"/>
        <v>-562.1298269047569</v>
      </c>
      <c r="AR295" s="4">
        <f t="shared" ca="1" si="1084"/>
        <v>-590.13593641858938</v>
      </c>
      <c r="AS295" s="4">
        <f t="shared" ca="1" si="1084"/>
        <v>-618.74847213460475</v>
      </c>
      <c r="AT295" s="4">
        <f t="shared" ca="1" si="1084"/>
        <v>-650.68047478142614</v>
      </c>
      <c r="AU295" s="4">
        <f t="shared" ca="1" si="1084"/>
        <v>-683.06482609078205</v>
      </c>
      <c r="AV295" s="4">
        <f t="shared" ca="1" si="1084"/>
        <v>-708.40230459379484</v>
      </c>
      <c r="AW295" s="4">
        <f t="shared" ca="1" si="1084"/>
        <v>-735.2399036204373</v>
      </c>
      <c r="AX295" s="4">
        <f t="shared" ca="1" si="1084"/>
        <v>-760.79635694826823</v>
      </c>
      <c r="AY295" s="4">
        <f t="shared" ca="1" si="1084"/>
        <v>-782.75789481629681</v>
      </c>
      <c r="AZ295" s="24"/>
      <c r="BA295" s="237">
        <v>0</v>
      </c>
      <c r="BB295" s="4">
        <v>0</v>
      </c>
      <c r="BC295" s="4">
        <v>0</v>
      </c>
      <c r="BD295" s="4">
        <f>+K295</f>
        <v>-3.7989999999999999</v>
      </c>
      <c r="BE295" s="4">
        <f>+O295</f>
        <v>-22.503</v>
      </c>
      <c r="BF295" s="4">
        <f>+S295</f>
        <v>-52.731999999999999</v>
      </c>
      <c r="BG295" s="4">
        <f>+W295</f>
        <v>-97.793000000000006</v>
      </c>
      <c r="BH295" s="4">
        <f t="shared" si="1066"/>
        <v>-172.26900000000001</v>
      </c>
      <c r="BI295" s="4">
        <f t="shared" ca="1" si="1067"/>
        <v>-252.8398719706444</v>
      </c>
      <c r="BJ295" s="4">
        <f t="shared" ca="1" si="1068"/>
        <v>-357.07015811928159</v>
      </c>
      <c r="BK295" s="4">
        <f t="shared" ca="1" si="1069"/>
        <v>-458.43389434229397</v>
      </c>
      <c r="BL295" s="4">
        <f t="shared" ca="1" si="1050"/>
        <v>-562.1298269047569</v>
      </c>
      <c r="BM295" s="4">
        <f t="shared" ca="1" si="1051"/>
        <v>-683.06482609078205</v>
      </c>
      <c r="BN295" s="4">
        <f t="shared" ca="1" si="1052"/>
        <v>-782.75789481629681</v>
      </c>
    </row>
    <row r="296" spans="1:75">
      <c r="D296" s="33"/>
      <c r="E296" s="33"/>
      <c r="F296" s="33"/>
      <c r="G296" s="4"/>
      <c r="H296" s="32"/>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24"/>
      <c r="BA296" s="237"/>
      <c r="BB296" s="4"/>
      <c r="BC296" s="4"/>
      <c r="BD296" s="4"/>
      <c r="BE296" s="4"/>
      <c r="BF296" s="4"/>
      <c r="BG296" s="4"/>
      <c r="BH296" s="4">
        <f t="shared" si="1066"/>
        <v>0</v>
      </c>
      <c r="BI296" s="4">
        <f t="shared" si="1067"/>
        <v>0</v>
      </c>
      <c r="BJ296" s="4">
        <f t="shared" si="1068"/>
        <v>0</v>
      </c>
      <c r="BK296" s="4">
        <f t="shared" si="1069"/>
        <v>0</v>
      </c>
      <c r="BL296" s="4">
        <f t="shared" si="1050"/>
        <v>0</v>
      </c>
      <c r="BM296" s="4">
        <f t="shared" si="1051"/>
        <v>0</v>
      </c>
      <c r="BN296" s="4">
        <f t="shared" si="1052"/>
        <v>0</v>
      </c>
    </row>
    <row r="297" spans="1:75">
      <c r="B297" t="s">
        <v>354</v>
      </c>
      <c r="D297" s="33"/>
      <c r="E297" s="33"/>
      <c r="F297" s="33"/>
      <c r="G297" s="4"/>
      <c r="H297" s="32"/>
      <c r="I297" s="4"/>
      <c r="J297" s="4"/>
      <c r="K297" s="7">
        <v>84.736999999999995</v>
      </c>
      <c r="L297" s="7">
        <v>83.600999999999999</v>
      </c>
      <c r="M297" s="7">
        <v>82.757999999999996</v>
      </c>
      <c r="N297" s="7">
        <v>81.069999999999993</v>
      </c>
      <c r="O297" s="7">
        <v>77.477000000000004</v>
      </c>
      <c r="P297" s="7">
        <v>93.253</v>
      </c>
      <c r="Q297" s="7">
        <v>107.339</v>
      </c>
      <c r="R297" s="7">
        <v>104.03700000000001</v>
      </c>
      <c r="S297" s="7">
        <v>101.911</v>
      </c>
      <c r="T297" s="7">
        <v>100.17400000000001</v>
      </c>
      <c r="U297" s="7">
        <v>120.935</v>
      </c>
      <c r="V297" s="7">
        <v>119.514</v>
      </c>
      <c r="W297" s="7">
        <v>118.342</v>
      </c>
      <c r="X297" s="7">
        <v>116.05500000000001</v>
      </c>
      <c r="Y297" s="7">
        <v>117.38800000000001</v>
      </c>
      <c r="Z297" s="7">
        <v>115.994</v>
      </c>
      <c r="AA297" s="7">
        <v>113.242</v>
      </c>
      <c r="AB297" s="4">
        <f t="shared" ref="AB297:AM297" si="1085">+AA297</f>
        <v>113.242</v>
      </c>
      <c r="AC297" s="4">
        <f t="shared" si="1085"/>
        <v>113.242</v>
      </c>
      <c r="AD297" s="4">
        <f t="shared" si="1085"/>
        <v>113.242</v>
      </c>
      <c r="AE297" s="4">
        <f t="shared" si="1085"/>
        <v>113.242</v>
      </c>
      <c r="AF297" s="4">
        <f t="shared" si="1085"/>
        <v>113.242</v>
      </c>
      <c r="AG297" s="4">
        <f t="shared" si="1085"/>
        <v>113.242</v>
      </c>
      <c r="AH297" s="4">
        <f t="shared" si="1085"/>
        <v>113.242</v>
      </c>
      <c r="AI297" s="4">
        <f t="shared" si="1085"/>
        <v>113.242</v>
      </c>
      <c r="AJ297" s="4">
        <f t="shared" si="1085"/>
        <v>113.242</v>
      </c>
      <c r="AK297" s="4">
        <f t="shared" si="1085"/>
        <v>113.242</v>
      </c>
      <c r="AL297" s="4">
        <f t="shared" si="1085"/>
        <v>113.242</v>
      </c>
      <c r="AM297" s="4">
        <f t="shared" si="1085"/>
        <v>113.242</v>
      </c>
      <c r="AN297" s="4">
        <f t="shared" ref="AN297" si="1086">+AM297</f>
        <v>113.242</v>
      </c>
      <c r="AO297" s="4">
        <f t="shared" ref="AO297" si="1087">+AN297</f>
        <v>113.242</v>
      </c>
      <c r="AP297" s="4">
        <f t="shared" ref="AP297" si="1088">+AO297</f>
        <v>113.242</v>
      </c>
      <c r="AQ297" s="4">
        <f t="shared" ref="AQ297" si="1089">+AP297</f>
        <v>113.242</v>
      </c>
      <c r="AR297" s="4">
        <f t="shared" ref="AR297" si="1090">+AQ297</f>
        <v>113.242</v>
      </c>
      <c r="AS297" s="4">
        <f t="shared" ref="AS297" si="1091">+AR297</f>
        <v>113.242</v>
      </c>
      <c r="AT297" s="4">
        <f t="shared" ref="AT297" si="1092">+AS297</f>
        <v>113.242</v>
      </c>
      <c r="AU297" s="4">
        <f t="shared" ref="AU297" si="1093">+AT297</f>
        <v>113.242</v>
      </c>
      <c r="AV297" s="4">
        <f t="shared" ref="AV297" si="1094">+AU297</f>
        <v>113.242</v>
      </c>
      <c r="AW297" s="4">
        <f t="shared" ref="AW297" si="1095">+AV297</f>
        <v>113.242</v>
      </c>
      <c r="AX297" s="4">
        <f t="shared" ref="AX297" si="1096">+AW297</f>
        <v>113.242</v>
      </c>
      <c r="AY297" s="4">
        <f t="shared" ref="AY297" si="1097">+AX297</f>
        <v>113.242</v>
      </c>
      <c r="AZ297" s="24"/>
      <c r="BA297" s="237"/>
      <c r="BB297" s="4"/>
      <c r="BC297" s="4"/>
      <c r="BD297" s="4">
        <f>+K297</f>
        <v>84.736999999999995</v>
      </c>
      <c r="BE297" s="4">
        <f>+O297</f>
        <v>77.477000000000004</v>
      </c>
      <c r="BF297" s="4">
        <f>+S297</f>
        <v>101.911</v>
      </c>
      <c r="BG297" s="4">
        <f>+W297</f>
        <v>118.342</v>
      </c>
      <c r="BH297" s="4">
        <f t="shared" si="1066"/>
        <v>113.242</v>
      </c>
      <c r="BI297" s="4">
        <f t="shared" si="1067"/>
        <v>113.242</v>
      </c>
      <c r="BJ297" s="4">
        <f t="shared" si="1068"/>
        <v>113.242</v>
      </c>
      <c r="BK297" s="4">
        <f t="shared" si="1069"/>
        <v>113.242</v>
      </c>
      <c r="BL297" s="4">
        <f t="shared" si="1050"/>
        <v>113.242</v>
      </c>
      <c r="BM297" s="4">
        <f t="shared" si="1051"/>
        <v>113.242</v>
      </c>
      <c r="BN297" s="4">
        <f t="shared" si="1052"/>
        <v>113.242</v>
      </c>
    </row>
    <row r="298" spans="1:75">
      <c r="D298" s="33"/>
      <c r="E298" s="33"/>
      <c r="F298" s="33"/>
      <c r="G298" s="4"/>
      <c r="H298" s="32"/>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24"/>
      <c r="BA298" s="237"/>
      <c r="BB298" s="4"/>
      <c r="BC298" s="4"/>
      <c r="BD298" s="4"/>
      <c r="BE298" s="4"/>
      <c r="BF298" s="4"/>
      <c r="BG298" s="4"/>
      <c r="BH298" s="4"/>
      <c r="BI298" s="4"/>
      <c r="BJ298" s="4"/>
      <c r="BK298" s="4"/>
      <c r="BL298" s="4"/>
      <c r="BM298" s="4"/>
      <c r="BN298" s="4"/>
    </row>
    <row r="299" spans="1:75">
      <c r="B299" t="s">
        <v>97</v>
      </c>
      <c r="D299" s="33"/>
      <c r="E299" s="33"/>
      <c r="F299" s="33"/>
      <c r="G299" s="4">
        <f>+G289+SUM(G293:G294)</f>
        <v>685.44299999999998</v>
      </c>
      <c r="H299" s="32"/>
      <c r="I299" s="4">
        <f>+I289+SUM(I293:I294)</f>
        <v>758.43200000000002</v>
      </c>
      <c r="J299" s="4">
        <f>+J289+SUM(J293:J294)</f>
        <v>781.947</v>
      </c>
      <c r="K299" s="4">
        <f>+K289+SUM(K292:K295)+K297</f>
        <v>831.35599999999988</v>
      </c>
      <c r="L299" s="4">
        <f>+L289+SUM(L292:L295)+L297</f>
        <v>877.02100000000007</v>
      </c>
      <c r="M299" s="4">
        <f>+M289+SUM(M292:M295)+M297</f>
        <v>990.92700000000013</v>
      </c>
      <c r="N299" s="4">
        <f>+N289+SUM(N292:N295)+N297</f>
        <v>1050.1490000000001</v>
      </c>
      <c r="O299" s="4">
        <f>+O289+SUM(O292:O295)+O297</f>
        <v>1106.559</v>
      </c>
      <c r="P299" s="4">
        <f t="shared" ref="P299:U299" si="1098">+P289+SUM(P292:P295)+P297</f>
        <v>1185.99</v>
      </c>
      <c r="Q299" s="4">
        <f t="shared" si="1098"/>
        <v>1652.0279999999998</v>
      </c>
      <c r="R299" s="4">
        <f t="shared" si="1098"/>
        <v>1705.491</v>
      </c>
      <c r="S299" s="4">
        <f t="shared" si="1098"/>
        <v>1757.509</v>
      </c>
      <c r="T299" s="4">
        <f t="shared" si="1098"/>
        <v>1799.4079999999997</v>
      </c>
      <c r="U299" s="4">
        <f t="shared" si="1098"/>
        <v>1946.6849999999999</v>
      </c>
      <c r="V299" s="4">
        <f t="shared" ref="V299:AA299" si="1099">+V289+SUM(V292:V295)+V297</f>
        <v>1986.587</v>
      </c>
      <c r="W299" s="4">
        <f t="shared" si="1099"/>
        <v>2086.4699999999998</v>
      </c>
      <c r="X299" s="4">
        <f t="shared" si="1099"/>
        <v>2130.5819999999999</v>
      </c>
      <c r="Y299" s="4">
        <f t="shared" si="1099"/>
        <v>2206.3829999999998</v>
      </c>
      <c r="Z299" s="4">
        <f t="shared" si="1099"/>
        <v>2258.4460000000004</v>
      </c>
      <c r="AA299" s="4">
        <f t="shared" si="1099"/>
        <v>2415.0560000000005</v>
      </c>
      <c r="AB299" s="4">
        <f ca="1">+AB289+SUM(AB291:AB295)+AB297</f>
        <v>2485.5574502620666</v>
      </c>
      <c r="AC299" s="4">
        <f t="shared" ref="AC299:AY299" ca="1" si="1100">+AC289+SUM(AC291:AC295)+AC297</f>
        <v>2538.1966315016239</v>
      </c>
      <c r="AD299" s="4">
        <f t="shared" ca="1" si="1100"/>
        <v>2599.6472053056432</v>
      </c>
      <c r="AE299" s="4">
        <f t="shared" ca="1" si="1100"/>
        <v>2659.7725700235919</v>
      </c>
      <c r="AF299" s="4">
        <f t="shared" ca="1" si="1100"/>
        <v>2669.3104437741677</v>
      </c>
      <c r="AG299" s="4">
        <f t="shared" ca="1" si="1100"/>
        <v>2676.8700661734242</v>
      </c>
      <c r="AH299" s="4">
        <f t="shared" ca="1" si="1100"/>
        <v>2681.3468176014931</v>
      </c>
      <c r="AI299" s="4">
        <f t="shared" ca="1" si="1100"/>
        <v>2682.1369594417292</v>
      </c>
      <c r="AJ299" s="4">
        <f t="shared" ca="1" si="1100"/>
        <v>2678.6653876862488</v>
      </c>
      <c r="AK299" s="4">
        <f t="shared" ca="1" si="1100"/>
        <v>2672.4880775008119</v>
      </c>
      <c r="AL299" s="4">
        <f t="shared" ca="1" si="1100"/>
        <v>2662.9082283575799</v>
      </c>
      <c r="AM299" s="4">
        <f t="shared" ca="1" si="1100"/>
        <v>2653.0346934171093</v>
      </c>
      <c r="AN299" s="4">
        <f t="shared" ca="1" si="1100"/>
        <v>2642.3764213388777</v>
      </c>
      <c r="AO299" s="4">
        <f t="shared" ca="1" si="1100"/>
        <v>2632.5513299897275</v>
      </c>
      <c r="AP299" s="4">
        <f t="shared" ca="1" si="1100"/>
        <v>2622.9273332226885</v>
      </c>
      <c r="AQ299" s="4">
        <f t="shared" ca="1" si="1100"/>
        <v>2612.974797407227</v>
      </c>
      <c r="AR299" s="4">
        <f t="shared" ca="1" si="1100"/>
        <v>2602.1561061873817</v>
      </c>
      <c r="AS299" s="4">
        <f t="shared" ca="1" si="1100"/>
        <v>2111.2212918210516</v>
      </c>
      <c r="AT299" s="4">
        <f t="shared" ca="1" si="1100"/>
        <v>2582.4838464044465</v>
      </c>
      <c r="AU299" s="4">
        <f t="shared" ca="1" si="1100"/>
        <v>2811.3697273337348</v>
      </c>
      <c r="AV299" s="4">
        <f t="shared" ca="1" si="1100"/>
        <v>2785.350326313157</v>
      </c>
      <c r="AW299" s="4">
        <f t="shared" ca="1" si="1100"/>
        <v>2766.5250477830641</v>
      </c>
      <c r="AX299" s="4">
        <f t="shared" ca="1" si="1100"/>
        <v>2749.1739812153987</v>
      </c>
      <c r="AY299" s="4">
        <f t="shared" ca="1" si="1100"/>
        <v>2734.7771902388295</v>
      </c>
      <c r="AZ299" s="24"/>
      <c r="BA299" s="237" t="s">
        <v>327</v>
      </c>
      <c r="BB299" s="4">
        <f>+BB289+SUM(BB293:BB295)</f>
        <v>521.05599999999993</v>
      </c>
      <c r="BC299" s="4">
        <f t="shared" ref="BC299:BF299" si="1101">+BC289+SUM(BC292:BC295)+BC297</f>
        <v>685.44299999999998</v>
      </c>
      <c r="BD299" s="4">
        <f t="shared" si="1101"/>
        <v>831.35599999999988</v>
      </c>
      <c r="BE299" s="4">
        <f t="shared" si="1101"/>
        <v>1106.559</v>
      </c>
      <c r="BF299" s="4">
        <f t="shared" si="1101"/>
        <v>1757.509</v>
      </c>
      <c r="BG299" s="4">
        <f t="shared" ref="BG299:BN299" si="1102">+BG289+SUM(BG291:BG295)+BG297</f>
        <v>2086.4699999999998</v>
      </c>
      <c r="BH299" s="4">
        <f t="shared" si="1102"/>
        <v>2415.0560000000005</v>
      </c>
      <c r="BI299" s="4">
        <f t="shared" ca="1" si="1102"/>
        <v>2659.7725700235919</v>
      </c>
      <c r="BJ299" s="4">
        <f t="shared" ca="1" si="1102"/>
        <v>2682.1369594417292</v>
      </c>
      <c r="BK299" s="4">
        <f t="shared" ca="1" si="1102"/>
        <v>2653.0346934171093</v>
      </c>
      <c r="BL299" s="4">
        <f t="shared" ca="1" si="1102"/>
        <v>2612.974797407227</v>
      </c>
      <c r="BM299" s="4">
        <f t="shared" ca="1" si="1102"/>
        <v>2811.3697273337348</v>
      </c>
      <c r="BN299" s="4">
        <f t="shared" ca="1" si="1102"/>
        <v>2734.7771902388295</v>
      </c>
    </row>
    <row r="300" spans="1:75">
      <c r="D300" s="33"/>
      <c r="E300" s="33"/>
      <c r="F300" s="33"/>
      <c r="G300" s="4"/>
      <c r="H300" s="32"/>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24"/>
      <c r="BA300" s="4"/>
      <c r="BB300" s="4"/>
      <c r="BC300" s="4"/>
      <c r="BD300" s="4"/>
      <c r="BE300" s="4"/>
      <c r="BF300" s="4"/>
      <c r="BG300" s="4"/>
      <c r="BH300" s="4"/>
      <c r="BI300" s="4"/>
      <c r="BJ300" s="4"/>
      <c r="BK300" s="4"/>
      <c r="BL300" s="4"/>
      <c r="BM300" s="4"/>
      <c r="BN300" s="4"/>
    </row>
    <row r="301" spans="1:75">
      <c r="B301" s="20" t="s">
        <v>119</v>
      </c>
      <c r="C301" s="20"/>
      <c r="D301" s="194"/>
      <c r="E301" s="194"/>
      <c r="F301" s="194"/>
      <c r="G301" s="21">
        <f>+G299-G276</f>
        <v>0</v>
      </c>
      <c r="H301" s="197"/>
      <c r="I301" s="21">
        <f>+I299-I276</f>
        <v>0</v>
      </c>
      <c r="J301" s="21">
        <f t="shared" ref="J301:O301" si="1103">+J299-J276</f>
        <v>0</v>
      </c>
      <c r="K301" s="21">
        <f t="shared" si="1103"/>
        <v>0</v>
      </c>
      <c r="L301" s="21">
        <f t="shared" si="1103"/>
        <v>0</v>
      </c>
      <c r="M301" s="21">
        <f t="shared" si="1103"/>
        <v>0</v>
      </c>
      <c r="N301" s="21">
        <f t="shared" si="1103"/>
        <v>0</v>
      </c>
      <c r="O301" s="21">
        <f t="shared" si="1103"/>
        <v>0</v>
      </c>
      <c r="P301" s="21">
        <f t="shared" ref="P301:W301" si="1104">+P299-P276</f>
        <v>0</v>
      </c>
      <c r="Q301" s="21">
        <f t="shared" si="1104"/>
        <v>0</v>
      </c>
      <c r="R301" s="21">
        <f t="shared" si="1104"/>
        <v>0</v>
      </c>
      <c r="S301" s="21">
        <f t="shared" si="1104"/>
        <v>0</v>
      </c>
      <c r="T301" s="21">
        <f t="shared" si="1104"/>
        <v>0</v>
      </c>
      <c r="U301" s="21">
        <f t="shared" si="1104"/>
        <v>0</v>
      </c>
      <c r="V301" s="21">
        <f t="shared" si="1104"/>
        <v>0</v>
      </c>
      <c r="W301" s="21">
        <f t="shared" si="1104"/>
        <v>0</v>
      </c>
      <c r="X301" s="21">
        <f>+X299-X276</f>
        <v>0</v>
      </c>
      <c r="Y301" s="21">
        <f>+Y299-Y276</f>
        <v>0</v>
      </c>
      <c r="Z301" s="21">
        <f>+Z299-Z276</f>
        <v>0</v>
      </c>
      <c r="AA301" s="21">
        <f>+AA299-AA276</f>
        <v>0</v>
      </c>
      <c r="AB301" s="21">
        <f t="shared" ref="AB301:AL301" ca="1" si="1105">+AB299-AB276</f>
        <v>0</v>
      </c>
      <c r="AC301" s="21">
        <f t="shared" ca="1" si="1105"/>
        <v>0</v>
      </c>
      <c r="AD301" s="21">
        <f t="shared" ca="1" si="1105"/>
        <v>0</v>
      </c>
      <c r="AE301" s="21">
        <f t="shared" ca="1" si="1105"/>
        <v>0</v>
      </c>
      <c r="AF301" s="21">
        <f t="shared" ca="1" si="1105"/>
        <v>0</v>
      </c>
      <c r="AG301" s="21">
        <f t="shared" ca="1" si="1105"/>
        <v>0</v>
      </c>
      <c r="AH301" s="21">
        <f t="shared" ca="1" si="1105"/>
        <v>0</v>
      </c>
      <c r="AI301" s="21">
        <f t="shared" ca="1" si="1105"/>
        <v>0</v>
      </c>
      <c r="AJ301" s="21">
        <f t="shared" ca="1" si="1105"/>
        <v>0</v>
      </c>
      <c r="AK301" s="21">
        <f t="shared" ca="1" si="1105"/>
        <v>0</v>
      </c>
      <c r="AL301" s="21">
        <f t="shared" ca="1" si="1105"/>
        <v>0</v>
      </c>
      <c r="AM301" s="21">
        <f ca="1">+AM299-AM276</f>
        <v>0</v>
      </c>
      <c r="AN301" s="21">
        <f t="shared" ref="AN301:AY301" ca="1" si="1106">+AN299-AN276</f>
        <v>0</v>
      </c>
      <c r="AO301" s="21">
        <f t="shared" ca="1" si="1106"/>
        <v>0</v>
      </c>
      <c r="AP301" s="21">
        <f t="shared" ca="1" si="1106"/>
        <v>0</v>
      </c>
      <c r="AQ301" s="21">
        <f t="shared" ca="1" si="1106"/>
        <v>0</v>
      </c>
      <c r="AR301" s="21">
        <f t="shared" ca="1" si="1106"/>
        <v>0</v>
      </c>
      <c r="AS301" s="21">
        <f t="shared" ca="1" si="1106"/>
        <v>0</v>
      </c>
      <c r="AT301" s="21">
        <f t="shared" ca="1" si="1106"/>
        <v>0</v>
      </c>
      <c r="AU301" s="21">
        <f t="shared" ca="1" si="1106"/>
        <v>0</v>
      </c>
      <c r="AV301" s="21">
        <f t="shared" ca="1" si="1106"/>
        <v>0</v>
      </c>
      <c r="AW301" s="21">
        <f t="shared" ca="1" si="1106"/>
        <v>0</v>
      </c>
      <c r="AX301" s="21">
        <f t="shared" ca="1" si="1106"/>
        <v>0</v>
      </c>
      <c r="AY301" s="21">
        <f t="shared" ca="1" si="1106"/>
        <v>0</v>
      </c>
      <c r="AZ301" s="24"/>
      <c r="BA301" s="21"/>
      <c r="BB301" s="21">
        <f t="shared" ref="BB301:BG301" si="1107">+BB299-BB276</f>
        <v>0</v>
      </c>
      <c r="BC301" s="21">
        <f t="shared" si="1107"/>
        <v>0</v>
      </c>
      <c r="BD301" s="21">
        <f t="shared" si="1107"/>
        <v>0</v>
      </c>
      <c r="BE301" s="21">
        <f t="shared" si="1107"/>
        <v>0</v>
      </c>
      <c r="BF301" s="21">
        <f t="shared" si="1107"/>
        <v>0</v>
      </c>
      <c r="BG301" s="21">
        <f t="shared" si="1107"/>
        <v>0</v>
      </c>
      <c r="BH301" s="21">
        <f>+BH299-BH276</f>
        <v>0</v>
      </c>
      <c r="BI301" s="21">
        <f ca="1">+BI299-BI276</f>
        <v>0</v>
      </c>
      <c r="BJ301" s="21">
        <f ca="1">+BJ299-BJ276</f>
        <v>0</v>
      </c>
      <c r="BK301" s="21">
        <f ca="1">+BK299-BK276</f>
        <v>0</v>
      </c>
      <c r="BL301" s="21">
        <f t="shared" ref="BL301:BN301" ca="1" si="1108">+BL299-BL276</f>
        <v>0</v>
      </c>
      <c r="BM301" s="21">
        <f t="shared" ca="1" si="1108"/>
        <v>0</v>
      </c>
      <c r="BN301" s="21">
        <f t="shared" ca="1" si="1108"/>
        <v>0</v>
      </c>
    </row>
    <row r="302" spans="1:75">
      <c r="D302" s="195"/>
      <c r="E302" s="195"/>
      <c r="F302" s="195"/>
      <c r="G302" s="6"/>
      <c r="H302" s="32"/>
      <c r="I302" s="6"/>
      <c r="J302" s="6"/>
      <c r="K302" s="6"/>
      <c r="L302" s="6"/>
      <c r="M302" s="6"/>
      <c r="N302" s="6"/>
      <c r="O302" s="6"/>
      <c r="P302" s="6"/>
      <c r="Q302" s="6"/>
      <c r="R302" s="6"/>
      <c r="S302" s="6"/>
      <c r="T302" s="6"/>
      <c r="U302" s="6"/>
      <c r="V302" s="6"/>
      <c r="W302" s="6"/>
      <c r="X302" s="6"/>
      <c r="Y302" s="6"/>
      <c r="Z302" s="6"/>
      <c r="AA302" s="6"/>
      <c r="AB302" s="54"/>
      <c r="AC302" s="54"/>
      <c r="AD302" s="54"/>
      <c r="AE302" s="54"/>
      <c r="AF302" s="54"/>
      <c r="AG302" s="54"/>
      <c r="AH302" s="54"/>
      <c r="AI302" s="54"/>
      <c r="AJ302" s="54"/>
      <c r="AK302" s="54"/>
      <c r="AL302" s="54"/>
      <c r="AM302" s="54"/>
      <c r="AN302" s="54"/>
      <c r="AO302" s="54"/>
      <c r="AP302" s="54"/>
      <c r="AQ302" s="54"/>
      <c r="AR302" s="54"/>
      <c r="AS302" s="54"/>
      <c r="AT302" s="54"/>
      <c r="AU302" s="54"/>
      <c r="AV302" s="54"/>
      <c r="AW302" s="54"/>
      <c r="AX302" s="54"/>
      <c r="AY302" s="54"/>
      <c r="AZ302" s="54"/>
      <c r="BA302" s="6"/>
      <c r="BB302" s="6"/>
      <c r="BC302" s="6"/>
      <c r="BD302" s="6"/>
      <c r="BE302" s="6"/>
      <c r="BF302" s="6"/>
      <c r="BG302" s="6"/>
      <c r="BH302" s="6"/>
      <c r="BI302" s="6"/>
      <c r="BJ302" s="6"/>
      <c r="BK302" s="6"/>
      <c r="BL302" s="6"/>
      <c r="BM302" s="6"/>
      <c r="BN302" s="6"/>
    </row>
    <row r="303" spans="1:75">
      <c r="B303" s="9" t="s">
        <v>109</v>
      </c>
      <c r="D303" s="195"/>
      <c r="E303" s="195"/>
      <c r="F303" s="195"/>
      <c r="G303" s="6"/>
      <c r="H303" s="32"/>
      <c r="I303" s="6"/>
      <c r="J303" s="6"/>
      <c r="K303" s="6"/>
      <c r="L303" s="6"/>
      <c r="M303" s="6"/>
      <c r="N303" s="6"/>
      <c r="O303" s="6"/>
      <c r="P303" s="6"/>
      <c r="Q303" s="6"/>
      <c r="R303" s="6"/>
      <c r="S303" s="6"/>
      <c r="T303" s="6"/>
      <c r="U303" s="6"/>
      <c r="V303" s="6"/>
      <c r="W303" s="6"/>
      <c r="X303" s="6"/>
      <c r="Y303" s="6"/>
      <c r="Z303" s="6"/>
      <c r="AA303" s="6"/>
      <c r="AB303" s="6"/>
      <c r="AC303" s="6"/>
      <c r="AD303" s="6"/>
      <c r="AE303" s="6"/>
      <c r="AF303" s="6"/>
      <c r="AG303" s="6"/>
      <c r="AH303" s="6"/>
      <c r="AI303" s="6"/>
      <c r="AJ303" s="6"/>
      <c r="AK303" s="6"/>
      <c r="AL303" s="6"/>
      <c r="AM303" s="6"/>
      <c r="AN303" s="6"/>
      <c r="AO303" s="6"/>
      <c r="AP303" s="6"/>
      <c r="AQ303" s="6"/>
      <c r="AR303" s="6"/>
      <c r="AS303" s="6"/>
      <c r="AT303" s="6"/>
      <c r="AU303" s="6"/>
      <c r="AV303" s="6"/>
      <c r="AW303" s="6"/>
      <c r="AX303" s="6"/>
      <c r="AY303" s="6"/>
      <c r="AZ303" s="54"/>
      <c r="BA303" s="6"/>
      <c r="BB303" s="6"/>
      <c r="BC303" s="6"/>
      <c r="BD303" s="6"/>
      <c r="BE303" s="6"/>
      <c r="BF303" s="6"/>
      <c r="BG303" s="6"/>
      <c r="BH303" s="6"/>
      <c r="BI303" s="6"/>
      <c r="BJ303" s="6"/>
      <c r="BK303" s="6"/>
      <c r="BL303" s="6"/>
      <c r="BM303" s="6"/>
      <c r="BN303" s="6"/>
    </row>
    <row r="304" spans="1:75" s="31" customFormat="1">
      <c r="A304"/>
      <c r="B304" t="s">
        <v>123</v>
      </c>
      <c r="C304"/>
      <c r="D304" s="196"/>
      <c r="E304" s="196"/>
      <c r="F304" s="196"/>
      <c r="G304" s="30">
        <f>+(90*G269)/G$86</f>
        <v>28.157860267728502</v>
      </c>
      <c r="H304" s="32"/>
      <c r="I304" s="30">
        <f t="shared" ref="I304:N304" si="1109">+(90*I269)/I$86</f>
        <v>27.280857009781087</v>
      </c>
      <c r="J304" s="30">
        <f t="shared" si="1109"/>
        <v>24.504563233376793</v>
      </c>
      <c r="K304" s="30">
        <f t="shared" si="1109"/>
        <v>27.389571780977882</v>
      </c>
      <c r="L304" s="30">
        <f t="shared" si="1109"/>
        <v>21.141531986188014</v>
      </c>
      <c r="M304" s="30">
        <f t="shared" si="1109"/>
        <v>22.043320737075856</v>
      </c>
      <c r="N304" s="30">
        <f t="shared" si="1109"/>
        <v>21.632927776339631</v>
      </c>
      <c r="O304" s="30">
        <f t="shared" ref="O304:T304" si="1110">+(90*O269)/O$86</f>
        <v>23.539949297382606</v>
      </c>
      <c r="P304" s="30">
        <f t="shared" si="1110"/>
        <v>24.528394096373766</v>
      </c>
      <c r="Q304" s="30">
        <f t="shared" si="1110"/>
        <v>40.361730551844616</v>
      </c>
      <c r="R304" s="30">
        <f t="shared" si="1110"/>
        <v>31.411407357408031</v>
      </c>
      <c r="S304" s="30">
        <f t="shared" si="1110"/>
        <v>27.413636854029559</v>
      </c>
      <c r="T304" s="30">
        <f t="shared" si="1110"/>
        <v>29.326354887725813</v>
      </c>
      <c r="U304" s="30">
        <f t="shared" ref="U304:Z304" si="1111">+(90*U269)/U$86</f>
        <v>32.125203927568975</v>
      </c>
      <c r="V304" s="30">
        <f t="shared" si="1111"/>
        <v>29.742231672546275</v>
      </c>
      <c r="W304" s="30">
        <f t="shared" si="1111"/>
        <v>35.456123213489747</v>
      </c>
      <c r="X304" s="30">
        <f t="shared" si="1111"/>
        <v>35.93578951341965</v>
      </c>
      <c r="Y304" s="30">
        <f t="shared" si="1111"/>
        <v>36.739069974413177</v>
      </c>
      <c r="Z304" s="30">
        <f t="shared" si="1111"/>
        <v>37.424121230233723</v>
      </c>
      <c r="AA304" s="30">
        <f t="shared" ref="AA304" si="1112">+(90*AA269)/AA$86</f>
        <v>35.607639326891544</v>
      </c>
      <c r="AB304" s="18">
        <f t="shared" ref="AB304:AM304" si="1113">+AA304</f>
        <v>35.607639326891544</v>
      </c>
      <c r="AC304" s="18">
        <f t="shared" si="1113"/>
        <v>35.607639326891544</v>
      </c>
      <c r="AD304" s="18">
        <f t="shared" si="1113"/>
        <v>35.607639326891544</v>
      </c>
      <c r="AE304" s="18">
        <f t="shared" si="1113"/>
        <v>35.607639326891544</v>
      </c>
      <c r="AF304" s="18">
        <f t="shared" si="1113"/>
        <v>35.607639326891544</v>
      </c>
      <c r="AG304" s="18">
        <f t="shared" si="1113"/>
        <v>35.607639326891544</v>
      </c>
      <c r="AH304" s="18">
        <f t="shared" si="1113"/>
        <v>35.607639326891544</v>
      </c>
      <c r="AI304" s="18">
        <f t="shared" si="1113"/>
        <v>35.607639326891544</v>
      </c>
      <c r="AJ304" s="18">
        <f t="shared" si="1113"/>
        <v>35.607639326891544</v>
      </c>
      <c r="AK304" s="18">
        <f t="shared" si="1113"/>
        <v>35.607639326891544</v>
      </c>
      <c r="AL304" s="18">
        <f t="shared" si="1113"/>
        <v>35.607639326891544</v>
      </c>
      <c r="AM304" s="18">
        <f t="shared" si="1113"/>
        <v>35.607639326891544</v>
      </c>
      <c r="AN304" s="18">
        <f t="shared" ref="AN304:AN305" si="1114">+AM304</f>
        <v>35.607639326891544</v>
      </c>
      <c r="AO304" s="18">
        <f t="shared" ref="AO304:AO305" si="1115">+AN304</f>
        <v>35.607639326891544</v>
      </c>
      <c r="AP304" s="18">
        <f t="shared" ref="AP304:AP305" si="1116">+AO304</f>
        <v>35.607639326891544</v>
      </c>
      <c r="AQ304" s="18">
        <f t="shared" ref="AQ304:AQ305" si="1117">+AP304</f>
        <v>35.607639326891544</v>
      </c>
      <c r="AR304" s="18">
        <f t="shared" ref="AR304:AR305" si="1118">+AQ304</f>
        <v>35.607639326891544</v>
      </c>
      <c r="AS304" s="18">
        <f t="shared" ref="AS304:AS305" si="1119">+AR304</f>
        <v>35.607639326891544</v>
      </c>
      <c r="AT304" s="18">
        <f t="shared" ref="AT304:AT305" si="1120">+AS304</f>
        <v>35.607639326891544</v>
      </c>
      <c r="AU304" s="18">
        <f t="shared" ref="AU304:AU305" si="1121">+AT304</f>
        <v>35.607639326891544</v>
      </c>
      <c r="AV304" s="18">
        <f t="shared" ref="AV304:AV305" si="1122">+AU304</f>
        <v>35.607639326891544</v>
      </c>
      <c r="AW304" s="18">
        <f t="shared" ref="AW304:AW305" si="1123">+AV304</f>
        <v>35.607639326891544</v>
      </c>
      <c r="AX304" s="18">
        <f t="shared" ref="AX304:AX305" si="1124">+AW304</f>
        <v>35.607639326891544</v>
      </c>
      <c r="AY304" s="18">
        <f t="shared" ref="AY304:AY305" si="1125">+AX304</f>
        <v>35.607639326891544</v>
      </c>
      <c r="AZ304" s="27"/>
      <c r="BA304" s="27"/>
      <c r="BB304" s="27"/>
      <c r="BC304" s="27"/>
      <c r="BD304" s="27"/>
      <c r="BE304" s="27"/>
      <c r="BF304" s="27"/>
      <c r="BG304" s="27"/>
      <c r="BH304" s="27"/>
      <c r="BI304" s="27"/>
      <c r="BJ304" s="27"/>
      <c r="BK304" s="27"/>
      <c r="BL304" s="27"/>
      <c r="BM304" s="27"/>
      <c r="BN304" s="27"/>
      <c r="BO304" s="59"/>
      <c r="BQ304" s="233"/>
      <c r="BR304"/>
      <c r="BS304"/>
      <c r="BT304"/>
      <c r="BU304"/>
      <c r="BV304"/>
      <c r="BW304"/>
    </row>
    <row r="305" spans="1:75" s="31" customFormat="1">
      <c r="A305"/>
      <c r="B305" t="s">
        <v>124</v>
      </c>
      <c r="C305"/>
      <c r="D305" s="193"/>
      <c r="E305" s="193"/>
      <c r="F305" s="193"/>
      <c r="G305" s="8">
        <f>+G283/G$86</f>
        <v>0.94310114478820117</v>
      </c>
      <c r="H305" s="32"/>
      <c r="I305" s="8">
        <f t="shared" ref="I305:N305" si="1126">+I283/I$86</f>
        <v>1.3363530507685142</v>
      </c>
      <c r="J305" s="8">
        <f t="shared" si="1126"/>
        <v>0.74519774011299422</v>
      </c>
      <c r="K305" s="8">
        <f t="shared" si="1126"/>
        <v>1.3326024162432266</v>
      </c>
      <c r="L305" s="8">
        <f t="shared" si="1126"/>
        <v>1.0979506773185133</v>
      </c>
      <c r="M305" s="8">
        <f t="shared" si="1126"/>
        <v>0.92687677743581764</v>
      </c>
      <c r="N305" s="8">
        <f t="shared" si="1126"/>
        <v>0.89902493744067657</v>
      </c>
      <c r="O305" s="8">
        <f t="shared" ref="O305:T305" si="1127">+O283/O$86</f>
        <v>1.0846834444201938</v>
      </c>
      <c r="P305" s="8">
        <f t="shared" si="1127"/>
        <v>1.3395562506108885</v>
      </c>
      <c r="Q305" s="8">
        <f t="shared" si="1127"/>
        <v>1.3610112013153837</v>
      </c>
      <c r="R305" s="8">
        <f t="shared" si="1127"/>
        <v>0.91003487456406795</v>
      </c>
      <c r="S305" s="8">
        <f t="shared" si="1127"/>
        <v>1.0348904951990505</v>
      </c>
      <c r="T305" s="8">
        <f t="shared" si="1127"/>
        <v>0.7287692047948674</v>
      </c>
      <c r="U305" s="8">
        <f t="shared" ref="U305:Z305" si="1128">+U283/U$86</f>
        <v>0.64814007924042671</v>
      </c>
      <c r="V305" s="8">
        <f t="shared" si="1128"/>
        <v>0.8123809984052579</v>
      </c>
      <c r="W305" s="8">
        <f t="shared" si="1128"/>
        <v>0.81682994603719539</v>
      </c>
      <c r="X305" s="8">
        <f t="shared" si="1128"/>
        <v>0.68722396285530929</v>
      </c>
      <c r="Y305" s="8">
        <f t="shared" si="1128"/>
        <v>0.7792116290280714</v>
      </c>
      <c r="Z305" s="8">
        <f t="shared" si="1128"/>
        <v>0.59096222982059821</v>
      </c>
      <c r="AA305" s="8">
        <f t="shared" ref="AA305" si="1129">+AA283/AA$86</f>
        <v>0.95390670333274485</v>
      </c>
      <c r="AB305" s="16">
        <f t="shared" ref="AB305:AM305" si="1130">+AA305</f>
        <v>0.95390670333274485</v>
      </c>
      <c r="AC305" s="16">
        <f t="shared" si="1130"/>
        <v>0.95390670333274485</v>
      </c>
      <c r="AD305" s="16">
        <f t="shared" si="1130"/>
        <v>0.95390670333274485</v>
      </c>
      <c r="AE305" s="16">
        <f t="shared" si="1130"/>
        <v>0.95390670333274485</v>
      </c>
      <c r="AF305" s="16">
        <f t="shared" si="1130"/>
        <v>0.95390670333274485</v>
      </c>
      <c r="AG305" s="16">
        <f t="shared" si="1130"/>
        <v>0.95390670333274485</v>
      </c>
      <c r="AH305" s="16">
        <f t="shared" si="1130"/>
        <v>0.95390670333274485</v>
      </c>
      <c r="AI305" s="16">
        <f t="shared" si="1130"/>
        <v>0.95390670333274485</v>
      </c>
      <c r="AJ305" s="16">
        <f t="shared" si="1130"/>
        <v>0.95390670333274485</v>
      </c>
      <c r="AK305" s="16">
        <f t="shared" si="1130"/>
        <v>0.95390670333274485</v>
      </c>
      <c r="AL305" s="16">
        <f t="shared" si="1130"/>
        <v>0.95390670333274485</v>
      </c>
      <c r="AM305" s="16">
        <f t="shared" si="1130"/>
        <v>0.95390670333274485</v>
      </c>
      <c r="AN305" s="16">
        <f t="shared" si="1114"/>
        <v>0.95390670333274485</v>
      </c>
      <c r="AO305" s="16">
        <f t="shared" si="1115"/>
        <v>0.95390670333274485</v>
      </c>
      <c r="AP305" s="16">
        <f t="shared" si="1116"/>
        <v>0.95390670333274485</v>
      </c>
      <c r="AQ305" s="16">
        <f t="shared" si="1117"/>
        <v>0.95390670333274485</v>
      </c>
      <c r="AR305" s="16">
        <f t="shared" si="1118"/>
        <v>0.95390670333274485</v>
      </c>
      <c r="AS305" s="16">
        <f t="shared" si="1119"/>
        <v>0.95390670333274485</v>
      </c>
      <c r="AT305" s="16">
        <f t="shared" si="1120"/>
        <v>0.95390670333274485</v>
      </c>
      <c r="AU305" s="16">
        <f t="shared" si="1121"/>
        <v>0.95390670333274485</v>
      </c>
      <c r="AV305" s="16">
        <f t="shared" si="1122"/>
        <v>0.95390670333274485</v>
      </c>
      <c r="AW305" s="16">
        <f t="shared" si="1123"/>
        <v>0.95390670333274485</v>
      </c>
      <c r="AX305" s="16">
        <f t="shared" si="1124"/>
        <v>0.95390670333274485</v>
      </c>
      <c r="AY305" s="16">
        <f t="shared" si="1125"/>
        <v>0.95390670333274485</v>
      </c>
      <c r="AZ305" s="25"/>
      <c r="BA305" s="25"/>
      <c r="BB305" s="25"/>
      <c r="BC305" s="25"/>
      <c r="BD305" s="25"/>
      <c r="BE305" s="25"/>
      <c r="BF305" s="25"/>
      <c r="BG305" s="25"/>
      <c r="BH305" s="25"/>
      <c r="BI305" s="25"/>
      <c r="BJ305" s="25"/>
      <c r="BK305" s="25"/>
      <c r="BL305" s="25"/>
      <c r="BM305" s="25"/>
      <c r="BN305" s="25"/>
      <c r="BO305" s="59"/>
      <c r="BQ305" s="233"/>
      <c r="BR305"/>
      <c r="BS305"/>
      <c r="BT305"/>
      <c r="BU305"/>
      <c r="BV305"/>
      <c r="BW305"/>
    </row>
    <row r="306" spans="1:75" s="59" customFormat="1">
      <c r="A306" s="22"/>
      <c r="B306" s="22"/>
      <c r="C306" s="22"/>
      <c r="D306" s="25"/>
      <c r="E306" s="25"/>
      <c r="F306" s="25"/>
      <c r="G306" s="25"/>
      <c r="H306" s="22"/>
      <c r="I306" s="25"/>
      <c r="J306" s="25"/>
      <c r="K306" s="25"/>
      <c r="L306" s="25"/>
      <c r="M306" s="25"/>
      <c r="N306" s="25"/>
      <c r="O306" s="25"/>
      <c r="P306" s="25"/>
      <c r="Q306" s="25"/>
      <c r="R306" s="25"/>
      <c r="S306" s="25"/>
      <c r="T306" s="25"/>
      <c r="U306" s="25"/>
      <c r="V306" s="25"/>
      <c r="W306" s="25"/>
      <c r="X306" s="25"/>
      <c r="Y306" s="25"/>
      <c r="Z306" s="25"/>
      <c r="AA306" s="25"/>
      <c r="AB306" s="25"/>
      <c r="AC306" s="25"/>
      <c r="AD306" s="25"/>
      <c r="AE306" s="25"/>
      <c r="AF306" s="25"/>
      <c r="AG306" s="25"/>
      <c r="AH306" s="25"/>
      <c r="AI306" s="25"/>
      <c r="AJ306" s="25"/>
      <c r="AK306" s="25"/>
      <c r="AL306" s="25"/>
      <c r="AM306" s="25"/>
      <c r="AN306" s="25"/>
      <c r="AO306" s="25"/>
      <c r="AP306" s="25"/>
      <c r="AQ306" s="25"/>
      <c r="AR306" s="25"/>
      <c r="AS306" s="25"/>
      <c r="AT306" s="25"/>
      <c r="AU306" s="25"/>
      <c r="AV306" s="25"/>
      <c r="AW306" s="25"/>
      <c r="AX306" s="25"/>
      <c r="AY306" s="25"/>
      <c r="AZ306" s="25"/>
      <c r="BA306" s="25"/>
      <c r="BB306" s="25"/>
      <c r="BC306" s="25"/>
      <c r="BD306" s="25"/>
      <c r="BE306" s="25"/>
      <c r="BF306" s="25"/>
      <c r="BG306" s="25"/>
      <c r="BH306" s="25"/>
      <c r="BI306" s="25"/>
      <c r="BJ306" s="25"/>
      <c r="BK306" s="25"/>
      <c r="BL306" s="25"/>
      <c r="BM306" s="25"/>
      <c r="BN306" s="25"/>
      <c r="BQ306" s="233"/>
      <c r="BR306"/>
      <c r="BS306"/>
      <c r="BT306"/>
      <c r="BU306"/>
      <c r="BV306"/>
      <c r="BW306"/>
    </row>
    <row r="307" spans="1:75" s="31" customFormat="1">
      <c r="A307"/>
      <c r="B307"/>
      <c r="C307"/>
      <c r="D307" s="30"/>
      <c r="E307" s="30"/>
      <c r="F307" s="30"/>
      <c r="G307" s="30"/>
      <c r="H307"/>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c r="AN307" s="30"/>
      <c r="AO307" s="30"/>
      <c r="AP307" s="30"/>
      <c r="AQ307" s="30"/>
      <c r="AR307" s="30"/>
      <c r="AS307" s="30"/>
      <c r="AT307" s="30"/>
      <c r="AU307" s="30"/>
      <c r="AV307" s="30"/>
      <c r="AW307" s="30"/>
      <c r="AX307" s="30"/>
      <c r="AY307" s="30"/>
      <c r="AZ307" s="27"/>
      <c r="BA307" s="30"/>
      <c r="BB307" s="30"/>
      <c r="BC307" s="30"/>
      <c r="BD307" s="30"/>
      <c r="BE307" s="30"/>
      <c r="BF307" s="30"/>
      <c r="BG307" s="30"/>
      <c r="BH307" s="30"/>
      <c r="BI307" s="30"/>
      <c r="BJ307" s="30"/>
      <c r="BK307" s="30"/>
      <c r="BL307" s="30"/>
      <c r="BM307" s="30"/>
      <c r="BN307" s="30"/>
      <c r="BO307" s="59"/>
      <c r="BQ307" s="233"/>
      <c r="BR307"/>
      <c r="BS307"/>
      <c r="BT307"/>
      <c r="BU307"/>
      <c r="BV307"/>
      <c r="BW307"/>
    </row>
    <row r="308" spans="1:75">
      <c r="D308" s="4"/>
      <c r="E308" s="4"/>
      <c r="F308" s="4"/>
      <c r="G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24"/>
      <c r="BA308" s="4"/>
      <c r="BB308" s="4"/>
      <c r="BC308" s="4"/>
      <c r="BD308" s="4"/>
      <c r="BE308" s="4"/>
      <c r="BF308" s="4"/>
      <c r="BG308" s="4"/>
      <c r="BH308" s="4"/>
      <c r="BI308" s="4"/>
      <c r="BJ308" s="4"/>
      <c r="BK308" s="4"/>
      <c r="BL308" s="4"/>
      <c r="BM308" s="4"/>
      <c r="BN308" s="4"/>
    </row>
    <row r="309" spans="1:75">
      <c r="A309" s="1" t="s">
        <v>24</v>
      </c>
      <c r="B309" s="2" t="s">
        <v>0</v>
      </c>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65"/>
      <c r="BA309" s="2"/>
      <c r="BB309" s="2"/>
      <c r="BC309" s="2"/>
      <c r="BD309" s="2"/>
      <c r="BE309" s="2"/>
      <c r="BF309" s="2"/>
      <c r="BG309" s="2"/>
      <c r="BH309" s="2"/>
      <c r="BI309" s="2"/>
      <c r="BJ309" s="2"/>
      <c r="BK309" s="2"/>
      <c r="BL309" s="2"/>
      <c r="BM309" s="2"/>
      <c r="BN309" s="2"/>
    </row>
    <row r="310" spans="1:75">
      <c r="B310" s="2" t="s">
        <v>205</v>
      </c>
      <c r="C310" s="2"/>
      <c r="D310" s="3" t="str">
        <f t="shared" ref="D310:AY310" si="1131">D11</f>
        <v>1Q12</v>
      </c>
      <c r="E310" s="3" t="str">
        <f t="shared" si="1131"/>
        <v>2Q12</v>
      </c>
      <c r="F310" s="3" t="str">
        <f t="shared" si="1131"/>
        <v>3Q12</v>
      </c>
      <c r="G310" s="3" t="str">
        <f t="shared" si="1131"/>
        <v>4Q12</v>
      </c>
      <c r="H310" s="3" t="str">
        <f t="shared" si="1131"/>
        <v>1Q13</v>
      </c>
      <c r="I310" s="3" t="str">
        <f t="shared" si="1131"/>
        <v>2Q13</v>
      </c>
      <c r="J310" s="3" t="str">
        <f t="shared" si="1131"/>
        <v>3Q13</v>
      </c>
      <c r="K310" s="3" t="str">
        <f t="shared" si="1131"/>
        <v>4Q13</v>
      </c>
      <c r="L310" s="3" t="str">
        <f t="shared" si="1131"/>
        <v>1Q14</v>
      </c>
      <c r="M310" s="3" t="str">
        <f t="shared" si="1131"/>
        <v>2Q14</v>
      </c>
      <c r="N310" s="3" t="str">
        <f t="shared" si="1131"/>
        <v>3Q14</v>
      </c>
      <c r="O310" s="3" t="str">
        <f t="shared" si="1131"/>
        <v>4Q14</v>
      </c>
      <c r="P310" s="3" t="str">
        <f t="shared" si="1131"/>
        <v>1Q15</v>
      </c>
      <c r="Q310" s="3" t="str">
        <f t="shared" si="1131"/>
        <v>2Q15</v>
      </c>
      <c r="R310" s="3" t="str">
        <f t="shared" si="1131"/>
        <v>3Q15</v>
      </c>
      <c r="S310" s="3" t="str">
        <f t="shared" si="1131"/>
        <v>4Q15</v>
      </c>
      <c r="T310" s="3" t="str">
        <f t="shared" si="1131"/>
        <v>1Q16</v>
      </c>
      <c r="U310" s="3" t="str">
        <f t="shared" si="1131"/>
        <v>2Q16</v>
      </c>
      <c r="V310" s="3" t="str">
        <f t="shared" si="1131"/>
        <v>3Q16</v>
      </c>
      <c r="W310" s="3" t="str">
        <f t="shared" si="1131"/>
        <v>4Q16</v>
      </c>
      <c r="X310" s="3" t="str">
        <f t="shared" si="1131"/>
        <v>1Q17</v>
      </c>
      <c r="Y310" s="3" t="str">
        <f t="shared" si="1131"/>
        <v>2Q17</v>
      </c>
      <c r="Z310" s="3" t="str">
        <f t="shared" si="1131"/>
        <v>3Q17</v>
      </c>
      <c r="AA310" s="3" t="str">
        <f t="shared" si="1131"/>
        <v>4Q17</v>
      </c>
      <c r="AB310" s="3" t="str">
        <f t="shared" si="1131"/>
        <v>1Q18E</v>
      </c>
      <c r="AC310" s="3" t="str">
        <f t="shared" si="1131"/>
        <v>2Q18E</v>
      </c>
      <c r="AD310" s="3" t="str">
        <f t="shared" si="1131"/>
        <v>3Q18E</v>
      </c>
      <c r="AE310" s="3" t="str">
        <f t="shared" si="1131"/>
        <v>4Q18E</v>
      </c>
      <c r="AF310" s="3" t="str">
        <f t="shared" si="1131"/>
        <v>1Q19E</v>
      </c>
      <c r="AG310" s="3" t="str">
        <f t="shared" si="1131"/>
        <v>2Q19E</v>
      </c>
      <c r="AH310" s="3" t="str">
        <f t="shared" si="1131"/>
        <v>3Q19E</v>
      </c>
      <c r="AI310" s="3" t="str">
        <f t="shared" si="1131"/>
        <v>4Q19E</v>
      </c>
      <c r="AJ310" s="3" t="str">
        <f t="shared" si="1131"/>
        <v>1Q20E</v>
      </c>
      <c r="AK310" s="3" t="str">
        <f t="shared" si="1131"/>
        <v>2Q20E</v>
      </c>
      <c r="AL310" s="3" t="str">
        <f t="shared" si="1131"/>
        <v>3Q20E</v>
      </c>
      <c r="AM310" s="3" t="str">
        <f t="shared" si="1131"/>
        <v>4Q20E</v>
      </c>
      <c r="AN310" s="3" t="str">
        <f t="shared" si="1131"/>
        <v>1Q21E</v>
      </c>
      <c r="AO310" s="3" t="str">
        <f t="shared" si="1131"/>
        <v>2Q21E</v>
      </c>
      <c r="AP310" s="3" t="str">
        <f t="shared" si="1131"/>
        <v>3Q21E</v>
      </c>
      <c r="AQ310" s="3" t="str">
        <f t="shared" si="1131"/>
        <v>4Q21E</v>
      </c>
      <c r="AR310" s="3" t="str">
        <f t="shared" si="1131"/>
        <v>1Q22E</v>
      </c>
      <c r="AS310" s="3" t="str">
        <f t="shared" si="1131"/>
        <v>2Q22E</v>
      </c>
      <c r="AT310" s="3" t="str">
        <f t="shared" si="1131"/>
        <v>3Q22E</v>
      </c>
      <c r="AU310" s="3" t="str">
        <f t="shared" si="1131"/>
        <v>4Q22E</v>
      </c>
      <c r="AV310" s="3" t="str">
        <f t="shared" si="1131"/>
        <v>1Q23E</v>
      </c>
      <c r="AW310" s="3" t="str">
        <f t="shared" si="1131"/>
        <v>2Q23E</v>
      </c>
      <c r="AX310" s="3" t="str">
        <f t="shared" si="1131"/>
        <v>3Q23E</v>
      </c>
      <c r="AY310" s="3" t="str">
        <f t="shared" si="1131"/>
        <v>4Q23E</v>
      </c>
      <c r="AZ310" s="66"/>
      <c r="BA310" s="3" t="str">
        <f t="shared" ref="BA310:BN310" si="1132">BA11</f>
        <v>2010A</v>
      </c>
      <c r="BB310" s="3" t="str">
        <f t="shared" si="1132"/>
        <v>2011A</v>
      </c>
      <c r="BC310" s="3" t="str">
        <f t="shared" si="1132"/>
        <v>2012A</v>
      </c>
      <c r="BD310" s="3" t="str">
        <f t="shared" si="1132"/>
        <v>2013A</v>
      </c>
      <c r="BE310" s="3" t="str">
        <f t="shared" si="1132"/>
        <v>2014A</v>
      </c>
      <c r="BF310" s="3">
        <f t="shared" si="1132"/>
        <v>2015</v>
      </c>
      <c r="BG310" s="3">
        <f t="shared" si="1132"/>
        <v>2016</v>
      </c>
      <c r="BH310" s="3">
        <f t="shared" si="1132"/>
        <v>2017</v>
      </c>
      <c r="BI310" s="3" t="str">
        <f t="shared" si="1132"/>
        <v>2018E</v>
      </c>
      <c r="BJ310" s="3" t="str">
        <f t="shared" si="1132"/>
        <v>2019E</v>
      </c>
      <c r="BK310" s="3" t="str">
        <f t="shared" si="1132"/>
        <v>2020E</v>
      </c>
      <c r="BL310" s="3" t="str">
        <f t="shared" si="1132"/>
        <v>2021E</v>
      </c>
      <c r="BM310" s="3" t="str">
        <f t="shared" si="1132"/>
        <v>2022E</v>
      </c>
      <c r="BN310" s="3" t="str">
        <f t="shared" si="1132"/>
        <v>2023E</v>
      </c>
    </row>
    <row r="311" spans="1:75">
      <c r="BA311"/>
    </row>
    <row r="312" spans="1:75">
      <c r="B312" t="s">
        <v>115</v>
      </c>
      <c r="C312" s="4"/>
      <c r="D312" s="33"/>
      <c r="E312" s="33"/>
      <c r="F312" s="33"/>
      <c r="G312" s="33"/>
      <c r="H312" s="33"/>
      <c r="I312" s="4">
        <f t="shared" ref="I312:Q312" si="1133">+I261</f>
        <v>30.516999999999999</v>
      </c>
      <c r="J312" s="4">
        <f t="shared" si="1133"/>
        <v>30.518000000000001</v>
      </c>
      <c r="K312" s="4">
        <f t="shared" si="1133"/>
        <v>30.600999999999999</v>
      </c>
      <c r="L312" s="4">
        <f t="shared" si="1133"/>
        <v>30.600999999999999</v>
      </c>
      <c r="M312" s="4">
        <f t="shared" si="1133"/>
        <v>48.576000000000001</v>
      </c>
      <c r="N312" s="4">
        <f t="shared" si="1133"/>
        <v>48.576000000000001</v>
      </c>
      <c r="O312" s="4">
        <f t="shared" si="1133"/>
        <v>48.576999999999998</v>
      </c>
      <c r="P312" s="4">
        <f t="shared" si="1133"/>
        <v>48.576999999999998</v>
      </c>
      <c r="Q312" s="4">
        <f t="shared" si="1133"/>
        <v>52.43</v>
      </c>
      <c r="R312" s="4">
        <f t="shared" ref="R312:Y314" si="1134">+R261</f>
        <v>52.43</v>
      </c>
      <c r="S312" s="4">
        <f t="shared" si="1134"/>
        <v>57.112000000000002</v>
      </c>
      <c r="T312" s="4">
        <f t="shared" si="1134"/>
        <v>57.128</v>
      </c>
      <c r="U312" s="4">
        <f t="shared" si="1134"/>
        <v>64.567999999999998</v>
      </c>
      <c r="V312" s="4">
        <f t="shared" si="1134"/>
        <v>73.968000000000004</v>
      </c>
      <c r="W312" s="4">
        <f t="shared" si="1134"/>
        <v>74.13</v>
      </c>
      <c r="X312" s="4">
        <f t="shared" si="1134"/>
        <v>74.13</v>
      </c>
      <c r="Y312" s="4">
        <f t="shared" si="1134"/>
        <v>86.191999999999993</v>
      </c>
      <c r="Z312" s="4">
        <f t="shared" ref="Z312:AA312" si="1135">+Z261</f>
        <v>86.191999999999993</v>
      </c>
      <c r="AA312" s="4">
        <f t="shared" si="1135"/>
        <v>88.215999999999994</v>
      </c>
      <c r="AB312" s="4">
        <f t="shared" ref="AB312:AM312" si="1136">+AA312</f>
        <v>88.215999999999994</v>
      </c>
      <c r="AC312" s="4">
        <f t="shared" si="1136"/>
        <v>88.215999999999994</v>
      </c>
      <c r="AD312" s="4">
        <f t="shared" si="1136"/>
        <v>88.215999999999994</v>
      </c>
      <c r="AE312" s="4">
        <f t="shared" si="1136"/>
        <v>88.215999999999994</v>
      </c>
      <c r="AF312" s="4">
        <f t="shared" si="1136"/>
        <v>88.215999999999994</v>
      </c>
      <c r="AG312" s="4">
        <f t="shared" si="1136"/>
        <v>88.215999999999994</v>
      </c>
      <c r="AH312" s="4">
        <f t="shared" si="1136"/>
        <v>88.215999999999994</v>
      </c>
      <c r="AI312" s="4">
        <f t="shared" si="1136"/>
        <v>88.215999999999994</v>
      </c>
      <c r="AJ312" s="4">
        <f t="shared" si="1136"/>
        <v>88.215999999999994</v>
      </c>
      <c r="AK312" s="4">
        <f t="shared" si="1136"/>
        <v>88.215999999999994</v>
      </c>
      <c r="AL312" s="4">
        <f t="shared" si="1136"/>
        <v>88.215999999999994</v>
      </c>
      <c r="AM312" s="4">
        <f t="shared" si="1136"/>
        <v>88.215999999999994</v>
      </c>
      <c r="AN312" s="4">
        <f t="shared" ref="AN312" si="1137">+AM312</f>
        <v>88.215999999999994</v>
      </c>
      <c r="AO312" s="4">
        <f t="shared" ref="AO312" si="1138">+AN312</f>
        <v>88.215999999999994</v>
      </c>
      <c r="AP312" s="4">
        <f t="shared" ref="AP312" si="1139">+AO312</f>
        <v>88.215999999999994</v>
      </c>
      <c r="AQ312" s="4">
        <f t="shared" ref="AQ312" si="1140">+AP312</f>
        <v>88.215999999999994</v>
      </c>
      <c r="AR312" s="4">
        <f t="shared" ref="AR312" si="1141">+AQ312</f>
        <v>88.215999999999994</v>
      </c>
      <c r="AS312" s="4">
        <f t="shared" ref="AS312" si="1142">+AR312</f>
        <v>88.215999999999994</v>
      </c>
      <c r="AT312" s="4">
        <f t="shared" ref="AT312" si="1143">+AS312</f>
        <v>88.215999999999994</v>
      </c>
      <c r="AU312" s="4">
        <f t="shared" ref="AU312" si="1144">+AT312</f>
        <v>88.215999999999994</v>
      </c>
      <c r="AV312" s="4">
        <f t="shared" ref="AV312" si="1145">+AU312</f>
        <v>88.215999999999994</v>
      </c>
      <c r="AW312" s="4">
        <f t="shared" ref="AW312" si="1146">+AV312</f>
        <v>88.215999999999994</v>
      </c>
      <c r="AX312" s="4">
        <f t="shared" ref="AX312" si="1147">+AW312</f>
        <v>88.215999999999994</v>
      </c>
      <c r="AY312" s="4">
        <f t="shared" ref="AY312" si="1148">+AX312</f>
        <v>88.215999999999994</v>
      </c>
      <c r="AZ312" s="24"/>
      <c r="BA312" s="4"/>
      <c r="BB312" s="4"/>
      <c r="BC312" s="4"/>
      <c r="BD312" s="4">
        <f>+K312</f>
        <v>30.600999999999999</v>
      </c>
      <c r="BE312" s="4">
        <f>+O312</f>
        <v>48.576999999999998</v>
      </c>
      <c r="BF312" s="4">
        <f>+S312</f>
        <v>57.112000000000002</v>
      </c>
      <c r="BG312" s="4">
        <f>+W312</f>
        <v>74.13</v>
      </c>
      <c r="BH312" s="4">
        <f>+AA312</f>
        <v>88.215999999999994</v>
      </c>
      <c r="BI312" s="4">
        <f>+AE312</f>
        <v>88.215999999999994</v>
      </c>
      <c r="BJ312" s="4">
        <f>+AI312</f>
        <v>88.215999999999994</v>
      </c>
      <c r="BK312" s="4">
        <f>+AM312</f>
        <v>88.215999999999994</v>
      </c>
      <c r="BL312" s="4">
        <f>+AQ312</f>
        <v>88.215999999999994</v>
      </c>
      <c r="BM312" s="4">
        <f>+AU312</f>
        <v>88.215999999999994</v>
      </c>
      <c r="BN312" s="4">
        <f>+AY312</f>
        <v>88.215999999999994</v>
      </c>
    </row>
    <row r="313" spans="1:75">
      <c r="B313" t="s">
        <v>120</v>
      </c>
      <c r="C313" s="4"/>
      <c r="D313" s="33"/>
      <c r="E313" s="33"/>
      <c r="F313" s="33"/>
      <c r="G313" s="33"/>
      <c r="H313" s="33"/>
      <c r="I313" s="4">
        <f t="shared" ref="I313:Q313" si="1149">+I262</f>
        <v>670.78300000000002</v>
      </c>
      <c r="J313" s="4">
        <f t="shared" si="1149"/>
        <v>711.23800000000006</v>
      </c>
      <c r="K313" s="4">
        <f t="shared" si="1149"/>
        <v>728.23</v>
      </c>
      <c r="L313" s="4">
        <f t="shared" si="1149"/>
        <v>743.101</v>
      </c>
      <c r="M313" s="4">
        <f t="shared" si="1149"/>
        <v>829.05700000000002</v>
      </c>
      <c r="N313" s="4">
        <f t="shared" si="1149"/>
        <v>894.01400000000001</v>
      </c>
      <c r="O313" s="4">
        <f t="shared" si="1149"/>
        <v>914.28599999999994</v>
      </c>
      <c r="P313" s="4">
        <f t="shared" si="1149"/>
        <v>954.91499999999996</v>
      </c>
      <c r="Q313" s="4">
        <f t="shared" si="1149"/>
        <v>1073.1199999999999</v>
      </c>
      <c r="R313" s="4">
        <f t="shared" si="1134"/>
        <v>1108.758</v>
      </c>
      <c r="S313" s="4">
        <f t="shared" si="1134"/>
        <v>1180.386</v>
      </c>
      <c r="T313" s="4">
        <f t="shared" si="1134"/>
        <v>1241.885</v>
      </c>
      <c r="U313" s="4">
        <f t="shared" si="1134"/>
        <v>1393.92</v>
      </c>
      <c r="V313" s="4">
        <f t="shared" si="1134"/>
        <v>1449.376</v>
      </c>
      <c r="W313" s="4">
        <f t="shared" si="1134"/>
        <v>1524.7670000000001</v>
      </c>
      <c r="X313" s="4">
        <f t="shared" si="1134"/>
        <v>1585.183</v>
      </c>
      <c r="Y313" s="4">
        <f t="shared" si="1134"/>
        <v>1625.2539999999999</v>
      </c>
      <c r="Z313" s="4">
        <f t="shared" ref="Z313:AA313" si="1150">+Z262</f>
        <v>1668.5029999999999</v>
      </c>
      <c r="AA313" s="4">
        <f t="shared" si="1150"/>
        <v>1701.287</v>
      </c>
      <c r="AB313" s="4">
        <f t="shared" ref="AB313:AM313" ca="1" si="1151">+AA313+AB321</f>
        <v>1802.3178239702611</v>
      </c>
      <c r="AC313" s="4">
        <f t="shared" ca="1" si="1151"/>
        <v>1905.017564480182</v>
      </c>
      <c r="AD313" s="4">
        <f t="shared" ca="1" si="1151"/>
        <v>2009.5955632631183</v>
      </c>
      <c r="AE313" s="4">
        <f t="shared" ca="1" si="1151"/>
        <v>2115.4116512185446</v>
      </c>
      <c r="AF313" s="4">
        <f ca="1">+AE313+AF321</f>
        <v>2171.9929540962257</v>
      </c>
      <c r="AG313" s="4">
        <f t="shared" ca="1" si="1151"/>
        <v>2226.9325231022276</v>
      </c>
      <c r="AH313" s="4">
        <f t="shared" ca="1" si="1151"/>
        <v>2279.9911774533402</v>
      </c>
      <c r="AI313" s="4">
        <f t="shared" ca="1" si="1151"/>
        <v>2330.7156525899431</v>
      </c>
      <c r="AJ313" s="4">
        <f t="shared" ca="1" si="1151"/>
        <v>2378.586352863063</v>
      </c>
      <c r="AK313" s="4">
        <f t="shared" ca="1" si="1151"/>
        <v>2424.1176289850332</v>
      </c>
      <c r="AL313" s="4">
        <f t="shared" ca="1" si="1151"/>
        <v>2467.1539981902401</v>
      </c>
      <c r="AM313" s="4">
        <f t="shared" ca="1" si="1151"/>
        <v>2511.0861811076143</v>
      </c>
      <c r="AN313" s="4">
        <f t="shared" ref="AN313" ca="1" si="1152">+AM313+AN321</f>
        <v>2555.5812831193762</v>
      </c>
      <c r="AO313" s="4">
        <f t="shared" ref="AO313" ca="1" si="1153">+AN313+AO321</f>
        <v>2601.2339734906386</v>
      </c>
      <c r="AP313" s="4">
        <f t="shared" ref="AP313" ca="1" si="1154">+AO313+AP321</f>
        <v>2648.0752682559819</v>
      </c>
      <c r="AQ313" s="4">
        <f t="shared" ref="AQ313" ca="1" si="1155">+AP313+AQ321</f>
        <v>2695.8829196166639</v>
      </c>
      <c r="AR313" s="4">
        <f t="shared" ref="AR313" ca="1" si="1156">+AQ313+AR321</f>
        <v>2744.2928186240697</v>
      </c>
      <c r="AS313" s="4">
        <f t="shared" ref="AS313" ca="1" si="1157">+AR313+AS321</f>
        <v>2793.9459636680344</v>
      </c>
      <c r="AT313" s="4">
        <f t="shared" ref="AT313" ca="1" si="1158">+AS313+AT321</f>
        <v>2844.8732847989486</v>
      </c>
      <c r="AU313" s="4">
        <f t="shared" ref="AU313" ca="1" si="1159">+AT313+AU321</f>
        <v>2896.8306463494669</v>
      </c>
      <c r="AV313" s="4">
        <f t="shared" ref="AV313" ca="1" si="1160">+AU313+AV321</f>
        <v>2949.4200225835248</v>
      </c>
      <c r="AW313" s="4">
        <f t="shared" ref="AW313" ca="1" si="1161">+AV313+AW321</f>
        <v>3003.3330179263739</v>
      </c>
      <c r="AX313" s="4">
        <f t="shared" ref="AX313" ca="1" si="1162">+AW313+AX321</f>
        <v>3058.5998845125705</v>
      </c>
      <c r="AY313" s="4">
        <f t="shared" ref="AY313" ca="1" si="1163">+AX313+AY321</f>
        <v>3114.9530002820029</v>
      </c>
      <c r="AZ313" s="24"/>
      <c r="BA313" s="4"/>
      <c r="BB313" s="4"/>
      <c r="BC313" s="4"/>
      <c r="BD313" s="4">
        <f>+K313</f>
        <v>728.23</v>
      </c>
      <c r="BE313" s="4">
        <f>+O313</f>
        <v>914.28599999999994</v>
      </c>
      <c r="BF313" s="4">
        <f>+S313</f>
        <v>1180.386</v>
      </c>
      <c r="BG313" s="4">
        <f>+W313</f>
        <v>1524.7670000000001</v>
      </c>
      <c r="BH313" s="4">
        <f>+AA313</f>
        <v>1701.287</v>
      </c>
      <c r="BI313" s="4">
        <f ca="1">+AE313</f>
        <v>2115.4116512185446</v>
      </c>
      <c r="BJ313" s="4">
        <f ca="1">+AI313</f>
        <v>2330.7156525899431</v>
      </c>
      <c r="BK313" s="4">
        <f ca="1">+AM313</f>
        <v>2511.0861811076143</v>
      </c>
      <c r="BL313" s="4">
        <f ca="1">+AQ313</f>
        <v>2695.8829196166639</v>
      </c>
      <c r="BM313" s="4">
        <f ca="1">+AU313</f>
        <v>2896.8306463494669</v>
      </c>
      <c r="BN313" s="4">
        <f ca="1">+AY313</f>
        <v>3114.9530002820029</v>
      </c>
    </row>
    <row r="314" spans="1:75">
      <c r="B314" t="s">
        <v>82</v>
      </c>
      <c r="C314" s="4"/>
      <c r="D314" s="33"/>
      <c r="E314" s="33"/>
      <c r="F314" s="33"/>
      <c r="G314" s="33"/>
      <c r="H314" s="33"/>
      <c r="I314" s="4">
        <f t="shared" ref="I314:Q314" si="1164">+I263</f>
        <v>-119.57599999999999</v>
      </c>
      <c r="J314" s="4">
        <f t="shared" si="1164"/>
        <v>-128.703</v>
      </c>
      <c r="K314" s="4">
        <f t="shared" si="1164"/>
        <v>-137.72499999999999</v>
      </c>
      <c r="L314" s="4">
        <f t="shared" si="1164"/>
        <v>-147.33600000000001</v>
      </c>
      <c r="M314" s="4">
        <f t="shared" si="1164"/>
        <v>-157.202</v>
      </c>
      <c r="N314" s="4">
        <f t="shared" si="1164"/>
        <v>-168.21</v>
      </c>
      <c r="O314" s="4">
        <f t="shared" si="1164"/>
        <v>-180.167</v>
      </c>
      <c r="P314" s="4">
        <f t="shared" si="1164"/>
        <v>-192.107</v>
      </c>
      <c r="Q314" s="4">
        <f t="shared" si="1164"/>
        <v>-205.28399999999999</v>
      </c>
      <c r="R314" s="4">
        <f t="shared" si="1134"/>
        <v>-222.37299999999999</v>
      </c>
      <c r="S314" s="4">
        <f t="shared" si="1134"/>
        <v>-239.93600000000001</v>
      </c>
      <c r="T314" s="4">
        <f t="shared" si="1134"/>
        <v>-255.34399999999999</v>
      </c>
      <c r="U314" s="4">
        <f t="shared" si="1134"/>
        <v>-274.14499999999998</v>
      </c>
      <c r="V314" s="4">
        <f t="shared" si="1134"/>
        <v>-295.87900000000002</v>
      </c>
      <c r="W314" s="4">
        <f t="shared" si="1134"/>
        <v>-317.834</v>
      </c>
      <c r="X314" s="4">
        <f t="shared" si="1134"/>
        <v>-340.83</v>
      </c>
      <c r="Y314" s="4">
        <f t="shared" si="1134"/>
        <v>-354.52199999999999</v>
      </c>
      <c r="Z314" s="4">
        <f t="shared" ref="Z314:AA314" si="1165">+Z263</f>
        <v>-378.88299999999998</v>
      </c>
      <c r="AA314" s="4">
        <f t="shared" si="1165"/>
        <v>-394.82299999999998</v>
      </c>
      <c r="AB314" s="4">
        <f t="shared" ref="AB314:AY314" ca="1" si="1166">+AA314-AB350</f>
        <v>-434.16855661816936</v>
      </c>
      <c r="AC314" s="4">
        <f t="shared" ca="1" si="1166"/>
        <v>-475.75610319014339</v>
      </c>
      <c r="AD314" s="4">
        <f t="shared" ca="1" si="1166"/>
        <v>-519.62664309293007</v>
      </c>
      <c r="AE314" s="4">
        <f t="shared" ca="1" si="1166"/>
        <v>-565.80720447161377</v>
      </c>
      <c r="AF314" s="4">
        <f t="shared" ca="1" si="1166"/>
        <v>-613.22296578356986</v>
      </c>
      <c r="AG314" s="4">
        <f t="shared" ca="1" si="1166"/>
        <v>-661.83808710526148</v>
      </c>
      <c r="AH314" s="4">
        <f t="shared" ca="1" si="1166"/>
        <v>-711.61150706945159</v>
      </c>
      <c r="AI314" s="4">
        <f t="shared" ca="1" si="1166"/>
        <v>-762.49226930250836</v>
      </c>
      <c r="AJ314" s="4">
        <f t="shared" ca="1" si="1166"/>
        <v>-814.41807438144815</v>
      </c>
      <c r="AK314" s="4">
        <f t="shared" ca="1" si="1166"/>
        <v>-867.33785143288287</v>
      </c>
      <c r="AL314" s="4">
        <f t="shared" ca="1" si="1166"/>
        <v>-921.19713531196123</v>
      </c>
      <c r="AM314" s="4">
        <f t="shared" ca="1" si="1166"/>
        <v>-976.0154821084376</v>
      </c>
      <c r="AN314" s="4">
        <f t="shared" ca="1" si="1166"/>
        <v>-1031.8051806455178</v>
      </c>
      <c r="AO314" s="4">
        <f t="shared" ca="1" si="1166"/>
        <v>-1088.5915016927263</v>
      </c>
      <c r="AP314" s="4">
        <f t="shared" ca="1" si="1166"/>
        <v>-1146.4003931161176</v>
      </c>
      <c r="AQ314" s="4">
        <f t="shared" ca="1" si="1166"/>
        <v>-1205.2529509941023</v>
      </c>
      <c r="AR314" s="4">
        <f t="shared" ca="1" si="1166"/>
        <v>-1265.1623227130997</v>
      </c>
      <c r="AS314" s="4">
        <f t="shared" ca="1" si="1166"/>
        <v>-1326.1556489952795</v>
      </c>
      <c r="AT314" s="4">
        <f t="shared" ca="1" si="1166"/>
        <v>-1388.2607457822608</v>
      </c>
      <c r="AU314" s="4">
        <f t="shared" ca="1" si="1166"/>
        <v>-1451.5000994042066</v>
      </c>
      <c r="AV314" s="4">
        <f t="shared" ca="1" si="1166"/>
        <v>-1515.8875070777808</v>
      </c>
      <c r="AW314" s="4">
        <f t="shared" ca="1" si="1166"/>
        <v>-1581.4518641120646</v>
      </c>
      <c r="AX314" s="4">
        <f t="shared" ca="1" si="1166"/>
        <v>-1648.2227262363251</v>
      </c>
      <c r="AY314" s="4">
        <f t="shared" ca="1" si="1166"/>
        <v>-1716.2238068479289</v>
      </c>
      <c r="AZ314" s="24"/>
      <c r="BA314" s="4"/>
      <c r="BB314" s="4"/>
      <c r="BC314" s="4"/>
      <c r="BD314" s="4">
        <f>+K314</f>
        <v>-137.72499999999999</v>
      </c>
      <c r="BE314" s="4">
        <f>+O314</f>
        <v>-180.167</v>
      </c>
      <c r="BF314" s="4">
        <f>+S314</f>
        <v>-239.93600000000001</v>
      </c>
      <c r="BG314" s="4">
        <f>+W314</f>
        <v>-317.834</v>
      </c>
      <c r="BH314" s="4">
        <f>+AA314</f>
        <v>-394.82299999999998</v>
      </c>
      <c r="BI314" s="4">
        <f ca="1">+AE314</f>
        <v>-565.80720447161377</v>
      </c>
      <c r="BJ314" s="4">
        <f ca="1">+AI314</f>
        <v>-762.49226930250836</v>
      </c>
      <c r="BK314" s="4">
        <f ca="1">+AM314</f>
        <v>-976.0154821084376</v>
      </c>
      <c r="BL314" s="4">
        <f ca="1">+AQ314</f>
        <v>-1205.2529509941023</v>
      </c>
      <c r="BM314" s="4">
        <f ca="1">+AU314</f>
        <v>-1451.5000994042066</v>
      </c>
      <c r="BN314" s="4">
        <f ca="1">+AY314</f>
        <v>-1716.2238068479289</v>
      </c>
    </row>
    <row r="315" spans="1:75">
      <c r="B315" t="s">
        <v>116</v>
      </c>
      <c r="C315" s="4"/>
      <c r="D315" s="33"/>
      <c r="E315" s="33"/>
      <c r="F315" s="33"/>
      <c r="G315" s="33"/>
      <c r="H315" s="33"/>
      <c r="I315" s="4">
        <f>SUM(I312:I314)</f>
        <v>581.72400000000005</v>
      </c>
      <c r="J315" s="4">
        <f>SUM(J312:J314)</f>
        <v>613.05300000000011</v>
      </c>
      <c r="K315" s="4">
        <f>SUM(K312:K314)</f>
        <v>621.10599999999999</v>
      </c>
      <c r="L315" s="4">
        <f>SUM(L312:L314)</f>
        <v>626.36599999999999</v>
      </c>
      <c r="M315" s="4">
        <f t="shared" ref="M315:R315" si="1167">SUM(M312:M314)</f>
        <v>720.43100000000004</v>
      </c>
      <c r="N315" s="4">
        <f t="shared" si="1167"/>
        <v>774.38</v>
      </c>
      <c r="O315" s="4">
        <f t="shared" si="1167"/>
        <v>782.69599999999991</v>
      </c>
      <c r="P315" s="4">
        <f t="shared" si="1167"/>
        <v>811.38499999999999</v>
      </c>
      <c r="Q315" s="4">
        <f t="shared" si="1167"/>
        <v>920.26599999999996</v>
      </c>
      <c r="R315" s="4">
        <f t="shared" si="1167"/>
        <v>938.81500000000005</v>
      </c>
      <c r="S315" s="4">
        <f t="shared" ref="S315:X315" si="1168">SUM(S312:S314)</f>
        <v>997.56200000000001</v>
      </c>
      <c r="T315" s="4">
        <f t="shared" si="1168"/>
        <v>1043.6689999999999</v>
      </c>
      <c r="U315" s="4">
        <f t="shared" si="1168"/>
        <v>1184.3430000000001</v>
      </c>
      <c r="V315" s="4">
        <f t="shared" si="1168"/>
        <v>1227.4650000000001</v>
      </c>
      <c r="W315" s="4">
        <f t="shared" si="1168"/>
        <v>1281.0629999999999</v>
      </c>
      <c r="X315" s="4">
        <f t="shared" si="1168"/>
        <v>1318.4830000000002</v>
      </c>
      <c r="Y315" s="4">
        <f>SUM(Y312:Y314)</f>
        <v>1356.924</v>
      </c>
      <c r="Z315" s="4">
        <f>SUM(Z312:Z314)</f>
        <v>1375.8119999999999</v>
      </c>
      <c r="AA315" s="4">
        <f>SUM(AA312:AA314)</f>
        <v>1394.6799999999998</v>
      </c>
      <c r="AB315" s="4">
        <f t="shared" ref="AB315:AM315" ca="1" si="1169">SUM(AB312:AB314)</f>
        <v>1456.3652673520917</v>
      </c>
      <c r="AC315" s="4">
        <f t="shared" ca="1" si="1169"/>
        <v>1517.4774612900385</v>
      </c>
      <c r="AD315" s="4">
        <f t="shared" ca="1" si="1169"/>
        <v>1578.1849201701884</v>
      </c>
      <c r="AE315" s="4">
        <f t="shared" ca="1" si="1169"/>
        <v>1637.8204467469309</v>
      </c>
      <c r="AF315" s="4">
        <f t="shared" ca="1" si="1169"/>
        <v>1646.9859883126558</v>
      </c>
      <c r="AG315" s="4">
        <f t="shared" ca="1" si="1169"/>
        <v>1653.3104359969661</v>
      </c>
      <c r="AH315" s="4">
        <f t="shared" ca="1" si="1169"/>
        <v>1656.5956703838885</v>
      </c>
      <c r="AI315" s="4">
        <f t="shared" ca="1" si="1169"/>
        <v>1656.4393832874348</v>
      </c>
      <c r="AJ315" s="4">
        <f t="shared" ca="1" si="1169"/>
        <v>1652.3842784816147</v>
      </c>
      <c r="AK315" s="4">
        <f t="shared" ca="1" si="1169"/>
        <v>1644.9957775521502</v>
      </c>
      <c r="AL315" s="4">
        <f t="shared" ca="1" si="1169"/>
        <v>1634.1728628782789</v>
      </c>
      <c r="AM315" s="4">
        <f t="shared" ca="1" si="1169"/>
        <v>1623.2866989991767</v>
      </c>
      <c r="AN315" s="4">
        <f t="shared" ref="AN315:AY315" ca="1" si="1170">SUM(AN312:AN314)</f>
        <v>1611.9921024738583</v>
      </c>
      <c r="AO315" s="4">
        <f t="shared" ca="1" si="1170"/>
        <v>1600.8584717979122</v>
      </c>
      <c r="AP315" s="4">
        <f t="shared" ca="1" si="1170"/>
        <v>1589.8908751398642</v>
      </c>
      <c r="AQ315" s="4">
        <f t="shared" ca="1" si="1170"/>
        <v>1578.8459686225615</v>
      </c>
      <c r="AR315" s="4">
        <f t="shared" ca="1" si="1170"/>
        <v>1567.3464959109699</v>
      </c>
      <c r="AS315" s="4">
        <f t="shared" ca="1" si="1170"/>
        <v>1556.0063146727548</v>
      </c>
      <c r="AT315" s="4">
        <f t="shared" ca="1" si="1170"/>
        <v>1544.8285390166877</v>
      </c>
      <c r="AU315" s="4">
        <f t="shared" ca="1" si="1170"/>
        <v>1533.5465469452602</v>
      </c>
      <c r="AV315" s="4">
        <f t="shared" ca="1" si="1170"/>
        <v>1521.7485155057439</v>
      </c>
      <c r="AW315" s="4">
        <f t="shared" ca="1" si="1170"/>
        <v>1510.0971538143092</v>
      </c>
      <c r="AX315" s="4">
        <f t="shared" ca="1" si="1170"/>
        <v>1498.5931582762453</v>
      </c>
      <c r="AY315" s="4">
        <f t="shared" ca="1" si="1170"/>
        <v>1486.9451934340739</v>
      </c>
      <c r="AZ315" s="24"/>
      <c r="BA315" s="4"/>
      <c r="BB315" s="4"/>
      <c r="BC315" s="4"/>
      <c r="BD315" s="4">
        <f t="shared" ref="BD315:BK315" si="1171">SUM(BD312:BD314)</f>
        <v>621.10599999999999</v>
      </c>
      <c r="BE315" s="4">
        <f t="shared" si="1171"/>
        <v>782.69599999999991</v>
      </c>
      <c r="BF315" s="4">
        <f t="shared" si="1171"/>
        <v>997.56200000000001</v>
      </c>
      <c r="BG315" s="4">
        <f t="shared" si="1171"/>
        <v>1281.0629999999999</v>
      </c>
      <c r="BH315" s="4">
        <f t="shared" si="1171"/>
        <v>1394.6799999999998</v>
      </c>
      <c r="BI315" s="4">
        <f t="shared" ca="1" si="1171"/>
        <v>1637.8204467469309</v>
      </c>
      <c r="BJ315" s="4">
        <f t="shared" ca="1" si="1171"/>
        <v>1656.4393832874348</v>
      </c>
      <c r="BK315" s="4">
        <f t="shared" ca="1" si="1171"/>
        <v>1623.2866989991767</v>
      </c>
      <c r="BL315" s="4">
        <f t="shared" ref="BL315:BN315" ca="1" si="1172">SUM(BL312:BL314)</f>
        <v>1578.8459686225615</v>
      </c>
      <c r="BM315" s="4">
        <f t="shared" ca="1" si="1172"/>
        <v>1533.5465469452602</v>
      </c>
      <c r="BN315" s="4">
        <f t="shared" ca="1" si="1172"/>
        <v>1486.9451934340739</v>
      </c>
    </row>
    <row r="316" spans="1:75">
      <c r="C316" s="4"/>
      <c r="D316" s="33"/>
      <c r="E316" s="33"/>
      <c r="F316" s="33"/>
      <c r="G316" s="33"/>
      <c r="H316" s="33"/>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24"/>
      <c r="BA316" s="4"/>
      <c r="BB316" s="4"/>
      <c r="BC316" s="4"/>
      <c r="BD316" s="4"/>
      <c r="BE316" s="4"/>
      <c r="BF316" s="4"/>
      <c r="BG316" s="4"/>
      <c r="BH316" s="4"/>
      <c r="BI316" s="4"/>
      <c r="BJ316" s="4"/>
      <c r="BK316" s="4"/>
      <c r="BL316" s="4"/>
      <c r="BM316" s="4"/>
      <c r="BN316" s="4"/>
    </row>
    <row r="317" spans="1:75">
      <c r="B317" s="58" t="s">
        <v>376</v>
      </c>
      <c r="C317" s="4"/>
      <c r="D317" s="33"/>
      <c r="E317" s="33"/>
      <c r="F317" s="33"/>
      <c r="G317" s="33"/>
      <c r="H317" s="33"/>
      <c r="I317" s="4"/>
      <c r="J317" s="4"/>
      <c r="K317" s="4"/>
      <c r="L317" s="4"/>
      <c r="M317" s="291">
        <f>75+15</f>
        <v>90</v>
      </c>
      <c r="N317" s="4"/>
      <c r="O317" s="4"/>
      <c r="P317" s="4"/>
      <c r="Q317" s="319">
        <v>326</v>
      </c>
      <c r="R317" s="4"/>
      <c r="S317" s="4"/>
      <c r="T317" s="4"/>
      <c r="U317" s="370">
        <v>122.98099999999999</v>
      </c>
      <c r="V317" s="4"/>
      <c r="W317" s="370">
        <f>173.067-T317-U317-V317</f>
        <v>50.086000000000013</v>
      </c>
      <c r="X317" s="4"/>
      <c r="Y317" s="370">
        <f>5.019-X317</f>
        <v>5.0190000000000001</v>
      </c>
      <c r="Z317" s="370">
        <f>47.013-X317-Y317</f>
        <v>41.994</v>
      </c>
      <c r="AA317" s="370">
        <f>127.038-Y317-Z317-X317</f>
        <v>80.024999999999991</v>
      </c>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24"/>
      <c r="BA317" s="4"/>
      <c r="BB317" s="4"/>
      <c r="BC317" s="4"/>
      <c r="BD317" s="4"/>
      <c r="BE317" s="4"/>
      <c r="BF317" s="4"/>
      <c r="BG317" s="4"/>
      <c r="BH317" s="4"/>
      <c r="BI317" s="4"/>
      <c r="BJ317" s="4"/>
      <c r="BK317" s="4"/>
      <c r="BL317" s="4"/>
      <c r="BM317" s="4"/>
      <c r="BN317" s="4"/>
    </row>
    <row r="318" spans="1:75">
      <c r="C318" s="4"/>
      <c r="D318" s="33"/>
      <c r="E318" s="33"/>
      <c r="F318" s="33"/>
      <c r="G318" s="33"/>
      <c r="H318" s="33"/>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24"/>
      <c r="BA318" s="4"/>
      <c r="BB318" s="4"/>
      <c r="BC318" s="4"/>
      <c r="BD318" s="4"/>
      <c r="BE318" s="4"/>
      <c r="BF318" s="4"/>
      <c r="BG318" s="4"/>
      <c r="BH318" s="4"/>
      <c r="BI318" s="4"/>
      <c r="BJ318" s="4"/>
      <c r="BK318" s="4"/>
      <c r="BL318" s="4"/>
      <c r="BM318" s="4"/>
      <c r="BN318" s="4"/>
    </row>
    <row r="319" spans="1:75">
      <c r="B319" s="58" t="s">
        <v>378</v>
      </c>
      <c r="C319" s="4"/>
      <c r="D319" s="33"/>
      <c r="E319" s="33"/>
      <c r="F319" s="33"/>
      <c r="G319" s="33"/>
      <c r="H319" s="33"/>
      <c r="I319" s="4"/>
      <c r="J319" s="4"/>
      <c r="K319" s="4"/>
      <c r="L319" s="4"/>
      <c r="M319" s="4"/>
      <c r="N319" s="4"/>
      <c r="O319" s="4"/>
      <c r="P319" s="4"/>
      <c r="Q319" s="4">
        <f t="shared" ref="Q319:V319" si="1173">+Q321-Q317</f>
        <v>59.615999999999985</v>
      </c>
      <c r="R319" s="4">
        <f t="shared" si="1173"/>
        <v>82.006</v>
      </c>
      <c r="S319" s="4">
        <f t="shared" si="1173"/>
        <v>71.72199999999998</v>
      </c>
      <c r="T319" s="4">
        <f t="shared" si="1173"/>
        <v>78.052999999999997</v>
      </c>
      <c r="U319" s="4">
        <f t="shared" si="1173"/>
        <v>71.25</v>
      </c>
      <c r="V319" s="4">
        <f t="shared" si="1173"/>
        <v>48.448000000000008</v>
      </c>
      <c r="W319" s="4">
        <f>+W321-W317</f>
        <v>82.153999999999968</v>
      </c>
      <c r="X319" s="4">
        <f>+X321-X317</f>
        <v>66.119</v>
      </c>
      <c r="Y319" s="4">
        <f>+Y321-Y317</f>
        <v>73.699000000000012</v>
      </c>
      <c r="Z319" s="4">
        <f>+Z321-Z317</f>
        <v>97.152999999999992</v>
      </c>
      <c r="AA319" s="4">
        <f>+AA321-AA317</f>
        <v>70.343000000000004</v>
      </c>
      <c r="AB319" s="4">
        <f t="shared" ref="AB319:AY319" ca="1" si="1174">+AB322*AB86</f>
        <v>101.03082397026117</v>
      </c>
      <c r="AC319" s="4">
        <f t="shared" ca="1" si="1174"/>
        <v>102.69974050992093</v>
      </c>
      <c r="AD319" s="4">
        <f t="shared" ca="1" si="1174"/>
        <v>104.57799878293625</v>
      </c>
      <c r="AE319" s="4">
        <f t="shared" ca="1" si="1174"/>
        <v>105.81608795542631</v>
      </c>
      <c r="AF319" s="4">
        <f t="shared" ca="1" si="1174"/>
        <v>56.581302877681047</v>
      </c>
      <c r="AG319" s="4">
        <f t="shared" ca="1" si="1174"/>
        <v>54.939569006001889</v>
      </c>
      <c r="AH319" s="4">
        <f t="shared" ca="1" si="1174"/>
        <v>53.058654351112814</v>
      </c>
      <c r="AI319" s="4">
        <f t="shared" ca="1" si="1174"/>
        <v>50.724475136602869</v>
      </c>
      <c r="AJ319" s="4">
        <f t="shared" ca="1" si="1174"/>
        <v>47.870700273119709</v>
      </c>
      <c r="AK319" s="4">
        <f t="shared" ca="1" si="1174"/>
        <v>45.531276121970038</v>
      </c>
      <c r="AL319" s="4">
        <f t="shared" ca="1" si="1174"/>
        <v>43.036369205207031</v>
      </c>
      <c r="AM319" s="4">
        <f t="shared" ca="1" si="1174"/>
        <v>43.93218291737417</v>
      </c>
      <c r="AN319" s="4">
        <f t="shared" ca="1" si="1174"/>
        <v>44.495102011762079</v>
      </c>
      <c r="AO319" s="4">
        <f t="shared" ca="1" si="1174"/>
        <v>45.652690371262473</v>
      </c>
      <c r="AP319" s="4">
        <f t="shared" ca="1" si="1174"/>
        <v>46.841294765343065</v>
      </c>
      <c r="AQ319" s="4">
        <f t="shared" ca="1" si="1174"/>
        <v>47.807651360682158</v>
      </c>
      <c r="AR319" s="4">
        <f t="shared" ca="1" si="1174"/>
        <v>48.409899007405969</v>
      </c>
      <c r="AS319" s="4">
        <f t="shared" ca="1" si="1174"/>
        <v>49.65314504396477</v>
      </c>
      <c r="AT319" s="4">
        <f t="shared" ca="1" si="1174"/>
        <v>50.927321130914336</v>
      </c>
      <c r="AU319" s="4">
        <f t="shared" ca="1" si="1174"/>
        <v>51.957361550518321</v>
      </c>
      <c r="AV319" s="4">
        <f t="shared" ca="1" si="1174"/>
        <v>52.589376234058051</v>
      </c>
      <c r="AW319" s="4">
        <f t="shared" ca="1" si="1174"/>
        <v>53.912995342849285</v>
      </c>
      <c r="AX319" s="4">
        <f t="shared" ca="1" si="1174"/>
        <v>55.26686658619635</v>
      </c>
      <c r="AY319" s="4">
        <f t="shared" ca="1" si="1174"/>
        <v>56.353115769432208</v>
      </c>
      <c r="AZ319" s="24"/>
      <c r="BA319" s="4"/>
      <c r="BB319" s="4"/>
      <c r="BC319" s="4"/>
      <c r="BD319" s="4"/>
      <c r="BE319" s="4"/>
      <c r="BF319" s="4"/>
      <c r="BG319" s="4"/>
      <c r="BH319" s="4"/>
      <c r="BI319" s="4"/>
      <c r="BJ319" s="4"/>
      <c r="BK319" s="4"/>
      <c r="BL319" s="4"/>
      <c r="BM319" s="4"/>
      <c r="BN319" s="4"/>
    </row>
    <row r="320" spans="1:75">
      <c r="C320" s="4"/>
      <c r="D320" s="33"/>
      <c r="E320" s="33"/>
      <c r="F320" s="33"/>
      <c r="G320" s="33"/>
      <c r="H320" s="33"/>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24"/>
      <c r="BA320" s="4"/>
      <c r="BB320" s="4"/>
      <c r="BC320" s="4"/>
      <c r="BD320" s="4"/>
      <c r="BE320" s="4"/>
      <c r="BF320" s="4"/>
      <c r="BG320" s="4"/>
      <c r="BH320" s="4"/>
      <c r="BI320" s="4"/>
      <c r="BJ320" s="4"/>
      <c r="BK320" s="4"/>
      <c r="BL320" s="4"/>
      <c r="BM320" s="4"/>
      <c r="BN320" s="4"/>
    </row>
    <row r="321" spans="2:75">
      <c r="B321" t="s">
        <v>121</v>
      </c>
      <c r="C321" s="4"/>
      <c r="D321" s="34"/>
      <c r="E321" s="34"/>
      <c r="F321" s="34"/>
      <c r="G321" s="34"/>
      <c r="H321" s="10">
        <f t="shared" ref="H321:O321" si="1175">-SUM(H222:H223)</f>
        <v>41.503999999999998</v>
      </c>
      <c r="I321" s="10">
        <f t="shared" si="1175"/>
        <v>45.022000000000006</v>
      </c>
      <c r="J321" s="10">
        <f t="shared" si="1175"/>
        <v>37.572000000000003</v>
      </c>
      <c r="K321" s="10">
        <f t="shared" si="1175"/>
        <v>44.739999999999981</v>
      </c>
      <c r="L321" s="39">
        <f t="shared" si="1175"/>
        <v>59.164999999999999</v>
      </c>
      <c r="M321" s="39">
        <f t="shared" si="1175"/>
        <v>128.292</v>
      </c>
      <c r="N321" s="39">
        <f t="shared" si="1175"/>
        <v>59.615000000000016</v>
      </c>
      <c r="O321" s="39">
        <f t="shared" si="1175"/>
        <v>45.136999999999993</v>
      </c>
      <c r="P321" s="39">
        <f t="shared" ref="P321:U321" si="1176">-SUM(P222:P223)</f>
        <v>73.399000000000001</v>
      </c>
      <c r="Q321" s="39">
        <f t="shared" si="1176"/>
        <v>385.61599999999999</v>
      </c>
      <c r="R321" s="39">
        <f t="shared" si="1176"/>
        <v>82.006</v>
      </c>
      <c r="S321" s="39">
        <f t="shared" si="1176"/>
        <v>71.72199999999998</v>
      </c>
      <c r="T321" s="39">
        <f t="shared" si="1176"/>
        <v>78.052999999999997</v>
      </c>
      <c r="U321" s="39">
        <f t="shared" si="1176"/>
        <v>194.23099999999999</v>
      </c>
      <c r="V321" s="39">
        <f t="shared" ref="V321:AA321" si="1177">-SUM(V222:V223)</f>
        <v>48.448000000000008</v>
      </c>
      <c r="W321" s="39">
        <f t="shared" si="1177"/>
        <v>132.23999999999998</v>
      </c>
      <c r="X321" s="39">
        <f t="shared" si="1177"/>
        <v>66.119</v>
      </c>
      <c r="Y321" s="39">
        <f t="shared" si="1177"/>
        <v>78.718000000000018</v>
      </c>
      <c r="Z321" s="39">
        <f t="shared" si="1177"/>
        <v>139.14699999999999</v>
      </c>
      <c r="AA321" s="39">
        <f t="shared" si="1177"/>
        <v>150.36799999999999</v>
      </c>
      <c r="AB321" s="39">
        <f t="shared" ref="AB321:AM321" ca="1" si="1178">+AB319+AB317</f>
        <v>101.03082397026117</v>
      </c>
      <c r="AC321" s="39">
        <f t="shared" ca="1" si="1178"/>
        <v>102.69974050992093</v>
      </c>
      <c r="AD321" s="39">
        <f t="shared" ca="1" si="1178"/>
        <v>104.57799878293625</v>
      </c>
      <c r="AE321" s="39">
        <f t="shared" ca="1" si="1178"/>
        <v>105.81608795542631</v>
      </c>
      <c r="AF321" s="39">
        <f t="shared" ca="1" si="1178"/>
        <v>56.581302877681047</v>
      </c>
      <c r="AG321" s="39">
        <f t="shared" ca="1" si="1178"/>
        <v>54.939569006001889</v>
      </c>
      <c r="AH321" s="39">
        <f t="shared" ca="1" si="1178"/>
        <v>53.058654351112814</v>
      </c>
      <c r="AI321" s="39">
        <f t="shared" ca="1" si="1178"/>
        <v>50.724475136602869</v>
      </c>
      <c r="AJ321" s="39">
        <f t="shared" ca="1" si="1178"/>
        <v>47.870700273119709</v>
      </c>
      <c r="AK321" s="39">
        <f t="shared" ca="1" si="1178"/>
        <v>45.531276121970038</v>
      </c>
      <c r="AL321" s="39">
        <f t="shared" ca="1" si="1178"/>
        <v>43.036369205207031</v>
      </c>
      <c r="AM321" s="39">
        <f t="shared" ca="1" si="1178"/>
        <v>43.93218291737417</v>
      </c>
      <c r="AN321" s="39">
        <f t="shared" ref="AN321:AY321" ca="1" si="1179">+AN319+AN317</f>
        <v>44.495102011762079</v>
      </c>
      <c r="AO321" s="39">
        <f t="shared" ca="1" si="1179"/>
        <v>45.652690371262473</v>
      </c>
      <c r="AP321" s="39">
        <f t="shared" ca="1" si="1179"/>
        <v>46.841294765343065</v>
      </c>
      <c r="AQ321" s="39">
        <f t="shared" ca="1" si="1179"/>
        <v>47.807651360682158</v>
      </c>
      <c r="AR321" s="39">
        <f t="shared" ca="1" si="1179"/>
        <v>48.409899007405969</v>
      </c>
      <c r="AS321" s="39">
        <f t="shared" ca="1" si="1179"/>
        <v>49.65314504396477</v>
      </c>
      <c r="AT321" s="39">
        <f t="shared" ca="1" si="1179"/>
        <v>50.927321130914336</v>
      </c>
      <c r="AU321" s="39">
        <f t="shared" ca="1" si="1179"/>
        <v>51.957361550518321</v>
      </c>
      <c r="AV321" s="39">
        <f t="shared" ca="1" si="1179"/>
        <v>52.589376234058051</v>
      </c>
      <c r="AW321" s="39">
        <f t="shared" ca="1" si="1179"/>
        <v>53.912995342849285</v>
      </c>
      <c r="AX321" s="39">
        <f t="shared" ca="1" si="1179"/>
        <v>55.26686658619635</v>
      </c>
      <c r="AY321" s="39">
        <f t="shared" ca="1" si="1179"/>
        <v>56.353115769432208</v>
      </c>
      <c r="AZ321" s="24"/>
      <c r="BA321" s="4"/>
      <c r="BB321" s="4"/>
      <c r="BC321" s="4"/>
      <c r="BD321" s="4">
        <f>+SUM(H321:K321)</f>
        <v>168.83799999999999</v>
      </c>
      <c r="BE321" s="4">
        <f>+SUM(L321:O321)</f>
        <v>292.209</v>
      </c>
      <c r="BF321" s="4">
        <f>+SUM(P321:S321)</f>
        <v>612.74299999999994</v>
      </c>
      <c r="BG321" s="4">
        <f>+SUM(T321:W321)</f>
        <v>452.97199999999998</v>
      </c>
      <c r="BH321" s="4">
        <f>+SUM(X321:AA321)</f>
        <v>434.35200000000003</v>
      </c>
      <c r="BI321" s="4">
        <f ca="1">+SUM(AB321:AE321)</f>
        <v>414.12465121854467</v>
      </c>
      <c r="BJ321" s="4">
        <f ca="1">+SUM(AF321:AI321)</f>
        <v>215.30400137139861</v>
      </c>
      <c r="BK321" s="4">
        <f ca="1">+SUM(AJ321:AM321)</f>
        <v>180.37052851767095</v>
      </c>
      <c r="BL321" s="4">
        <f ca="1">+SUM(AN321:AQ321)</f>
        <v>184.79673850904976</v>
      </c>
      <c r="BM321" s="4">
        <f ca="1">+SUM(AR321:AU321)</f>
        <v>200.9477267328034</v>
      </c>
      <c r="BN321" s="4">
        <f ca="1">+SUM(AV321:AY321)</f>
        <v>218.1223539325359</v>
      </c>
    </row>
    <row r="322" spans="2:75">
      <c r="B322" s="20" t="s">
        <v>16</v>
      </c>
      <c r="C322" s="4"/>
      <c r="D322" s="193"/>
      <c r="E322" s="193"/>
      <c r="F322" s="193"/>
      <c r="G322" s="193"/>
      <c r="H322" s="33"/>
      <c r="I322" s="8"/>
      <c r="J322" s="8"/>
      <c r="K322" s="8"/>
      <c r="L322" s="8"/>
      <c r="M322" s="8"/>
      <c r="N322" s="8"/>
      <c r="O322" s="8"/>
      <c r="P322" s="8">
        <f t="shared" ref="P322:AA322" si="1180">+P321/P18</f>
        <v>1.1956960870556803</v>
      </c>
      <c r="Q322" s="8">
        <f t="shared" si="1180"/>
        <v>5.6610831363683065</v>
      </c>
      <c r="R322" s="8">
        <f t="shared" si="1180"/>
        <v>0.92255596805039941</v>
      </c>
      <c r="S322" s="8">
        <f t="shared" si="1180"/>
        <v>0.77378357967418243</v>
      </c>
      <c r="T322" s="8">
        <f t="shared" si="1180"/>
        <v>0.82362189768698291</v>
      </c>
      <c r="U322" s="8">
        <f t="shared" si="1180"/>
        <v>1.9681518335748374</v>
      </c>
      <c r="V322" s="8">
        <f t="shared" si="1180"/>
        <v>0.46825496544725281</v>
      </c>
      <c r="W322" s="8">
        <f t="shared" si="1180"/>
        <v>1.2541373064119947</v>
      </c>
      <c r="X322" s="8">
        <f t="shared" si="1180"/>
        <v>0.6239760673436261</v>
      </c>
      <c r="Y322" s="8">
        <f t="shared" si="1180"/>
        <v>0.72976230207290416</v>
      </c>
      <c r="Z322" s="8">
        <f t="shared" si="1180"/>
        <v>1.223087538565665</v>
      </c>
      <c r="AA322" s="8">
        <f t="shared" si="1180"/>
        <v>1.264542388845439</v>
      </c>
      <c r="AB322" s="17">
        <f t="shared" ref="AB322:AY322" ca="1" si="1181">+OFFSET(AB322,$C$5,0)</f>
        <v>1</v>
      </c>
      <c r="AC322" s="17">
        <f t="shared" ca="1" si="1181"/>
        <v>1</v>
      </c>
      <c r="AD322" s="17">
        <f t="shared" ca="1" si="1181"/>
        <v>1</v>
      </c>
      <c r="AE322" s="17">
        <f t="shared" ca="1" si="1181"/>
        <v>1</v>
      </c>
      <c r="AF322" s="17">
        <f t="shared" ca="1" si="1181"/>
        <v>0.53</v>
      </c>
      <c r="AG322" s="17">
        <f t="shared" ca="1" si="1181"/>
        <v>0.5</v>
      </c>
      <c r="AH322" s="17">
        <f t="shared" ca="1" si="1181"/>
        <v>0.47</v>
      </c>
      <c r="AI322" s="17">
        <f t="shared" ca="1" si="1181"/>
        <v>0.43999999999999995</v>
      </c>
      <c r="AJ322" s="17">
        <f t="shared" ca="1" si="1181"/>
        <v>0.40999999999999992</v>
      </c>
      <c r="AK322" s="17">
        <f t="shared" ca="1" si="1181"/>
        <v>0.37999999999999989</v>
      </c>
      <c r="AL322" s="17">
        <f t="shared" ca="1" si="1181"/>
        <v>0.34999999999999987</v>
      </c>
      <c r="AM322" s="17">
        <f t="shared" ca="1" si="1181"/>
        <v>0.35</v>
      </c>
      <c r="AN322" s="17">
        <f t="shared" ca="1" si="1181"/>
        <v>0.35</v>
      </c>
      <c r="AO322" s="17">
        <f t="shared" ca="1" si="1181"/>
        <v>0.35</v>
      </c>
      <c r="AP322" s="17">
        <f t="shared" ca="1" si="1181"/>
        <v>0.35</v>
      </c>
      <c r="AQ322" s="17">
        <f t="shared" ca="1" si="1181"/>
        <v>0.35</v>
      </c>
      <c r="AR322" s="17">
        <f t="shared" ca="1" si="1181"/>
        <v>0.35</v>
      </c>
      <c r="AS322" s="17">
        <f t="shared" ca="1" si="1181"/>
        <v>0.35</v>
      </c>
      <c r="AT322" s="17">
        <f t="shared" ca="1" si="1181"/>
        <v>0.35</v>
      </c>
      <c r="AU322" s="17">
        <f t="shared" ca="1" si="1181"/>
        <v>0.35</v>
      </c>
      <c r="AV322" s="17">
        <f t="shared" ca="1" si="1181"/>
        <v>0.35</v>
      </c>
      <c r="AW322" s="17">
        <f t="shared" ca="1" si="1181"/>
        <v>0.35</v>
      </c>
      <c r="AX322" s="17">
        <f t="shared" ca="1" si="1181"/>
        <v>0.35</v>
      </c>
      <c r="AY322" s="17">
        <f t="shared" ca="1" si="1181"/>
        <v>0.35</v>
      </c>
      <c r="AZ322" s="25"/>
      <c r="BA322" s="25"/>
      <c r="BB322" s="25"/>
      <c r="BC322" s="25"/>
      <c r="BD322" s="25">
        <f t="shared" ref="BD322:BN322" si="1182">+BD321/BD86</f>
        <v>0.94913062787050206</v>
      </c>
      <c r="BE322" s="25">
        <f t="shared" si="1182"/>
        <v>1.3417068814311099</v>
      </c>
      <c r="BF322" s="25">
        <f t="shared" si="1182"/>
        <v>1.9697090487104727</v>
      </c>
      <c r="BG322" s="25">
        <f t="shared" si="1182"/>
        <v>1.1257794578527347</v>
      </c>
      <c r="BH322" s="25">
        <f t="shared" si="1182"/>
        <v>0.97277104656110724</v>
      </c>
      <c r="BI322" s="25">
        <f t="shared" ca="1" si="1182"/>
        <v>1.0000000000000002</v>
      </c>
      <c r="BJ322" s="25">
        <f t="shared" ca="1" si="1182"/>
        <v>0.4840359214085182</v>
      </c>
      <c r="BK322" s="25">
        <f t="shared" ca="1" si="1182"/>
        <v>0.37185312099851808</v>
      </c>
      <c r="BL322" s="25">
        <f t="shared" ca="1" si="1182"/>
        <v>0.35</v>
      </c>
      <c r="BM322" s="25">
        <f t="shared" ca="1" si="1182"/>
        <v>0.35000000000000003</v>
      </c>
      <c r="BN322" s="25">
        <f t="shared" ca="1" si="1182"/>
        <v>0.35000000000000003</v>
      </c>
    </row>
    <row r="323" spans="2:75">
      <c r="B323" s="20"/>
      <c r="C323" s="4"/>
      <c r="D323" s="193"/>
      <c r="E323" s="193"/>
      <c r="F323" s="193"/>
      <c r="G323" s="193"/>
      <c r="H323" s="33"/>
      <c r="I323" s="8"/>
      <c r="J323" s="8"/>
      <c r="K323" s="8"/>
      <c r="L323" s="8"/>
      <c r="M323" s="8"/>
      <c r="N323" s="8"/>
      <c r="O323" s="8"/>
      <c r="P323" s="8"/>
      <c r="Q323" s="8"/>
      <c r="R323" s="8"/>
      <c r="S323" s="8"/>
      <c r="T323" s="8"/>
      <c r="U323" s="8"/>
      <c r="V323" s="8"/>
      <c r="W323" s="8"/>
      <c r="X323" s="8"/>
      <c r="Y323" s="8"/>
      <c r="Z323" s="8"/>
      <c r="AA323" s="8"/>
      <c r="AB323" s="307">
        <f t="shared" ref="AB323:AY323" si="1183">+AB324-0.05</f>
        <v>0.95</v>
      </c>
      <c r="AC323" s="307">
        <f t="shared" si="1183"/>
        <v>0.95</v>
      </c>
      <c r="AD323" s="307">
        <f t="shared" si="1183"/>
        <v>0.95</v>
      </c>
      <c r="AE323" s="307">
        <f t="shared" si="1183"/>
        <v>0.95</v>
      </c>
      <c r="AF323" s="307">
        <f t="shared" si="1183"/>
        <v>0.48000000000000004</v>
      </c>
      <c r="AG323" s="307">
        <f t="shared" si="1183"/>
        <v>0.45</v>
      </c>
      <c r="AH323" s="307">
        <f t="shared" si="1183"/>
        <v>0.42</v>
      </c>
      <c r="AI323" s="307">
        <f t="shared" si="1183"/>
        <v>0.38999999999999996</v>
      </c>
      <c r="AJ323" s="307">
        <f t="shared" si="1183"/>
        <v>0.35999999999999993</v>
      </c>
      <c r="AK323" s="307">
        <f t="shared" si="1183"/>
        <v>0.3299999999999999</v>
      </c>
      <c r="AL323" s="307">
        <f t="shared" si="1183"/>
        <v>0.29999999999999988</v>
      </c>
      <c r="AM323" s="307">
        <f t="shared" si="1183"/>
        <v>0.3</v>
      </c>
      <c r="AN323" s="307">
        <f t="shared" si="1183"/>
        <v>0.3</v>
      </c>
      <c r="AO323" s="307">
        <f t="shared" si="1183"/>
        <v>0.3</v>
      </c>
      <c r="AP323" s="307">
        <f t="shared" si="1183"/>
        <v>0.3</v>
      </c>
      <c r="AQ323" s="307">
        <f t="shared" si="1183"/>
        <v>0.3</v>
      </c>
      <c r="AR323" s="307">
        <f t="shared" si="1183"/>
        <v>0.3</v>
      </c>
      <c r="AS323" s="307">
        <f t="shared" si="1183"/>
        <v>0.3</v>
      </c>
      <c r="AT323" s="307">
        <f t="shared" si="1183"/>
        <v>0.3</v>
      </c>
      <c r="AU323" s="307">
        <f t="shared" si="1183"/>
        <v>0.3</v>
      </c>
      <c r="AV323" s="307">
        <f t="shared" si="1183"/>
        <v>0.3</v>
      </c>
      <c r="AW323" s="307">
        <f t="shared" si="1183"/>
        <v>0.3</v>
      </c>
      <c r="AX323" s="307">
        <f t="shared" si="1183"/>
        <v>0.3</v>
      </c>
      <c r="AY323" s="307">
        <f t="shared" si="1183"/>
        <v>0.3</v>
      </c>
      <c r="AZ323" s="25"/>
      <c r="BA323" s="25"/>
      <c r="BB323" s="25"/>
      <c r="BC323" s="25"/>
      <c r="BD323" s="25"/>
      <c r="BE323" s="25"/>
      <c r="BF323" s="25"/>
      <c r="BG323" s="25"/>
      <c r="BH323" s="25"/>
      <c r="BI323" s="25"/>
      <c r="BJ323" s="25"/>
      <c r="BK323" s="25"/>
      <c r="BL323" s="25"/>
      <c r="BM323" s="25"/>
      <c r="BN323" s="25"/>
    </row>
    <row r="324" spans="2:75">
      <c r="B324" s="20"/>
      <c r="C324" s="4"/>
      <c r="D324" s="193"/>
      <c r="E324" s="193"/>
      <c r="F324" s="193"/>
      <c r="G324" s="193"/>
      <c r="H324" s="33"/>
      <c r="I324" s="8"/>
      <c r="J324" s="8"/>
      <c r="K324" s="8"/>
      <c r="L324" s="8"/>
      <c r="M324" s="8"/>
      <c r="N324" s="8"/>
      <c r="O324" s="8"/>
      <c r="P324" s="8"/>
      <c r="Q324" s="8"/>
      <c r="R324" s="8"/>
      <c r="S324" s="8"/>
      <c r="T324" s="8"/>
      <c r="U324" s="8"/>
      <c r="V324" s="8"/>
      <c r="W324" s="8"/>
      <c r="X324" s="8"/>
      <c r="Y324" s="8"/>
      <c r="Z324" s="8"/>
      <c r="AA324" s="8"/>
      <c r="AB324" s="353">
        <v>1</v>
      </c>
      <c r="AC324" s="353">
        <v>1</v>
      </c>
      <c r="AD324" s="353">
        <v>1</v>
      </c>
      <c r="AE324" s="353">
        <v>1</v>
      </c>
      <c r="AF324" s="353">
        <v>0.53</v>
      </c>
      <c r="AG324" s="307">
        <f t="shared" ref="AG324:AL324" si="1184">+AF324-0.03</f>
        <v>0.5</v>
      </c>
      <c r="AH324" s="307">
        <f t="shared" si="1184"/>
        <v>0.47</v>
      </c>
      <c r="AI324" s="307">
        <f t="shared" si="1184"/>
        <v>0.43999999999999995</v>
      </c>
      <c r="AJ324" s="307">
        <f t="shared" si="1184"/>
        <v>0.40999999999999992</v>
      </c>
      <c r="AK324" s="307">
        <f t="shared" si="1184"/>
        <v>0.37999999999999989</v>
      </c>
      <c r="AL324" s="307">
        <f t="shared" si="1184"/>
        <v>0.34999999999999987</v>
      </c>
      <c r="AM324" s="353">
        <v>0.35</v>
      </c>
      <c r="AN324" s="353">
        <v>0.35</v>
      </c>
      <c r="AO324" s="353">
        <v>0.35</v>
      </c>
      <c r="AP324" s="353">
        <v>0.35</v>
      </c>
      <c r="AQ324" s="353">
        <v>0.35</v>
      </c>
      <c r="AR324" s="353">
        <v>0.35</v>
      </c>
      <c r="AS324" s="353">
        <v>0.35</v>
      </c>
      <c r="AT324" s="353">
        <v>0.35</v>
      </c>
      <c r="AU324" s="353">
        <v>0.35</v>
      </c>
      <c r="AV324" s="353">
        <v>0.35</v>
      </c>
      <c r="AW324" s="353">
        <v>0.35</v>
      </c>
      <c r="AX324" s="353">
        <v>0.35</v>
      </c>
      <c r="AY324" s="353">
        <v>0.35</v>
      </c>
      <c r="AZ324" s="25"/>
      <c r="BA324" s="25"/>
      <c r="BB324" s="25"/>
      <c r="BC324" s="25"/>
      <c r="BD324" s="25"/>
      <c r="BE324" s="25"/>
      <c r="BF324" s="25"/>
      <c r="BG324" s="25"/>
      <c r="BH324" s="25"/>
      <c r="BI324" s="25"/>
      <c r="BJ324" s="25"/>
      <c r="BK324" s="25"/>
      <c r="BL324" s="25"/>
      <c r="BM324" s="25"/>
      <c r="BN324" s="25"/>
    </row>
    <row r="325" spans="2:75">
      <c r="B325" s="20"/>
      <c r="C325" s="4"/>
      <c r="D325" s="193"/>
      <c r="E325" s="193"/>
      <c r="F325" s="193"/>
      <c r="G325" s="193"/>
      <c r="H325" s="33"/>
      <c r="I325" s="8"/>
      <c r="J325" s="8"/>
      <c r="K325" s="8"/>
      <c r="L325" s="8"/>
      <c r="M325" s="8"/>
      <c r="N325" s="8"/>
      <c r="O325" s="8"/>
      <c r="P325" s="8"/>
      <c r="Q325" s="8"/>
      <c r="R325" s="8"/>
      <c r="S325" s="8"/>
      <c r="T325" s="8"/>
      <c r="U325" s="8"/>
      <c r="V325" s="8"/>
      <c r="W325" s="8"/>
      <c r="X325" s="8"/>
      <c r="Y325" s="8"/>
      <c r="Z325" s="8"/>
      <c r="AA325" s="8"/>
      <c r="AB325" s="307">
        <f t="shared" ref="AB325:AM325" si="1185">+AB324+0.15</f>
        <v>1.1499999999999999</v>
      </c>
      <c r="AC325" s="307">
        <f t="shared" si="1185"/>
        <v>1.1499999999999999</v>
      </c>
      <c r="AD325" s="307">
        <f t="shared" si="1185"/>
        <v>1.1499999999999999</v>
      </c>
      <c r="AE325" s="307">
        <f t="shared" si="1185"/>
        <v>1.1499999999999999</v>
      </c>
      <c r="AF325" s="307">
        <f t="shared" si="1185"/>
        <v>0.68</v>
      </c>
      <c r="AG325" s="307">
        <f t="shared" si="1185"/>
        <v>0.65</v>
      </c>
      <c r="AH325" s="307">
        <f t="shared" si="1185"/>
        <v>0.62</v>
      </c>
      <c r="AI325" s="307">
        <f t="shared" si="1185"/>
        <v>0.59</v>
      </c>
      <c r="AJ325" s="307">
        <f t="shared" si="1185"/>
        <v>0.55999999999999994</v>
      </c>
      <c r="AK325" s="307">
        <f t="shared" si="1185"/>
        <v>0.52999999999999992</v>
      </c>
      <c r="AL325" s="307">
        <f t="shared" si="1185"/>
        <v>0.49999999999999989</v>
      </c>
      <c r="AM325" s="307">
        <f t="shared" si="1185"/>
        <v>0.5</v>
      </c>
      <c r="AN325" s="307">
        <f t="shared" ref="AN325:AY325" si="1186">+AN324+0.15</f>
        <v>0.5</v>
      </c>
      <c r="AO325" s="307">
        <f t="shared" si="1186"/>
        <v>0.5</v>
      </c>
      <c r="AP325" s="307">
        <f t="shared" si="1186"/>
        <v>0.5</v>
      </c>
      <c r="AQ325" s="307">
        <f t="shared" si="1186"/>
        <v>0.5</v>
      </c>
      <c r="AR325" s="307">
        <f t="shared" si="1186"/>
        <v>0.5</v>
      </c>
      <c r="AS325" s="307">
        <f t="shared" si="1186"/>
        <v>0.5</v>
      </c>
      <c r="AT325" s="307">
        <f t="shared" si="1186"/>
        <v>0.5</v>
      </c>
      <c r="AU325" s="307">
        <f t="shared" si="1186"/>
        <v>0.5</v>
      </c>
      <c r="AV325" s="307">
        <f t="shared" si="1186"/>
        <v>0.5</v>
      </c>
      <c r="AW325" s="307">
        <f t="shared" si="1186"/>
        <v>0.5</v>
      </c>
      <c r="AX325" s="307">
        <f t="shared" si="1186"/>
        <v>0.5</v>
      </c>
      <c r="AY325" s="307">
        <f t="shared" si="1186"/>
        <v>0.5</v>
      </c>
      <c r="AZ325" s="25"/>
      <c r="BA325" s="25"/>
      <c r="BB325" s="25"/>
      <c r="BC325" s="25"/>
      <c r="BD325" s="25"/>
      <c r="BE325" s="25"/>
      <c r="BF325" s="25"/>
      <c r="BG325" s="25"/>
      <c r="BH325" s="25"/>
      <c r="BI325" s="25"/>
      <c r="BJ325" s="25"/>
      <c r="BK325" s="25"/>
      <c r="BL325" s="25"/>
      <c r="BM325" s="25"/>
      <c r="BN325" s="25"/>
    </row>
    <row r="326" spans="2:75" s="22" customFormat="1">
      <c r="B326" s="23"/>
      <c r="C326" s="24"/>
      <c r="D326" s="193"/>
      <c r="E326" s="193"/>
      <c r="F326" s="193"/>
      <c r="G326" s="193"/>
      <c r="H326" s="33"/>
      <c r="I326" s="25"/>
      <c r="J326" s="25"/>
      <c r="K326" s="25"/>
      <c r="L326" s="25"/>
      <c r="M326" s="25"/>
      <c r="N326" s="25"/>
      <c r="O326" s="25"/>
      <c r="P326" s="25"/>
      <c r="Q326" s="25"/>
      <c r="R326" s="25"/>
      <c r="S326" s="25"/>
      <c r="T326" s="25"/>
      <c r="U326" s="25"/>
      <c r="V326" s="25"/>
      <c r="W326" s="25"/>
      <c r="X326" s="25"/>
      <c r="Y326" s="25"/>
      <c r="Z326" s="25"/>
      <c r="AA326" s="25"/>
      <c r="AB326" s="25"/>
      <c r="AC326" s="25"/>
      <c r="AD326" s="25"/>
      <c r="AE326" s="25"/>
      <c r="AF326" s="25"/>
      <c r="AG326" s="25"/>
      <c r="AH326" s="25"/>
      <c r="AI326" s="25"/>
      <c r="AJ326" s="25"/>
      <c r="AK326" s="25"/>
      <c r="AL326" s="25"/>
      <c r="AM326" s="25"/>
      <c r="AN326" s="25"/>
      <c r="AO326" s="25"/>
      <c r="AP326" s="25"/>
      <c r="AQ326" s="25"/>
      <c r="AR326" s="25"/>
      <c r="AS326" s="25"/>
      <c r="AT326" s="25"/>
      <c r="AU326" s="25"/>
      <c r="AV326" s="25"/>
      <c r="AW326" s="25"/>
      <c r="AX326" s="25"/>
      <c r="AY326" s="25"/>
      <c r="AZ326" s="25"/>
      <c r="BA326" s="25"/>
      <c r="BB326" s="25"/>
      <c r="BC326" s="25"/>
      <c r="BD326" s="25"/>
      <c r="BE326" s="25"/>
      <c r="BF326" s="25"/>
      <c r="BG326" s="25"/>
      <c r="BH326" s="25"/>
      <c r="BI326" s="25"/>
      <c r="BJ326" s="25"/>
      <c r="BK326" s="25"/>
      <c r="BL326" s="25"/>
      <c r="BM326" s="25"/>
      <c r="BN326" s="25"/>
      <c r="BQ326" s="230"/>
      <c r="BR326"/>
      <c r="BS326"/>
      <c r="BT326"/>
      <c r="BU326"/>
      <c r="BV326"/>
      <c r="BW326"/>
    </row>
    <row r="327" spans="2:75" s="22" customFormat="1">
      <c r="B327" t="s">
        <v>41</v>
      </c>
      <c r="C327" s="24"/>
      <c r="D327" s="33"/>
      <c r="E327" s="33"/>
      <c r="F327" s="33"/>
      <c r="G327" s="33"/>
      <c r="H327" s="34"/>
      <c r="I327" s="4">
        <f t="shared" ref="I327:AA327" si="1187">-I173</f>
        <v>0.98899999999999999</v>
      </c>
      <c r="J327" s="4">
        <f t="shared" si="1187"/>
        <v>0.49199999999999999</v>
      </c>
      <c r="K327" s="4">
        <f t="shared" si="1187"/>
        <v>0.29799999999999999</v>
      </c>
      <c r="L327" s="4">
        <f t="shared" si="1187"/>
        <v>7.2999999999999995E-2</v>
      </c>
      <c r="M327" s="4">
        <f t="shared" si="1187"/>
        <v>2.1999999999999999E-2</v>
      </c>
      <c r="N327" s="4">
        <f t="shared" si="1187"/>
        <v>1.877</v>
      </c>
      <c r="O327" s="4">
        <f t="shared" si="1187"/>
        <v>0.71199999999999997</v>
      </c>
      <c r="P327" s="4">
        <f t="shared" si="1187"/>
        <v>1.7000000000000001E-2</v>
      </c>
      <c r="Q327" s="4">
        <f t="shared" si="1187"/>
        <v>0.60899999999999999</v>
      </c>
      <c r="R327" s="4">
        <f t="shared" si="1187"/>
        <v>1.4079999999999999</v>
      </c>
      <c r="S327" s="4">
        <f t="shared" si="1187"/>
        <v>2.7109999999999999</v>
      </c>
      <c r="T327" s="4">
        <f t="shared" si="1187"/>
        <v>0.33500000000000002</v>
      </c>
      <c r="U327" s="4">
        <f t="shared" si="1187"/>
        <v>0.38</v>
      </c>
      <c r="V327" s="4">
        <f t="shared" si="1187"/>
        <v>1.7310000000000001</v>
      </c>
      <c r="W327" s="4">
        <f t="shared" si="1187"/>
        <v>2.613</v>
      </c>
      <c r="X327" s="4">
        <f t="shared" si="1187"/>
        <v>0.79600000000000004</v>
      </c>
      <c r="Y327" s="4">
        <f t="shared" si="1187"/>
        <v>1.1719999999999999</v>
      </c>
      <c r="Z327" s="4">
        <f t="shared" si="1187"/>
        <v>2.1930000000000001</v>
      </c>
      <c r="AA327" s="4">
        <f t="shared" si="1187"/>
        <v>0.84799999999999998</v>
      </c>
      <c r="AB327" s="4">
        <f t="shared" ref="AB327:AY327" ca="1" si="1188">+AB328*AB86</f>
        <v>2.0206164794052235</v>
      </c>
      <c r="AC327" s="4">
        <f t="shared" ca="1" si="1188"/>
        <v>2.0539948101984185</v>
      </c>
      <c r="AD327" s="4">
        <f t="shared" ca="1" si="1188"/>
        <v>2.0915599756587251</v>
      </c>
      <c r="AE327" s="4">
        <f t="shared" ca="1" si="1188"/>
        <v>2.1163217591085264</v>
      </c>
      <c r="AF327" s="4">
        <f t="shared" ca="1" si="1188"/>
        <v>2.1351435048181524</v>
      </c>
      <c r="AG327" s="4">
        <f t="shared" ca="1" si="1188"/>
        <v>2.1975827602400755</v>
      </c>
      <c r="AH327" s="4">
        <f t="shared" ca="1" si="1188"/>
        <v>2.2578150787707583</v>
      </c>
      <c r="AI327" s="4">
        <f t="shared" ca="1" si="1188"/>
        <v>2.3056579607546759</v>
      </c>
      <c r="AJ327" s="4">
        <f t="shared" ca="1" si="1188"/>
        <v>2.3351561108838887</v>
      </c>
      <c r="AK327" s="4">
        <f t="shared" ca="1" si="1188"/>
        <v>2.3963829537878976</v>
      </c>
      <c r="AL327" s="4">
        <f t="shared" ca="1" si="1188"/>
        <v>2.4592210974404027</v>
      </c>
      <c r="AM327" s="4">
        <f t="shared" ca="1" si="1188"/>
        <v>2.5104104524213815</v>
      </c>
      <c r="AN327" s="4">
        <f t="shared" ca="1" si="1188"/>
        <v>2.5425772578149761</v>
      </c>
      <c r="AO327" s="4">
        <f t="shared" ca="1" si="1188"/>
        <v>2.6087251640721418</v>
      </c>
      <c r="AP327" s="4">
        <f t="shared" ca="1" si="1188"/>
        <v>2.676645415162461</v>
      </c>
      <c r="AQ327" s="4">
        <f t="shared" ca="1" si="1188"/>
        <v>2.7318657920389806</v>
      </c>
      <c r="AR327" s="4">
        <f t="shared" ca="1" si="1188"/>
        <v>2.7662799432803413</v>
      </c>
      <c r="AS327" s="4">
        <f t="shared" ca="1" si="1188"/>
        <v>2.8373225739408441</v>
      </c>
      <c r="AT327" s="4">
        <f t="shared" ca="1" si="1188"/>
        <v>2.9101326360522477</v>
      </c>
      <c r="AU327" s="4">
        <f t="shared" ca="1" si="1188"/>
        <v>2.968992088601047</v>
      </c>
      <c r="AV327" s="4">
        <f t="shared" ca="1" si="1188"/>
        <v>3.0051072133747461</v>
      </c>
      <c r="AW327" s="4">
        <f t="shared" ca="1" si="1188"/>
        <v>3.0807425910199595</v>
      </c>
      <c r="AX327" s="4">
        <f t="shared" ca="1" si="1188"/>
        <v>3.1581066620683629</v>
      </c>
      <c r="AY327" s="4">
        <f t="shared" ca="1" si="1188"/>
        <v>3.2201780439675547</v>
      </c>
      <c r="AZ327" s="24"/>
      <c r="BA327" s="4"/>
      <c r="BB327" s="4"/>
      <c r="BC327" s="4"/>
      <c r="BD327" s="4">
        <f>+SUM(H327:K327)</f>
        <v>1.7789999999999999</v>
      </c>
      <c r="BE327" s="4">
        <f>+SUM(L327:O327)</f>
        <v>2.6840000000000002</v>
      </c>
      <c r="BF327" s="4">
        <f>+SUM(P327:S327)</f>
        <v>4.7449999999999992</v>
      </c>
      <c r="BG327" s="4">
        <f>+SUM(T327:W327)</f>
        <v>5.0590000000000002</v>
      </c>
      <c r="BH327" s="4">
        <f>+SUM(X327:AA327)</f>
        <v>5.0089999999999995</v>
      </c>
      <c r="BI327" s="4">
        <f ca="1">+SUM(AB327:AE327)</f>
        <v>8.2824930243708934</v>
      </c>
      <c r="BJ327" s="4">
        <f ca="1">+SUM(AF327:AI327)</f>
        <v>8.8961993045836625</v>
      </c>
      <c r="BK327" s="4">
        <f ca="1">+SUM(AJ327:AM327)</f>
        <v>9.7011706145335701</v>
      </c>
      <c r="BL327" s="4">
        <f ca="1">+SUM(AN327:AQ327)</f>
        <v>10.559813629088561</v>
      </c>
      <c r="BM327" s="4">
        <f ca="1">+SUM(AR327:AU327)</f>
        <v>11.48272724187448</v>
      </c>
      <c r="BN327" s="4">
        <f ca="1">+SUM(AV327:AY327)</f>
        <v>12.464134510430622</v>
      </c>
      <c r="BQ327" s="230"/>
      <c r="BR327"/>
      <c r="BS327"/>
      <c r="BT327"/>
      <c r="BU327"/>
      <c r="BV327"/>
      <c r="BW327"/>
    </row>
    <row r="328" spans="2:75" s="22" customFormat="1">
      <c r="B328" s="20" t="s">
        <v>16</v>
      </c>
      <c r="C328" s="24"/>
      <c r="D328" s="193"/>
      <c r="E328" s="193"/>
      <c r="F328" s="193"/>
      <c r="G328" s="193"/>
      <c r="H328" s="193"/>
      <c r="I328" s="25">
        <f t="shared" ref="I328:AA328" si="1189">+I327/I86</f>
        <v>2.3032137866790869E-2</v>
      </c>
      <c r="J328" s="25">
        <f t="shared" si="1189"/>
        <v>1.0691003911342893E-2</v>
      </c>
      <c r="K328" s="25">
        <f t="shared" si="1189"/>
        <v>6.2830757553395599E-3</v>
      </c>
      <c r="L328" s="25">
        <f t="shared" si="1189"/>
        <v>1.4915309645914634E-3</v>
      </c>
      <c r="M328" s="25">
        <f t="shared" si="1189"/>
        <v>4.285324710740582E-4</v>
      </c>
      <c r="N328" s="25">
        <f t="shared" si="1189"/>
        <v>3.2392786262835448E-2</v>
      </c>
      <c r="O328" s="25">
        <f t="shared" si="1189"/>
        <v>1.1953729664388967E-2</v>
      </c>
      <c r="P328" s="25">
        <f t="shared" si="1189"/>
        <v>2.7693610921056917E-4</v>
      </c>
      <c r="Q328" s="25">
        <f t="shared" si="1189"/>
        <v>8.9404994347960128E-3</v>
      </c>
      <c r="R328" s="25">
        <f t="shared" si="1189"/>
        <v>1.5839802002474968E-2</v>
      </c>
      <c r="S328" s="25">
        <f t="shared" si="1189"/>
        <v>2.9248031071312974E-2</v>
      </c>
      <c r="T328" s="25">
        <f t="shared" si="1189"/>
        <v>3.534948505824751E-3</v>
      </c>
      <c r="U328" s="25">
        <f t="shared" si="1189"/>
        <v>3.8505578242321679E-3</v>
      </c>
      <c r="V328" s="25">
        <f t="shared" si="1189"/>
        <v>1.6730295268931526E-2</v>
      </c>
      <c r="W328" s="25">
        <f t="shared" si="1189"/>
        <v>2.4781161385772407E-2</v>
      </c>
      <c r="X328" s="25">
        <f t="shared" si="1189"/>
        <v>7.5119852025216103E-3</v>
      </c>
      <c r="Y328" s="25">
        <f t="shared" si="1189"/>
        <v>1.0865131456965922E-2</v>
      </c>
      <c r="Z328" s="25">
        <f t="shared" si="1189"/>
        <v>1.9276240034456389E-2</v>
      </c>
      <c r="AA328" s="25">
        <f t="shared" si="1189"/>
        <v>7.1313839762511466E-3</v>
      </c>
      <c r="AB328" s="16">
        <v>0.02</v>
      </c>
      <c r="AC328" s="16">
        <v>0.02</v>
      </c>
      <c r="AD328" s="16">
        <v>0.02</v>
      </c>
      <c r="AE328" s="16">
        <v>0.02</v>
      </c>
      <c r="AF328" s="16">
        <v>0.02</v>
      </c>
      <c r="AG328" s="16">
        <v>0.02</v>
      </c>
      <c r="AH328" s="16">
        <v>0.02</v>
      </c>
      <c r="AI328" s="16">
        <v>0.02</v>
      </c>
      <c r="AJ328" s="16">
        <v>0.02</v>
      </c>
      <c r="AK328" s="16">
        <v>0.02</v>
      </c>
      <c r="AL328" s="16">
        <v>0.02</v>
      </c>
      <c r="AM328" s="16">
        <v>0.02</v>
      </c>
      <c r="AN328" s="16">
        <v>0.02</v>
      </c>
      <c r="AO328" s="16">
        <v>0.02</v>
      </c>
      <c r="AP328" s="16">
        <v>0.02</v>
      </c>
      <c r="AQ328" s="16">
        <v>0.02</v>
      </c>
      <c r="AR328" s="16">
        <v>0.02</v>
      </c>
      <c r="AS328" s="16">
        <v>0.02</v>
      </c>
      <c r="AT328" s="16">
        <v>0.02</v>
      </c>
      <c r="AU328" s="16">
        <v>0.02</v>
      </c>
      <c r="AV328" s="16">
        <v>0.02</v>
      </c>
      <c r="AW328" s="16">
        <v>0.02</v>
      </c>
      <c r="AX328" s="16">
        <v>0.02</v>
      </c>
      <c r="AY328" s="16">
        <v>0.02</v>
      </c>
      <c r="AZ328" s="25"/>
      <c r="BA328" s="25"/>
      <c r="BB328" s="25"/>
      <c r="BC328" s="25"/>
      <c r="BD328" s="25">
        <f t="shared" ref="BD328:BN328" si="1190">+BD327/BD86</f>
        <v>1.0000730801014126E-2</v>
      </c>
      <c r="BE328" s="25">
        <f t="shared" si="1190"/>
        <v>1.2323854740138392E-2</v>
      </c>
      <c r="BF328" s="25">
        <f t="shared" si="1190"/>
        <v>1.525316394659946E-2</v>
      </c>
      <c r="BG328" s="25">
        <f t="shared" si="1190"/>
        <v>1.2573223681103878E-2</v>
      </c>
      <c r="BH328" s="25">
        <f t="shared" si="1190"/>
        <v>1.1218113816039953E-2</v>
      </c>
      <c r="BI328" s="25">
        <f t="shared" ca="1" si="1190"/>
        <v>2.0000000000000004E-2</v>
      </c>
      <c r="BJ328" s="25">
        <f t="shared" ca="1" si="1190"/>
        <v>0.02</v>
      </c>
      <c r="BK328" s="25">
        <f t="shared" ca="1" si="1190"/>
        <v>2.0000000000000004E-2</v>
      </c>
      <c r="BL328" s="25">
        <f t="shared" ca="1" si="1190"/>
        <v>2.0000000000000007E-2</v>
      </c>
      <c r="BM328" s="25">
        <f t="shared" ca="1" si="1190"/>
        <v>0.02</v>
      </c>
      <c r="BN328" s="25">
        <f t="shared" ca="1" si="1190"/>
        <v>0.02</v>
      </c>
      <c r="BQ328" s="230"/>
      <c r="BR328"/>
      <c r="BS328"/>
      <c r="BT328"/>
      <c r="BU328"/>
      <c r="BV328"/>
      <c r="BW328"/>
    </row>
    <row r="329" spans="2:75" s="22" customFormat="1">
      <c r="B329" s="23"/>
      <c r="C329" s="24"/>
      <c r="D329" s="193"/>
      <c r="E329" s="193"/>
      <c r="F329" s="193"/>
      <c r="G329" s="193"/>
      <c r="H329" s="193"/>
      <c r="I329" s="25"/>
      <c r="J329" s="25"/>
      <c r="K329" s="25"/>
      <c r="L329" s="25"/>
      <c r="M329" s="25"/>
      <c r="N329" s="25"/>
      <c r="O329" s="25"/>
      <c r="P329" s="25"/>
      <c r="Q329" s="25"/>
      <c r="R329" s="25"/>
      <c r="S329" s="25"/>
      <c r="T329" s="25"/>
      <c r="U329" s="25"/>
      <c r="V329" s="25"/>
      <c r="W329" s="25"/>
      <c r="X329" s="25"/>
      <c r="Y329" s="25"/>
      <c r="Z329" s="25"/>
      <c r="AA329" s="25"/>
      <c r="AB329" s="25"/>
      <c r="AC329" s="25"/>
      <c r="AD329" s="25"/>
      <c r="AE329" s="25"/>
      <c r="AF329" s="25"/>
      <c r="AG329" s="25"/>
      <c r="AH329" s="25"/>
      <c r="AI329" s="25"/>
      <c r="AJ329" s="25"/>
      <c r="AK329" s="25"/>
      <c r="AL329" s="25"/>
      <c r="AM329" s="25"/>
      <c r="AN329" s="25"/>
      <c r="AO329" s="25"/>
      <c r="AP329" s="25"/>
      <c r="AQ329" s="25"/>
      <c r="AR329" s="25"/>
      <c r="AS329" s="25"/>
      <c r="AT329" s="25"/>
      <c r="AU329" s="25"/>
      <c r="AV329" s="25"/>
      <c r="AW329" s="25"/>
      <c r="AX329" s="25"/>
      <c r="AY329" s="25"/>
      <c r="AZ329" s="25"/>
      <c r="BA329" s="25"/>
      <c r="BB329" s="25"/>
      <c r="BC329" s="25"/>
      <c r="BD329" s="25"/>
      <c r="BE329" s="25"/>
      <c r="BF329" s="25"/>
      <c r="BG329" s="25"/>
      <c r="BH329" s="25"/>
      <c r="BI329" s="25"/>
      <c r="BJ329" s="25"/>
      <c r="BK329" s="25"/>
      <c r="BL329" s="25"/>
      <c r="BM329" s="25"/>
      <c r="BN329" s="25"/>
      <c r="BQ329" s="230"/>
      <c r="BR329"/>
      <c r="BS329"/>
      <c r="BT329"/>
      <c r="BU329"/>
      <c r="BV329"/>
      <c r="BW329"/>
    </row>
    <row r="330" spans="2:75" s="22" customFormat="1">
      <c r="B330" t="s">
        <v>219</v>
      </c>
      <c r="C330" s="24"/>
      <c r="D330" s="33"/>
      <c r="E330" s="33"/>
      <c r="F330" s="33"/>
      <c r="G330" s="33"/>
      <c r="H330" s="33"/>
      <c r="I330" s="4">
        <f>+I321-I327</f>
        <v>44.033000000000008</v>
      </c>
      <c r="J330" s="4">
        <f t="shared" ref="J330:O330" si="1191">+J321-J327</f>
        <v>37.080000000000005</v>
      </c>
      <c r="K330" s="4">
        <f t="shared" si="1191"/>
        <v>44.441999999999979</v>
      </c>
      <c r="L330" s="4">
        <f t="shared" si="1191"/>
        <v>59.091999999999999</v>
      </c>
      <c r="M330" s="4">
        <f t="shared" si="1191"/>
        <v>128.27000000000001</v>
      </c>
      <c r="N330" s="4">
        <f t="shared" si="1191"/>
        <v>57.738000000000014</v>
      </c>
      <c r="O330" s="4">
        <f t="shared" si="1191"/>
        <v>44.42499999999999</v>
      </c>
      <c r="P330" s="4">
        <f t="shared" ref="P330:U330" si="1192">+P321-P327</f>
        <v>73.382000000000005</v>
      </c>
      <c r="Q330" s="4">
        <f t="shared" si="1192"/>
        <v>385.00700000000001</v>
      </c>
      <c r="R330" s="4">
        <f t="shared" si="1192"/>
        <v>80.597999999999999</v>
      </c>
      <c r="S330" s="4">
        <f t="shared" si="1192"/>
        <v>69.010999999999981</v>
      </c>
      <c r="T330" s="4">
        <f t="shared" si="1192"/>
        <v>77.718000000000004</v>
      </c>
      <c r="U330" s="4">
        <f t="shared" si="1192"/>
        <v>193.851</v>
      </c>
      <c r="V330" s="4">
        <f t="shared" ref="V330:AA330" si="1193">+V321-V327</f>
        <v>46.717000000000006</v>
      </c>
      <c r="W330" s="4">
        <f t="shared" si="1193"/>
        <v>129.62699999999998</v>
      </c>
      <c r="X330" s="4">
        <f t="shared" si="1193"/>
        <v>65.322999999999993</v>
      </c>
      <c r="Y330" s="4">
        <f t="shared" si="1193"/>
        <v>77.546000000000021</v>
      </c>
      <c r="Z330" s="4">
        <f t="shared" si="1193"/>
        <v>136.95399999999998</v>
      </c>
      <c r="AA330" s="4">
        <f t="shared" si="1193"/>
        <v>149.51999999999998</v>
      </c>
      <c r="AB330" s="4">
        <f t="shared" ref="AB330:AM330" ca="1" si="1194">+AB321-AB327</f>
        <v>99.010207490855947</v>
      </c>
      <c r="AC330" s="4">
        <f t="shared" ca="1" si="1194"/>
        <v>100.64574569972251</v>
      </c>
      <c r="AD330" s="4">
        <f t="shared" ca="1" si="1194"/>
        <v>102.48643880727752</v>
      </c>
      <c r="AE330" s="4">
        <f t="shared" ca="1" si="1194"/>
        <v>103.69976619631778</v>
      </c>
      <c r="AF330" s="4">
        <f t="shared" ca="1" si="1194"/>
        <v>54.446159372862894</v>
      </c>
      <c r="AG330" s="4">
        <f t="shared" ca="1" si="1194"/>
        <v>52.741986245761815</v>
      </c>
      <c r="AH330" s="4">
        <f t="shared" ca="1" si="1194"/>
        <v>50.800839272342053</v>
      </c>
      <c r="AI330" s="4">
        <f t="shared" ca="1" si="1194"/>
        <v>48.41881717584819</v>
      </c>
      <c r="AJ330" s="4">
        <f t="shared" ca="1" si="1194"/>
        <v>45.535544162235823</v>
      </c>
      <c r="AK330" s="4">
        <f t="shared" ca="1" si="1194"/>
        <v>43.134893168182138</v>
      </c>
      <c r="AL330" s="4">
        <f t="shared" ca="1" si="1194"/>
        <v>40.577148107766625</v>
      </c>
      <c r="AM330" s="4">
        <f t="shared" ca="1" si="1194"/>
        <v>41.421772464952788</v>
      </c>
      <c r="AN330" s="4">
        <f t="shared" ref="AN330:AY330" ca="1" si="1195">+AN321-AN327</f>
        <v>41.952524753947102</v>
      </c>
      <c r="AO330" s="4">
        <f t="shared" ca="1" si="1195"/>
        <v>43.043965207190332</v>
      </c>
      <c r="AP330" s="4">
        <f t="shared" ca="1" si="1195"/>
        <v>44.164649350180603</v>
      </c>
      <c r="AQ330" s="4">
        <f t="shared" ca="1" si="1195"/>
        <v>45.075785568643177</v>
      </c>
      <c r="AR330" s="4">
        <f t="shared" ca="1" si="1195"/>
        <v>45.64361906412563</v>
      </c>
      <c r="AS330" s="4">
        <f t="shared" ca="1" si="1195"/>
        <v>46.815822470023924</v>
      </c>
      <c r="AT330" s="4">
        <f t="shared" ca="1" si="1195"/>
        <v>48.01718849486209</v>
      </c>
      <c r="AU330" s="4">
        <f t="shared" ca="1" si="1195"/>
        <v>48.988369461917273</v>
      </c>
      <c r="AV330" s="4">
        <f t="shared" ca="1" si="1195"/>
        <v>49.584269020683308</v>
      </c>
      <c r="AW330" s="4">
        <f t="shared" ca="1" si="1195"/>
        <v>50.832252751829323</v>
      </c>
      <c r="AX330" s="4">
        <f t="shared" ca="1" si="1195"/>
        <v>52.108759924127988</v>
      </c>
      <c r="AY330" s="4">
        <f t="shared" ca="1" si="1195"/>
        <v>53.13293772546465</v>
      </c>
      <c r="AZ330" s="25"/>
      <c r="BA330" s="25"/>
      <c r="BB330" s="25"/>
      <c r="BC330" s="25"/>
      <c r="BD330" s="4">
        <f t="shared" ref="BD330:BK330" si="1196">+BD321-BD327</f>
        <v>167.059</v>
      </c>
      <c r="BE330" s="4">
        <f t="shared" si="1196"/>
        <v>289.52499999999998</v>
      </c>
      <c r="BF330" s="4">
        <f t="shared" si="1196"/>
        <v>607.99799999999993</v>
      </c>
      <c r="BG330" s="4">
        <f t="shared" si="1196"/>
        <v>447.91299999999995</v>
      </c>
      <c r="BH330" s="4">
        <f t="shared" si="1196"/>
        <v>429.34300000000002</v>
      </c>
      <c r="BI330" s="4">
        <f t="shared" ca="1" si="1196"/>
        <v>405.84215819417375</v>
      </c>
      <c r="BJ330" s="4">
        <f t="shared" ca="1" si="1196"/>
        <v>206.40780206681495</v>
      </c>
      <c r="BK330" s="4">
        <f t="shared" ca="1" si="1196"/>
        <v>170.66935790313738</v>
      </c>
      <c r="BL330" s="4">
        <f t="shared" ref="BL330:BN330" ca="1" si="1197">+BL321-BL327</f>
        <v>174.23692487996121</v>
      </c>
      <c r="BM330" s="4">
        <f t="shared" ca="1" si="1197"/>
        <v>189.46499949092893</v>
      </c>
      <c r="BN330" s="4">
        <f t="shared" ca="1" si="1197"/>
        <v>205.65821942210528</v>
      </c>
      <c r="BQ330" s="230"/>
      <c r="BR330"/>
      <c r="BS330"/>
      <c r="BT330"/>
      <c r="BU330"/>
      <c r="BV330"/>
      <c r="BW330"/>
    </row>
    <row r="331" spans="2:75" s="22" customFormat="1">
      <c r="B331"/>
      <c r="C331" s="24"/>
      <c r="D331" s="193"/>
      <c r="E331" s="193"/>
      <c r="F331" s="193"/>
      <c r="G331" s="193"/>
      <c r="H331" s="33"/>
      <c r="I331" s="25"/>
      <c r="J331" s="25"/>
      <c r="K331" s="25"/>
      <c r="L331" s="25"/>
      <c r="M331" s="25"/>
      <c r="N331" s="25"/>
      <c r="O331" s="25"/>
      <c r="P331" s="25"/>
      <c r="Q331" s="25"/>
      <c r="R331" s="25"/>
      <c r="S331" s="25"/>
      <c r="T331" s="25"/>
      <c r="U331" s="25"/>
      <c r="V331" s="25"/>
      <c r="W331" s="25"/>
      <c r="X331" s="25"/>
      <c r="Y331" s="25"/>
      <c r="Z331" s="25"/>
      <c r="AA331" s="25"/>
      <c r="AB331" s="25"/>
      <c r="AC331" s="25"/>
      <c r="AD331" s="25"/>
      <c r="AE331" s="25"/>
      <c r="AF331" s="25"/>
      <c r="AG331" s="25"/>
      <c r="AH331" s="25"/>
      <c r="AI331" s="25"/>
      <c r="AJ331" s="25"/>
      <c r="AK331" s="25"/>
      <c r="AL331" s="25"/>
      <c r="AM331" s="25"/>
      <c r="AN331" s="25"/>
      <c r="AO331" s="25"/>
      <c r="AP331" s="25"/>
      <c r="AQ331" s="25"/>
      <c r="AR331" s="25"/>
      <c r="AS331" s="25"/>
      <c r="AT331" s="25"/>
      <c r="AU331" s="25"/>
      <c r="AV331" s="25"/>
      <c r="AW331" s="25"/>
      <c r="AX331" s="25"/>
      <c r="AY331" s="25"/>
      <c r="AZ331" s="25"/>
      <c r="BA331" s="25"/>
      <c r="BB331" s="25"/>
      <c r="BC331" s="25"/>
      <c r="BD331" s="25"/>
      <c r="BE331" s="25"/>
      <c r="BF331" s="25"/>
      <c r="BG331" s="25"/>
      <c r="BH331" s="25"/>
      <c r="BI331" s="25"/>
      <c r="BJ331" s="25"/>
      <c r="BK331" s="25"/>
      <c r="BL331" s="25"/>
      <c r="BM331" s="25"/>
      <c r="BN331" s="25"/>
      <c r="BQ331" s="230"/>
      <c r="BR331"/>
      <c r="BS331"/>
      <c r="BT331"/>
      <c r="BU331"/>
      <c r="BV331"/>
      <c r="BW331"/>
    </row>
    <row r="332" spans="2:75" s="22" customFormat="1">
      <c r="B332" s="80" t="s">
        <v>203</v>
      </c>
      <c r="C332" s="24"/>
      <c r="D332" s="193"/>
      <c r="E332" s="193"/>
      <c r="F332" s="193"/>
      <c r="G332" s="193"/>
      <c r="H332" s="33"/>
      <c r="I332" s="25"/>
      <c r="J332" s="25"/>
      <c r="K332" s="25"/>
      <c r="L332" s="25"/>
      <c r="M332" s="25"/>
      <c r="N332" s="25"/>
      <c r="O332" s="25"/>
      <c r="P332" s="25"/>
      <c r="Q332" s="25"/>
      <c r="R332" s="25"/>
      <c r="S332" s="25"/>
      <c r="T332" s="25"/>
      <c r="U332" s="25"/>
      <c r="V332" s="25"/>
      <c r="W332" s="25"/>
      <c r="X332" s="25"/>
      <c r="Y332" s="25"/>
      <c r="Z332" s="25"/>
      <c r="AA332" s="25"/>
      <c r="AB332" s="25"/>
      <c r="AC332" s="25"/>
      <c r="AD332" s="25"/>
      <c r="AE332" s="25"/>
      <c r="AF332" s="25"/>
      <c r="AG332" s="25"/>
      <c r="AH332" s="25"/>
      <c r="AI332" s="25"/>
      <c r="AJ332" s="25"/>
      <c r="AK332" s="25"/>
      <c r="AL332" s="25"/>
      <c r="AM332" s="25"/>
      <c r="AN332" s="25"/>
      <c r="AO332" s="25"/>
      <c r="AP332" s="25"/>
      <c r="AQ332" s="25"/>
      <c r="AR332" s="25"/>
      <c r="AS332" s="25"/>
      <c r="AT332" s="25"/>
      <c r="AU332" s="25"/>
      <c r="AV332" s="25"/>
      <c r="AW332" s="25"/>
      <c r="AX332" s="25"/>
      <c r="AY332" s="25"/>
      <c r="AZ332" s="25"/>
      <c r="BA332" s="25"/>
      <c r="BB332" s="25"/>
      <c r="BC332" s="25"/>
      <c r="BD332" s="25"/>
      <c r="BE332" s="25"/>
      <c r="BF332" s="25"/>
      <c r="BG332" s="25"/>
      <c r="BH332" s="25"/>
      <c r="BI332" s="25"/>
      <c r="BJ332" s="25"/>
      <c r="BK332" s="25"/>
      <c r="BL332" s="25"/>
      <c r="BM332" s="25"/>
      <c r="BN332" s="25"/>
      <c r="BQ332" s="230"/>
      <c r="BR332"/>
      <c r="BS332"/>
      <c r="BT332"/>
      <c r="BU332"/>
      <c r="BV332"/>
      <c r="BW332"/>
    </row>
    <row r="333" spans="2:75" s="22" customFormat="1">
      <c r="B333" s="22" t="s">
        <v>207</v>
      </c>
      <c r="C333" s="28">
        <v>7</v>
      </c>
      <c r="D333" s="193"/>
      <c r="E333" s="193"/>
      <c r="F333" s="193"/>
      <c r="G333" s="193"/>
      <c r="H333" s="33"/>
      <c r="I333" s="25"/>
      <c r="J333" s="25"/>
      <c r="K333" s="25"/>
      <c r="L333" s="25"/>
      <c r="M333" s="25"/>
      <c r="N333" s="25"/>
      <c r="O333" s="25"/>
      <c r="P333" s="25"/>
      <c r="Q333" s="318">
        <f>+(Q319-Q327)/$C$333+9.078</f>
        <v>17.507571428571424</v>
      </c>
      <c r="R333" s="25"/>
      <c r="S333" s="25"/>
      <c r="T333" s="25"/>
      <c r="U333" s="318">
        <f t="shared" ref="U333:Z333" si="1198">+(U321-U327)/$C$333+18</f>
        <v>45.692999999999998</v>
      </c>
      <c r="V333" s="39">
        <f t="shared" si="1198"/>
        <v>24.673857142857145</v>
      </c>
      <c r="W333" s="39">
        <f t="shared" si="1198"/>
        <v>36.518142857142855</v>
      </c>
      <c r="X333" s="39">
        <f t="shared" si="1198"/>
        <v>27.331857142857142</v>
      </c>
      <c r="Y333" s="39">
        <f t="shared" si="1198"/>
        <v>29.078000000000003</v>
      </c>
      <c r="Z333" s="39">
        <f t="shared" si="1198"/>
        <v>37.564857142857136</v>
      </c>
      <c r="AA333" s="39">
        <f t="shared" ref="AA333" si="1199">+(AA321-AA327)/$C$333+18</f>
        <v>39.36</v>
      </c>
      <c r="AB333" s="39">
        <f t="shared" ref="AB333:AM333" ca="1" si="1200">+(AB321-AB327)/$C$333</f>
        <v>14.144315355836564</v>
      </c>
      <c r="AC333" s="39">
        <f t="shared" ca="1" si="1200"/>
        <v>14.37796367138893</v>
      </c>
      <c r="AD333" s="39">
        <f t="shared" ca="1" si="1200"/>
        <v>14.640919829611075</v>
      </c>
      <c r="AE333" s="39">
        <f t="shared" ca="1" si="1200"/>
        <v>14.814252313759683</v>
      </c>
      <c r="AF333" s="39">
        <f t="shared" ca="1" si="1200"/>
        <v>7.7780227675518416</v>
      </c>
      <c r="AG333" s="39">
        <f t="shared" ca="1" si="1200"/>
        <v>7.5345694636802589</v>
      </c>
      <c r="AH333" s="39">
        <f t="shared" ca="1" si="1200"/>
        <v>7.2572627531917222</v>
      </c>
      <c r="AI333" s="39">
        <f t="shared" ca="1" si="1200"/>
        <v>6.9169738822640268</v>
      </c>
      <c r="AJ333" s="39">
        <f t="shared" ca="1" si="1200"/>
        <v>6.5050777374622601</v>
      </c>
      <c r="AK333" s="39">
        <f t="shared" ca="1" si="1200"/>
        <v>6.1621275954545913</v>
      </c>
      <c r="AL333" s="39">
        <f t="shared" ca="1" si="1200"/>
        <v>5.7967354439666607</v>
      </c>
      <c r="AM333" s="39">
        <f t="shared" ca="1" si="1200"/>
        <v>5.9173960664218272</v>
      </c>
      <c r="AN333" s="39">
        <f t="shared" ref="AN333:AY333" ca="1" si="1201">+(AN321-AN327)/$C$333</f>
        <v>5.9932178219924435</v>
      </c>
      <c r="AO333" s="39">
        <f t="shared" ca="1" si="1201"/>
        <v>6.1491378867414763</v>
      </c>
      <c r="AP333" s="39">
        <f t="shared" ca="1" si="1201"/>
        <v>6.3092356214543717</v>
      </c>
      <c r="AQ333" s="39">
        <f t="shared" ca="1" si="1201"/>
        <v>6.4393979383775966</v>
      </c>
      <c r="AR333" s="39">
        <f t="shared" ca="1" si="1201"/>
        <v>6.5205170091608045</v>
      </c>
      <c r="AS333" s="39">
        <f t="shared" ca="1" si="1201"/>
        <v>6.687974638574846</v>
      </c>
      <c r="AT333" s="39">
        <f t="shared" ca="1" si="1201"/>
        <v>6.8595983564088696</v>
      </c>
      <c r="AU333" s="39">
        <f t="shared" ca="1" si="1201"/>
        <v>6.9983384945596105</v>
      </c>
      <c r="AV333" s="39">
        <f t="shared" ca="1" si="1201"/>
        <v>7.083467002954758</v>
      </c>
      <c r="AW333" s="39">
        <f t="shared" ca="1" si="1201"/>
        <v>7.2617503931184748</v>
      </c>
      <c r="AX333" s="39">
        <f t="shared" ca="1" si="1201"/>
        <v>7.4441085605897124</v>
      </c>
      <c r="AY333" s="39">
        <f t="shared" ca="1" si="1201"/>
        <v>7.5904196750663786</v>
      </c>
      <c r="AZ333" s="25"/>
      <c r="BA333" s="25"/>
      <c r="BB333" s="25"/>
      <c r="BC333" s="25"/>
      <c r="BD333" s="25"/>
      <c r="BE333" s="25"/>
      <c r="BF333" s="25"/>
      <c r="BG333" s="25"/>
      <c r="BH333" s="25"/>
      <c r="BI333" s="25"/>
      <c r="BJ333" s="25"/>
      <c r="BK333" s="25"/>
      <c r="BL333" s="25"/>
      <c r="BM333" s="25"/>
      <c r="BN333" s="25"/>
      <c r="BQ333" s="230"/>
      <c r="BR333"/>
      <c r="BS333"/>
      <c r="BT333"/>
      <c r="BU333"/>
      <c r="BV333"/>
      <c r="BW333"/>
    </row>
    <row r="334" spans="2:75" s="75" customFormat="1">
      <c r="B334" s="75" t="s">
        <v>198</v>
      </c>
      <c r="C334" s="76">
        <v>6600</v>
      </c>
      <c r="D334" s="199"/>
      <c r="E334" s="199"/>
      <c r="F334" s="199"/>
      <c r="G334" s="199"/>
      <c r="H334" s="198"/>
      <c r="I334" s="77"/>
      <c r="J334" s="77"/>
      <c r="K334" s="77"/>
      <c r="L334" s="77"/>
      <c r="M334" s="77"/>
      <c r="N334" s="77"/>
      <c r="O334" s="77"/>
      <c r="P334" s="77"/>
      <c r="Q334" s="320">
        <f>+(Q333-9.078)*$C$334+66696</f>
        <v>122331.1714285714</v>
      </c>
      <c r="R334" s="77"/>
      <c r="S334" s="77"/>
      <c r="T334" s="77"/>
      <c r="U334" s="320">
        <f t="shared" ref="U334:Z334" si="1202">+U333*$C$334+88000</f>
        <v>389573.8</v>
      </c>
      <c r="V334" s="78">
        <f t="shared" si="1202"/>
        <v>250847.45714285717</v>
      </c>
      <c r="W334" s="78">
        <f t="shared" si="1202"/>
        <v>329019.74285714282</v>
      </c>
      <c r="X334" s="78">
        <f t="shared" si="1202"/>
        <v>268390.25714285718</v>
      </c>
      <c r="Y334" s="78">
        <f t="shared" si="1202"/>
        <v>279914.80000000005</v>
      </c>
      <c r="Z334" s="78">
        <f t="shared" si="1202"/>
        <v>335928.05714285711</v>
      </c>
      <c r="AA334" s="78">
        <f t="shared" ref="AA334" si="1203">+AA333*$C$334+88000</f>
        <v>347776</v>
      </c>
      <c r="AB334" s="78">
        <f t="shared" ref="AB334:AM334" ca="1" si="1204">+AB333*$C$334</f>
        <v>93352.481348521324</v>
      </c>
      <c r="AC334" s="78">
        <f t="shared" ca="1" si="1204"/>
        <v>94894.560231166935</v>
      </c>
      <c r="AD334" s="78">
        <f t="shared" ca="1" si="1204"/>
        <v>96630.070875433099</v>
      </c>
      <c r="AE334" s="78">
        <f t="shared" ca="1" si="1204"/>
        <v>97774.06527081391</v>
      </c>
      <c r="AF334" s="78">
        <f t="shared" ca="1" si="1204"/>
        <v>51334.950265842155</v>
      </c>
      <c r="AG334" s="78">
        <f t="shared" ca="1" si="1204"/>
        <v>49728.158460289706</v>
      </c>
      <c r="AH334" s="78">
        <f t="shared" ca="1" si="1204"/>
        <v>47897.934171065368</v>
      </c>
      <c r="AI334" s="78">
        <f t="shared" ca="1" si="1204"/>
        <v>45652.02762294258</v>
      </c>
      <c r="AJ334" s="78">
        <f t="shared" ca="1" si="1204"/>
        <v>42933.513067250919</v>
      </c>
      <c r="AK334" s="78">
        <f t="shared" ca="1" si="1204"/>
        <v>40670.0421300003</v>
      </c>
      <c r="AL334" s="78">
        <f t="shared" ca="1" si="1204"/>
        <v>38258.45393017996</v>
      </c>
      <c r="AM334" s="78">
        <f t="shared" ca="1" si="1204"/>
        <v>39054.814038384058</v>
      </c>
      <c r="AN334" s="78">
        <f t="shared" ref="AN334:AY334" ca="1" si="1205">+AN333*$C$334</f>
        <v>39555.237625150126</v>
      </c>
      <c r="AO334" s="78">
        <f t="shared" ca="1" si="1205"/>
        <v>40584.310052493747</v>
      </c>
      <c r="AP334" s="78">
        <f t="shared" ca="1" si="1205"/>
        <v>41640.955101598855</v>
      </c>
      <c r="AQ334" s="78">
        <f t="shared" ca="1" si="1205"/>
        <v>42500.026393292137</v>
      </c>
      <c r="AR334" s="78">
        <f t="shared" ca="1" si="1205"/>
        <v>43035.412260461308</v>
      </c>
      <c r="AS334" s="78">
        <f t="shared" ca="1" si="1205"/>
        <v>44140.632614593982</v>
      </c>
      <c r="AT334" s="78">
        <f t="shared" ca="1" si="1205"/>
        <v>45273.349152298542</v>
      </c>
      <c r="AU334" s="78">
        <f t="shared" ca="1" si="1205"/>
        <v>46189.03406409343</v>
      </c>
      <c r="AV334" s="78">
        <f t="shared" ca="1" si="1205"/>
        <v>46750.8822195014</v>
      </c>
      <c r="AW334" s="78">
        <f t="shared" ca="1" si="1205"/>
        <v>47927.552594581932</v>
      </c>
      <c r="AX334" s="78">
        <f t="shared" ca="1" si="1205"/>
        <v>49131.116499892101</v>
      </c>
      <c r="AY334" s="78">
        <f t="shared" ca="1" si="1205"/>
        <v>50096.769855438099</v>
      </c>
      <c r="AZ334" s="77"/>
      <c r="BA334" s="77"/>
      <c r="BB334" s="77"/>
      <c r="BC334" s="77"/>
      <c r="BD334" s="77"/>
      <c r="BE334" s="77"/>
      <c r="BF334" s="77"/>
      <c r="BG334" s="77"/>
      <c r="BH334" s="77"/>
      <c r="BI334" s="77"/>
      <c r="BJ334" s="77"/>
      <c r="BK334" s="77"/>
      <c r="BL334" s="77"/>
      <c r="BM334" s="77"/>
      <c r="BN334" s="77"/>
      <c r="BQ334" s="234"/>
      <c r="BR334"/>
      <c r="BS334"/>
      <c r="BT334"/>
      <c r="BU334"/>
      <c r="BV334"/>
      <c r="BW334"/>
    </row>
    <row r="335" spans="2:75" s="75" customFormat="1">
      <c r="B335" s="75" t="s">
        <v>199</v>
      </c>
      <c r="C335" s="76"/>
      <c r="D335" s="200"/>
      <c r="E335" s="200"/>
      <c r="F335" s="200"/>
      <c r="G335" s="200"/>
      <c r="H335" s="198"/>
      <c r="I335" s="79">
        <v>1418053</v>
      </c>
      <c r="J335" s="79">
        <v>1470441</v>
      </c>
      <c r="K335" s="79">
        <v>1419495</v>
      </c>
      <c r="L335" s="79">
        <v>1477541</v>
      </c>
      <c r="M335" s="79">
        <v>1718764</v>
      </c>
      <c r="N335" s="79">
        <v>1872232</v>
      </c>
      <c r="O335" s="79">
        <v>1894371</v>
      </c>
      <c r="P335" s="79">
        <v>1928064</v>
      </c>
      <c r="Q335" s="79">
        <v>2082636</v>
      </c>
      <c r="R335" s="79">
        <v>2111961</v>
      </c>
      <c r="S335" s="79">
        <v>2194518</v>
      </c>
      <c r="T335" s="79">
        <v>2261678</v>
      </c>
      <c r="U335" s="79">
        <v>2548972</v>
      </c>
      <c r="V335" s="79">
        <v>2580751</v>
      </c>
      <c r="W335" s="79">
        <v>2656224</v>
      </c>
      <c r="X335" s="79">
        <v>2715432</v>
      </c>
      <c r="Y335" s="79">
        <v>2766911</v>
      </c>
      <c r="Z335" s="79">
        <v>2783591</v>
      </c>
      <c r="AA335" s="79">
        <v>2789716</v>
      </c>
      <c r="AB335" s="78">
        <f t="shared" ref="AB335:AM335" ca="1" si="1206">+AA335+AB334</f>
        <v>2883068.4813485215</v>
      </c>
      <c r="AC335" s="78">
        <f t="shared" ca="1" si="1206"/>
        <v>2977963.0415796884</v>
      </c>
      <c r="AD335" s="78">
        <f t="shared" ca="1" si="1206"/>
        <v>3074593.1124551217</v>
      </c>
      <c r="AE335" s="78">
        <f t="shared" ca="1" si="1206"/>
        <v>3172367.1777259358</v>
      </c>
      <c r="AF335" s="78">
        <f t="shared" ca="1" si="1206"/>
        <v>3223702.1279917778</v>
      </c>
      <c r="AG335" s="78">
        <f t="shared" ca="1" si="1206"/>
        <v>3273430.2864520676</v>
      </c>
      <c r="AH335" s="78">
        <f t="shared" ca="1" si="1206"/>
        <v>3321328.2206231328</v>
      </c>
      <c r="AI335" s="78">
        <f t="shared" ca="1" si="1206"/>
        <v>3366980.2482460756</v>
      </c>
      <c r="AJ335" s="78">
        <f t="shared" ca="1" si="1206"/>
        <v>3409913.7613133267</v>
      </c>
      <c r="AK335" s="78">
        <f t="shared" ca="1" si="1206"/>
        <v>3450583.8034433271</v>
      </c>
      <c r="AL335" s="78">
        <f t="shared" ca="1" si="1206"/>
        <v>3488842.2573735071</v>
      </c>
      <c r="AM335" s="78">
        <f t="shared" ca="1" si="1206"/>
        <v>3527897.0714118914</v>
      </c>
      <c r="AN335" s="78">
        <f t="shared" ref="AN335" ca="1" si="1207">+AM335+AN334</f>
        <v>3567452.3090370414</v>
      </c>
      <c r="AO335" s="78">
        <f t="shared" ref="AO335" ca="1" si="1208">+AN335+AO334</f>
        <v>3608036.619089535</v>
      </c>
      <c r="AP335" s="78">
        <f t="shared" ref="AP335" ca="1" si="1209">+AO335+AP334</f>
        <v>3649677.574191134</v>
      </c>
      <c r="AQ335" s="78">
        <f t="shared" ref="AQ335" ca="1" si="1210">+AP335+AQ334</f>
        <v>3692177.600584426</v>
      </c>
      <c r="AR335" s="78">
        <f t="shared" ref="AR335" ca="1" si="1211">+AQ335+AR334</f>
        <v>3735213.0128448871</v>
      </c>
      <c r="AS335" s="78">
        <f t="shared" ref="AS335" ca="1" si="1212">+AR335+AS334</f>
        <v>3779353.645459481</v>
      </c>
      <c r="AT335" s="78">
        <f t="shared" ref="AT335" ca="1" si="1213">+AS335+AT334</f>
        <v>3824626.9946117797</v>
      </c>
      <c r="AU335" s="78">
        <f t="shared" ref="AU335" ca="1" si="1214">+AT335+AU334</f>
        <v>3870816.0286758733</v>
      </c>
      <c r="AV335" s="78">
        <f t="shared" ref="AV335" ca="1" si="1215">+AU335+AV334</f>
        <v>3917566.9108953746</v>
      </c>
      <c r="AW335" s="78">
        <f t="shared" ref="AW335" ca="1" si="1216">+AV335+AW334</f>
        <v>3965494.4634899567</v>
      </c>
      <c r="AX335" s="78">
        <f t="shared" ref="AX335" ca="1" si="1217">+AW335+AX334</f>
        <v>4014625.5799898487</v>
      </c>
      <c r="AY335" s="78">
        <f t="shared" ref="AY335" ca="1" si="1218">+AX335+AY334</f>
        <v>4064722.3498452869</v>
      </c>
      <c r="AZ335" s="77"/>
      <c r="BA335" s="77"/>
      <c r="BB335" s="77"/>
      <c r="BC335" s="77"/>
      <c r="BD335" s="77">
        <f>+K335</f>
        <v>1419495</v>
      </c>
      <c r="BE335" s="77">
        <f>+O335</f>
        <v>1894371</v>
      </c>
      <c r="BF335" s="77">
        <f>+S335</f>
        <v>2194518</v>
      </c>
      <c r="BG335" s="77">
        <f>+W335</f>
        <v>2656224</v>
      </c>
      <c r="BH335" s="77">
        <f>+AA335</f>
        <v>2789716</v>
      </c>
      <c r="BI335" s="77">
        <f ca="1">+AE335</f>
        <v>3172367.1777259358</v>
      </c>
      <c r="BJ335" s="77">
        <f ca="1">+AI335</f>
        <v>3366980.2482460756</v>
      </c>
      <c r="BK335" s="77">
        <f ca="1">+AM335</f>
        <v>3527897.0714118914</v>
      </c>
      <c r="BL335" s="77">
        <f ca="1">+AQ335</f>
        <v>3692177.600584426</v>
      </c>
      <c r="BM335" s="77">
        <f ca="1">+AU335</f>
        <v>3870816.0286758733</v>
      </c>
      <c r="BN335" s="77">
        <f ca="1">+AY335</f>
        <v>4064722.3498452869</v>
      </c>
      <c r="BQ335" s="234"/>
      <c r="BR335"/>
      <c r="BS335"/>
      <c r="BT335"/>
      <c r="BU335"/>
      <c r="BV335"/>
      <c r="BW335"/>
    </row>
    <row r="336" spans="2:75" s="22" customFormat="1">
      <c r="C336" s="24"/>
      <c r="D336" s="193"/>
      <c r="E336" s="193"/>
      <c r="F336" s="193"/>
      <c r="G336" s="193"/>
      <c r="H336" s="33"/>
      <c r="I336" s="25"/>
      <c r="J336" s="25"/>
      <c r="K336" s="25"/>
      <c r="L336" s="25"/>
      <c r="M336" s="25"/>
      <c r="N336" s="25"/>
      <c r="O336" s="25"/>
      <c r="P336" s="25"/>
      <c r="Q336" s="25"/>
      <c r="R336" s="25"/>
      <c r="S336" s="25"/>
      <c r="T336" s="25"/>
      <c r="U336" s="25"/>
      <c r="V336" s="25"/>
      <c r="W336" s="25"/>
      <c r="X336" s="25"/>
      <c r="Y336" s="25"/>
      <c r="Z336" s="25"/>
      <c r="AA336" s="25"/>
      <c r="AB336" s="25"/>
      <c r="AC336" s="25"/>
      <c r="AD336" s="25"/>
      <c r="AE336" s="25"/>
      <c r="AF336" s="25"/>
      <c r="AG336" s="25"/>
      <c r="AH336" s="25"/>
      <c r="AI336" s="25"/>
      <c r="AJ336" s="25"/>
      <c r="AK336" s="25"/>
      <c r="AL336" s="25"/>
      <c r="AM336" s="25"/>
      <c r="AN336" s="25"/>
      <c r="AO336" s="25"/>
      <c r="AP336" s="25"/>
      <c r="AQ336" s="25"/>
      <c r="AR336" s="25"/>
      <c r="AS336" s="25"/>
      <c r="AT336" s="25"/>
      <c r="AU336" s="25"/>
      <c r="AV336" s="25"/>
      <c r="AW336" s="25"/>
      <c r="AX336" s="25"/>
      <c r="AY336" s="25"/>
      <c r="AZ336" s="25"/>
      <c r="BA336" s="25"/>
      <c r="BB336" s="25"/>
      <c r="BC336" s="25"/>
      <c r="BD336" s="25"/>
      <c r="BE336" s="25"/>
      <c r="BF336" s="25"/>
      <c r="BG336" s="25"/>
      <c r="BH336" s="25"/>
      <c r="BI336" s="25"/>
      <c r="BJ336" s="25"/>
      <c r="BK336" s="25"/>
      <c r="BL336" s="25"/>
      <c r="BM336" s="25"/>
      <c r="BN336" s="25"/>
      <c r="BQ336" s="230"/>
      <c r="BR336"/>
      <c r="BS336"/>
      <c r="BT336"/>
      <c r="BU336"/>
      <c r="BV336"/>
      <c r="BW336"/>
    </row>
    <row r="337" spans="2:75" s="22" customFormat="1">
      <c r="B337" s="22" t="s">
        <v>208</v>
      </c>
      <c r="C337" s="24"/>
      <c r="D337" s="39">
        <f t="shared" ref="D337:AY337" si="1219">+D21</f>
        <v>32.214999999999996</v>
      </c>
      <c r="E337" s="39">
        <f t="shared" si="1219"/>
        <v>34.184000000000005</v>
      </c>
      <c r="F337" s="39">
        <f t="shared" si="1219"/>
        <v>33.878999999999998</v>
      </c>
      <c r="G337" s="39">
        <f t="shared" si="1219"/>
        <v>34.976999999999997</v>
      </c>
      <c r="H337" s="39">
        <f t="shared" si="1219"/>
        <v>37.915999999999997</v>
      </c>
      <c r="I337" s="39">
        <f t="shared" si="1219"/>
        <v>39.108000000000004</v>
      </c>
      <c r="J337" s="39">
        <f t="shared" si="1219"/>
        <v>41.988</v>
      </c>
      <c r="K337" s="39">
        <f t="shared" si="1219"/>
        <v>43.825000000000003</v>
      </c>
      <c r="L337" s="39">
        <f t="shared" si="1219"/>
        <v>44.81</v>
      </c>
      <c r="M337" s="39">
        <f t="shared" si="1219"/>
        <v>46.936</v>
      </c>
      <c r="N337" s="39">
        <f t="shared" si="1219"/>
        <v>50.69</v>
      </c>
      <c r="O337" s="39">
        <f t="shared" si="1219"/>
        <v>53.444000000000003</v>
      </c>
      <c r="P337" s="39">
        <f t="shared" si="1219"/>
        <v>55.128</v>
      </c>
      <c r="Q337" s="39">
        <f t="shared" si="1219"/>
        <v>60.412999999999997</v>
      </c>
      <c r="R337" s="39">
        <f t="shared" si="1219"/>
        <v>81.317000000000007</v>
      </c>
      <c r="S337" s="39">
        <f t="shared" si="1219"/>
        <v>85.645999999999987</v>
      </c>
      <c r="T337" s="39">
        <f t="shared" si="1219"/>
        <v>87.316000000000003</v>
      </c>
      <c r="U337" s="39">
        <f t="shared" si="1219"/>
        <v>88.685000000000002</v>
      </c>
      <c r="V337" s="39">
        <f t="shared" si="1219"/>
        <v>93.24799999999999</v>
      </c>
      <c r="W337" s="39">
        <f t="shared" si="1219"/>
        <v>94.962000000000003</v>
      </c>
      <c r="X337" s="39">
        <f t="shared" si="1219"/>
        <v>96.082000000000008</v>
      </c>
      <c r="Y337" s="39">
        <f t="shared" si="1219"/>
        <v>97.649000000000001</v>
      </c>
      <c r="Z337" s="39">
        <f t="shared" si="1219"/>
        <v>102.05500000000001</v>
      </c>
      <c r="AA337" s="39">
        <f t="shared" si="1219"/>
        <v>105.499</v>
      </c>
      <c r="AB337" s="39">
        <f t="shared" ca="1" si="1219"/>
        <v>105.86110128275625</v>
      </c>
      <c r="AC337" s="39">
        <f t="shared" ca="1" si="1219"/>
        <v>107.17452794395005</v>
      </c>
      <c r="AD337" s="39">
        <f t="shared" ca="1" si="1219"/>
        <v>108.28616990671091</v>
      </c>
      <c r="AE337" s="39">
        <f t="shared" ca="1" si="1219"/>
        <v>109.31601549627503</v>
      </c>
      <c r="AF337" s="39">
        <f t="shared" ca="1" si="1219"/>
        <v>97.053785780783116</v>
      </c>
      <c r="AG337" s="39">
        <f t="shared" ca="1" si="1219"/>
        <v>99.460256451044302</v>
      </c>
      <c r="AH337" s="39">
        <f t="shared" ca="1" si="1219"/>
        <v>101.74974525649372</v>
      </c>
      <c r="AI337" s="39">
        <f t="shared" ca="1" si="1219"/>
        <v>104.02550218515169</v>
      </c>
      <c r="AJ337" s="39">
        <f t="shared" ca="1" si="1219"/>
        <v>106.32798429875633</v>
      </c>
      <c r="AK337" s="39">
        <f t="shared" ca="1" si="1219"/>
        <v>108.67245833479303</v>
      </c>
      <c r="AL337" s="39">
        <f t="shared" ca="1" si="1219"/>
        <v>111.06565291357711</v>
      </c>
      <c r="AM337" s="39">
        <f t="shared" ca="1" si="1219"/>
        <v>113.50936225548334</v>
      </c>
      <c r="AN337" s="39">
        <f t="shared" ca="1" si="1219"/>
        <v>116.00335688819777</v>
      </c>
      <c r="AO337" s="39">
        <f t="shared" ca="1" si="1219"/>
        <v>118.54652412472581</v>
      </c>
      <c r="AP337" s="39">
        <f t="shared" ca="1" si="1219"/>
        <v>121.13904463573198</v>
      </c>
      <c r="AQ337" s="39">
        <f t="shared" ca="1" si="1219"/>
        <v>123.78000435836944</v>
      </c>
      <c r="AR337" s="39">
        <f t="shared" ca="1" si="1219"/>
        <v>126.4679952116109</v>
      </c>
      <c r="AS337" s="39">
        <f t="shared" ca="1" si="1219"/>
        <v>129.20133546645306</v>
      </c>
      <c r="AT337" s="39">
        <f t="shared" ca="1" si="1219"/>
        <v>131.98002557149283</v>
      </c>
      <c r="AU337" s="39">
        <f t="shared" ca="1" si="1219"/>
        <v>134.80299898558408</v>
      </c>
      <c r="AV337" s="39">
        <f t="shared" ca="1" si="1219"/>
        <v>137.66870562504593</v>
      </c>
      <c r="AW337" s="39">
        <f t="shared" ca="1" si="1219"/>
        <v>140.57532519362761</v>
      </c>
      <c r="AX337" s="39">
        <f t="shared" ca="1" si="1219"/>
        <v>143.5228769661758</v>
      </c>
      <c r="AY337" s="39">
        <f t="shared" ca="1" si="1219"/>
        <v>146.51023500982976</v>
      </c>
      <c r="AZ337" s="25"/>
      <c r="BA337" s="25"/>
      <c r="BB337" s="25"/>
      <c r="BC337" s="25"/>
      <c r="BD337" s="39"/>
      <c r="BE337" s="39"/>
      <c r="BF337" s="39"/>
      <c r="BG337" s="39"/>
      <c r="BH337" s="39"/>
      <c r="BI337" s="39"/>
      <c r="BJ337" s="39"/>
      <c r="BK337" s="39"/>
      <c r="BL337" s="39"/>
      <c r="BM337" s="39"/>
      <c r="BN337" s="39"/>
      <c r="BQ337" s="230"/>
      <c r="BR337"/>
      <c r="BS337"/>
      <c r="BT337"/>
      <c r="BU337"/>
      <c r="BV337"/>
      <c r="BW337"/>
    </row>
    <row r="338" spans="2:75" s="22" customFormat="1">
      <c r="B338" s="22" t="s">
        <v>206</v>
      </c>
      <c r="C338" s="24"/>
      <c r="D338" s="201"/>
      <c r="E338" s="201"/>
      <c r="F338" s="201"/>
      <c r="G338" s="201"/>
      <c r="H338" s="33"/>
      <c r="I338" s="26">
        <v>0.81</v>
      </c>
      <c r="J338" s="26">
        <v>0.89600000000000002</v>
      </c>
      <c r="K338" s="26">
        <v>0.91500000000000004</v>
      </c>
      <c r="L338" s="26">
        <v>0.92600000000000005</v>
      </c>
      <c r="M338" s="26">
        <v>0.90400000000000003</v>
      </c>
      <c r="N338" s="306">
        <f>+N341/N340</f>
        <v>0.83888175499590889</v>
      </c>
      <c r="O338" s="315">
        <v>0.85</v>
      </c>
      <c r="P338" s="306">
        <f t="shared" ref="P338:W338" si="1220">+P341/P340</f>
        <v>0.83048428342954039</v>
      </c>
      <c r="Q338" s="306">
        <f t="shared" si="1220"/>
        <v>0.84180220175197873</v>
      </c>
      <c r="R338" s="306">
        <f t="shared" si="1220"/>
        <v>0.87111000580286824</v>
      </c>
      <c r="S338" s="306">
        <f t="shared" si="1220"/>
        <v>0.90684524802348465</v>
      </c>
      <c r="T338" s="306">
        <f t="shared" si="1220"/>
        <v>0.8761790754105756</v>
      </c>
      <c r="U338" s="306">
        <f t="shared" si="1220"/>
        <v>0.87974151430098513</v>
      </c>
      <c r="V338" s="306">
        <f t="shared" si="1220"/>
        <v>0.88628378265865149</v>
      </c>
      <c r="W338" s="306">
        <f t="shared" si="1220"/>
        <v>0.88201249783151914</v>
      </c>
      <c r="X338" s="306">
        <f>+X341/X340</f>
        <v>0.87578793746500239</v>
      </c>
      <c r="Y338" s="306">
        <f>+Y341/Y340</f>
        <v>0.86999121289063552</v>
      </c>
      <c r="Z338" s="306">
        <f>+Z341/Z340</f>
        <v>0.87373567427406429</v>
      </c>
      <c r="AA338" s="306">
        <f>+AA341/AA340</f>
        <v>0.86852131142842814</v>
      </c>
      <c r="AB338" s="25">
        <f t="shared" ref="AB338:AM338" ca="1" si="1221">+AB341/AB340</f>
        <v>0.83804892043911594</v>
      </c>
      <c r="AC338" s="25">
        <f t="shared" ca="1" si="1221"/>
        <v>0.81634309431047536</v>
      </c>
      <c r="AD338" s="25">
        <f t="shared" ca="1" si="1221"/>
        <v>0.79398965637233299</v>
      </c>
      <c r="AE338" s="25">
        <f t="shared" ca="1" si="1221"/>
        <v>0.77210297844968279</v>
      </c>
      <c r="AF338" s="25">
        <f t="shared" ca="1" si="1221"/>
        <v>0.67049256286517556</v>
      </c>
      <c r="AG338" s="25">
        <f t="shared" ca="1" si="1221"/>
        <v>0.67260533838629766</v>
      </c>
      <c r="AH338" s="25">
        <f t="shared" ca="1" si="1221"/>
        <v>0.67410655376731032</v>
      </c>
      <c r="AI338" s="25">
        <f t="shared" ca="1" si="1221"/>
        <v>0.6757950457505465</v>
      </c>
      <c r="AJ338" s="25">
        <f t="shared" ca="1" si="1221"/>
        <v>0.6780224012478262</v>
      </c>
      <c r="AK338" s="25">
        <f t="shared" ca="1" si="1221"/>
        <v>0.68077886420258393</v>
      </c>
      <c r="AL338" s="25">
        <f t="shared" ca="1" si="1221"/>
        <v>0.68411938458404487</v>
      </c>
      <c r="AM338" s="25">
        <f t="shared" ca="1" si="1221"/>
        <v>0.68741400136156117</v>
      </c>
      <c r="AN338" s="25">
        <f t="shared" ref="AN338:AY338" ca="1" si="1222">+AN341/AN340</f>
        <v>0.69071482839852627</v>
      </c>
      <c r="AO338" s="25">
        <f t="shared" ca="1" si="1222"/>
        <v>0.69390910136826067</v>
      </c>
      <c r="AP338" s="25">
        <f t="shared" ca="1" si="1222"/>
        <v>0.69699067295508621</v>
      </c>
      <c r="AQ338" s="25">
        <f t="shared" ca="1" si="1222"/>
        <v>0.69999030028203713</v>
      </c>
      <c r="AR338" s="25">
        <f t="shared" ca="1" si="1222"/>
        <v>0.70295927736836927</v>
      </c>
      <c r="AS338" s="25">
        <f t="shared" ca="1" si="1222"/>
        <v>0.70577946705360184</v>
      </c>
      <c r="AT338" s="25">
        <f t="shared" ca="1" si="1222"/>
        <v>0.70844641172891587</v>
      </c>
      <c r="AU338" s="25">
        <f t="shared" ca="1" si="1222"/>
        <v>0.71099538129289985</v>
      </c>
      <c r="AV338" s="25">
        <f t="shared" ca="1" si="1222"/>
        <v>0.71348332127203562</v>
      </c>
      <c r="AW338" s="25">
        <f t="shared" ca="1" si="1222"/>
        <v>0.71578941659998074</v>
      </c>
      <c r="AX338" s="25">
        <f t="shared" ca="1" si="1222"/>
        <v>0.71791199477619005</v>
      </c>
      <c r="AY338" s="25">
        <f t="shared" ca="1" si="1222"/>
        <v>0.71989102844144459</v>
      </c>
      <c r="AZ338" s="25"/>
      <c r="BA338" s="25"/>
      <c r="BB338" s="25"/>
      <c r="BC338" s="25"/>
      <c r="BD338" s="25">
        <f>+K338</f>
        <v>0.91500000000000004</v>
      </c>
      <c r="BE338" s="25">
        <f>+O338</f>
        <v>0.85</v>
      </c>
      <c r="BF338" s="25">
        <f>+S338</f>
        <v>0.90684524802348465</v>
      </c>
      <c r="BG338" s="25">
        <f>+W338</f>
        <v>0.88201249783151914</v>
      </c>
      <c r="BH338" s="25">
        <f>+AA338</f>
        <v>0.86852131142842814</v>
      </c>
      <c r="BI338" s="25">
        <f ca="1">+AE338</f>
        <v>0.77210297844968279</v>
      </c>
      <c r="BJ338" s="25">
        <f ca="1">+AI338</f>
        <v>0.6757950457505465</v>
      </c>
      <c r="BK338" s="25">
        <f ca="1">+AM338</f>
        <v>0.68741400136156117</v>
      </c>
      <c r="BL338" s="25">
        <f ca="1">+AQ338</f>
        <v>0.69999030028203713</v>
      </c>
      <c r="BM338" s="25">
        <f ca="1">+AU338</f>
        <v>0.71099538129289985</v>
      </c>
      <c r="BN338" s="25">
        <f ca="1">+AY338</f>
        <v>0.71989102844144459</v>
      </c>
      <c r="BQ338" s="230"/>
      <c r="BR338"/>
      <c r="BS338"/>
      <c r="BT338"/>
      <c r="BU338"/>
      <c r="BV338"/>
      <c r="BW338"/>
    </row>
    <row r="339" spans="2:75" s="22" customFormat="1">
      <c r="B339" s="22" t="s">
        <v>200</v>
      </c>
      <c r="C339" s="24"/>
      <c r="D339" s="193"/>
      <c r="E339" s="193"/>
      <c r="F339" s="193"/>
      <c r="G339" s="193"/>
      <c r="H339" s="33"/>
      <c r="I339" s="25">
        <f t="shared" ref="I339:N339" si="1223">+I340/I335</f>
        <v>0.36879087029892393</v>
      </c>
      <c r="J339" s="25">
        <f t="shared" si="1223"/>
        <v>0.37304794956071002</v>
      </c>
      <c r="K339" s="25">
        <f t="shared" si="1223"/>
        <v>0.34205544929710918</v>
      </c>
      <c r="L339" s="25">
        <f t="shared" si="1223"/>
        <v>0.33943829646690005</v>
      </c>
      <c r="M339" s="25">
        <f t="shared" si="1223"/>
        <v>0.32419343202440826</v>
      </c>
      <c r="N339" s="25">
        <f t="shared" si="1223"/>
        <v>0.36686799499207362</v>
      </c>
      <c r="O339" s="25">
        <f t="shared" ref="O339:T339" si="1224">+O340/O335</f>
        <v>0.36858250047113261</v>
      </c>
      <c r="P339" s="25">
        <f t="shared" si="1224"/>
        <v>0.37683292670782714</v>
      </c>
      <c r="Q339" s="25">
        <f t="shared" si="1224"/>
        <v>0.39542483660130717</v>
      </c>
      <c r="R339" s="25">
        <f t="shared" si="1224"/>
        <v>0.39982272399916474</v>
      </c>
      <c r="S339" s="25">
        <f t="shared" si="1224"/>
        <v>0.38247852147943195</v>
      </c>
      <c r="T339" s="25">
        <f t="shared" si="1224"/>
        <v>0.39594982132735074</v>
      </c>
      <c r="U339" s="25">
        <f t="shared" ref="U339:Z339" si="1225">+U340/U335</f>
        <v>0.39710243972864356</v>
      </c>
      <c r="V339" s="25">
        <f t="shared" si="1225"/>
        <v>0.39558291365575371</v>
      </c>
      <c r="W339" s="25">
        <f t="shared" si="1225"/>
        <v>0.40798818171961398</v>
      </c>
      <c r="X339" s="25">
        <f t="shared" si="1225"/>
        <v>0.39920020092567221</v>
      </c>
      <c r="Y339" s="25">
        <f t="shared" si="1225"/>
        <v>0.40225146381650873</v>
      </c>
      <c r="Z339" s="25">
        <f t="shared" si="1225"/>
        <v>0.39929070039384379</v>
      </c>
      <c r="AA339" s="25">
        <f t="shared" ref="AA339" si="1226">+AA340/AA335</f>
        <v>0.4002500612965621</v>
      </c>
      <c r="AB339" s="16">
        <f t="shared" ref="AB339:AM339" si="1227">+AA339+0.0025</f>
        <v>0.4027500612965621</v>
      </c>
      <c r="AC339" s="16">
        <f t="shared" si="1227"/>
        <v>0.4052500612965621</v>
      </c>
      <c r="AD339" s="16">
        <f t="shared" si="1227"/>
        <v>0.40775006129656211</v>
      </c>
      <c r="AE339" s="16">
        <f t="shared" si="1227"/>
        <v>0.41025006129656211</v>
      </c>
      <c r="AF339" s="16">
        <f t="shared" si="1227"/>
        <v>0.41275006129656211</v>
      </c>
      <c r="AG339" s="16">
        <f t="shared" si="1227"/>
        <v>0.41525006129656211</v>
      </c>
      <c r="AH339" s="16">
        <f t="shared" si="1227"/>
        <v>0.41775006129656211</v>
      </c>
      <c r="AI339" s="16">
        <f t="shared" si="1227"/>
        <v>0.42025006129656212</v>
      </c>
      <c r="AJ339" s="16">
        <f t="shared" si="1227"/>
        <v>0.42275006129656212</v>
      </c>
      <c r="AK339" s="16">
        <f t="shared" si="1227"/>
        <v>0.42525006129656212</v>
      </c>
      <c r="AL339" s="16">
        <f t="shared" si="1227"/>
        <v>0.42775006129656212</v>
      </c>
      <c r="AM339" s="16">
        <f t="shared" si="1227"/>
        <v>0.43025006129656213</v>
      </c>
      <c r="AN339" s="16">
        <f t="shared" ref="AN339" si="1228">+AM339+0.0025</f>
        <v>0.43275006129656213</v>
      </c>
      <c r="AO339" s="16">
        <f t="shared" ref="AO339" si="1229">+AN339+0.0025</f>
        <v>0.43525006129656213</v>
      </c>
      <c r="AP339" s="16">
        <f t="shared" ref="AP339" si="1230">+AO339+0.0025</f>
        <v>0.43775006129656213</v>
      </c>
      <c r="AQ339" s="16">
        <f t="shared" ref="AQ339" si="1231">+AP339+0.0025</f>
        <v>0.44025006129656213</v>
      </c>
      <c r="AR339" s="16">
        <f t="shared" ref="AR339" si="1232">+AQ339+0.0025</f>
        <v>0.44275006129656214</v>
      </c>
      <c r="AS339" s="16">
        <f t="shared" ref="AS339" si="1233">+AR339+0.0025</f>
        <v>0.44525006129656214</v>
      </c>
      <c r="AT339" s="16">
        <f t="shared" ref="AT339" si="1234">+AS339+0.0025</f>
        <v>0.44775006129656214</v>
      </c>
      <c r="AU339" s="16">
        <f t="shared" ref="AU339" si="1235">+AT339+0.0025</f>
        <v>0.45025006129656214</v>
      </c>
      <c r="AV339" s="16">
        <f t="shared" ref="AV339" si="1236">+AU339+0.0025</f>
        <v>0.45275006129656215</v>
      </c>
      <c r="AW339" s="16">
        <f t="shared" ref="AW339" si="1237">+AV339+0.0025</f>
        <v>0.45525006129656215</v>
      </c>
      <c r="AX339" s="16">
        <f t="shared" ref="AX339" si="1238">+AW339+0.0025</f>
        <v>0.45775006129656215</v>
      </c>
      <c r="AY339" s="16">
        <f t="shared" ref="AY339" si="1239">+AX339+0.0025</f>
        <v>0.46025006129656215</v>
      </c>
      <c r="AZ339" s="25"/>
      <c r="BA339" s="25"/>
      <c r="BB339" s="25"/>
      <c r="BC339" s="25"/>
      <c r="BD339" s="25"/>
      <c r="BE339" s="25"/>
      <c r="BF339" s="25"/>
      <c r="BG339" s="25"/>
      <c r="BH339" s="25"/>
      <c r="BI339" s="25"/>
      <c r="BJ339" s="25"/>
      <c r="BK339" s="25"/>
      <c r="BL339" s="25"/>
      <c r="BM339" s="25"/>
      <c r="BN339" s="25"/>
      <c r="BQ339" s="230"/>
      <c r="BR339"/>
      <c r="BS339"/>
      <c r="BT339"/>
      <c r="BU339"/>
      <c r="BV339"/>
      <c r="BW339"/>
    </row>
    <row r="340" spans="2:75" s="22" customFormat="1">
      <c r="B340" s="22" t="s">
        <v>201</v>
      </c>
      <c r="C340" s="24"/>
      <c r="D340" s="200"/>
      <c r="E340" s="200"/>
      <c r="F340" s="200"/>
      <c r="G340" s="200"/>
      <c r="H340" s="33"/>
      <c r="I340" s="79">
        <v>522965</v>
      </c>
      <c r="J340" s="79">
        <v>548545</v>
      </c>
      <c r="K340" s="79">
        <v>485546</v>
      </c>
      <c r="L340" s="79">
        <v>501534</v>
      </c>
      <c r="M340" s="79">
        <v>557212</v>
      </c>
      <c r="N340" s="79">
        <v>686862</v>
      </c>
      <c r="O340" s="79">
        <v>698232</v>
      </c>
      <c r="P340" s="79">
        <v>726558</v>
      </c>
      <c r="Q340" s="79">
        <v>823526</v>
      </c>
      <c r="R340" s="79">
        <v>844410</v>
      </c>
      <c r="S340" s="79">
        <v>839356</v>
      </c>
      <c r="T340" s="79">
        <v>895511</v>
      </c>
      <c r="U340" s="79">
        <v>1012203</v>
      </c>
      <c r="V340" s="79">
        <v>1020901</v>
      </c>
      <c r="W340" s="79">
        <v>1083708</v>
      </c>
      <c r="X340" s="79">
        <v>1084001</v>
      </c>
      <c r="Y340" s="79">
        <v>1112994</v>
      </c>
      <c r="Z340" s="79">
        <v>1111462</v>
      </c>
      <c r="AA340" s="79">
        <v>1116584</v>
      </c>
      <c r="AB340" s="78">
        <f t="shared" ref="AB340:AM340" ca="1" si="1240">+AB335*AB339</f>
        <v>1161156.0075853032</v>
      </c>
      <c r="AC340" s="78">
        <f t="shared" ca="1" si="1240"/>
        <v>1206819.7051390652</v>
      </c>
      <c r="AD340" s="78">
        <f t="shared" ca="1" si="1240"/>
        <v>1253665.5300655635</v>
      </c>
      <c r="AE340" s="78">
        <f t="shared" ca="1" si="1240"/>
        <v>1301463.8291172669</v>
      </c>
      <c r="AF340" s="78">
        <f t="shared" ca="1" si="1240"/>
        <v>1330583.2509304641</v>
      </c>
      <c r="AG340" s="78">
        <f t="shared" ca="1" si="1240"/>
        <v>1359292.1270992439</v>
      </c>
      <c r="AH340" s="78">
        <f t="shared" ca="1" si="1240"/>
        <v>1387485.0677513152</v>
      </c>
      <c r="AI340" s="78">
        <f t="shared" ca="1" si="1240"/>
        <v>1414973.6557097272</v>
      </c>
      <c r="AJ340" s="78">
        <f t="shared" ca="1" si="1240"/>
        <v>1441541.2516111995</v>
      </c>
      <c r="AK340" s="78">
        <f t="shared" ca="1" si="1240"/>
        <v>1467360.9739231993</v>
      </c>
      <c r="AL340" s="78">
        <f t="shared" ca="1" si="1240"/>
        <v>1492352.4894455539</v>
      </c>
      <c r="AM340" s="78">
        <f t="shared" ca="1" si="1240"/>
        <v>1517877.9312229282</v>
      </c>
      <c r="AN340" s="78">
        <f t="shared" ref="AN340:AY340" ca="1" si="1241">+AN335*AN339</f>
        <v>1543815.2054083417</v>
      </c>
      <c r="AO340" s="78">
        <f t="shared" ca="1" si="1241"/>
        <v>1570398.1596189609</v>
      </c>
      <c r="AP340" s="78">
        <f t="shared" ca="1" si="1241"/>
        <v>1597646.581814857</v>
      </c>
      <c r="AQ340" s="78">
        <f t="shared" ca="1" si="1241"/>
        <v>1625481.4149750872</v>
      </c>
      <c r="AR340" s="78">
        <f t="shared" ca="1" si="1241"/>
        <v>1653765.7903927902</v>
      </c>
      <c r="AS340" s="78">
        <f t="shared" ca="1" si="1241"/>
        <v>1682757.4423022196</v>
      </c>
      <c r="AT340" s="78">
        <f t="shared" ca="1" si="1241"/>
        <v>1712476.9712739105</v>
      </c>
      <c r="AU340" s="78">
        <f t="shared" ca="1" si="1241"/>
        <v>1742835.1541790273</v>
      </c>
      <c r="AV340" s="78">
        <f t="shared" ca="1" si="1241"/>
        <v>1773678.6590412646</v>
      </c>
      <c r="AW340" s="78">
        <f t="shared" ca="1" si="1241"/>
        <v>1805291.5975749807</v>
      </c>
      <c r="AX340" s="78">
        <f t="shared" ca="1" si="1241"/>
        <v>1837695.1053230995</v>
      </c>
      <c r="AY340" s="78">
        <f t="shared" ca="1" si="1241"/>
        <v>1870788.7106697995</v>
      </c>
      <c r="AZ340" s="25"/>
      <c r="BA340" s="25"/>
      <c r="BB340" s="25"/>
      <c r="BC340" s="25"/>
      <c r="BD340" s="78">
        <f>+K340</f>
        <v>485546</v>
      </c>
      <c r="BE340" s="78">
        <f>+O340</f>
        <v>698232</v>
      </c>
      <c r="BF340" s="78">
        <f>+S340</f>
        <v>839356</v>
      </c>
      <c r="BG340" s="78">
        <f>+W340</f>
        <v>1083708</v>
      </c>
      <c r="BH340" s="78">
        <f>+AA340</f>
        <v>1116584</v>
      </c>
      <c r="BI340" s="78">
        <f ca="1">+AE340</f>
        <v>1301463.8291172669</v>
      </c>
      <c r="BJ340" s="78">
        <f ca="1">+AI340</f>
        <v>1414973.6557097272</v>
      </c>
      <c r="BK340" s="78">
        <f ca="1">+AM340</f>
        <v>1517877.9312229282</v>
      </c>
      <c r="BL340" s="78">
        <f ca="1">+AQ340</f>
        <v>1625481.4149750872</v>
      </c>
      <c r="BM340" s="78">
        <f ca="1">+AU340</f>
        <v>1742835.1541790273</v>
      </c>
      <c r="BN340" s="78">
        <f ca="1">+AY340</f>
        <v>1870788.7106697995</v>
      </c>
      <c r="BQ340" s="230"/>
      <c r="BR340"/>
      <c r="BS340"/>
      <c r="BT340"/>
      <c r="BU340"/>
      <c r="BV340"/>
      <c r="BW340"/>
    </row>
    <row r="341" spans="2:75" s="22" customFormat="1">
      <c r="B341" s="22" t="s">
        <v>315</v>
      </c>
      <c r="C341" s="24"/>
      <c r="D341" s="199"/>
      <c r="E341" s="199"/>
      <c r="F341" s="199"/>
      <c r="G341" s="199"/>
      <c r="H341" s="33"/>
      <c r="I341" s="77">
        <f>+I340*I338</f>
        <v>423601.65</v>
      </c>
      <c r="J341" s="77">
        <f>+J340*J338</f>
        <v>491496.32</v>
      </c>
      <c r="K341" s="77">
        <f>+K340*K338</f>
        <v>444274.59</v>
      </c>
      <c r="L341" s="77">
        <f>+L340*L338</f>
        <v>464420.484</v>
      </c>
      <c r="M341" s="77">
        <f>+M340*M338</f>
        <v>503719.64799999999</v>
      </c>
      <c r="N341" s="79">
        <v>576196</v>
      </c>
      <c r="O341" s="78">
        <f>+O340*O338</f>
        <v>593497.19999999995</v>
      </c>
      <c r="P341" s="79">
        <v>603395</v>
      </c>
      <c r="Q341" s="79">
        <v>693246</v>
      </c>
      <c r="R341" s="79">
        <v>735574</v>
      </c>
      <c r="S341" s="79">
        <v>761166</v>
      </c>
      <c r="T341" s="79">
        <v>784628</v>
      </c>
      <c r="U341" s="79">
        <v>890477</v>
      </c>
      <c r="V341" s="79">
        <v>904808</v>
      </c>
      <c r="W341" s="79">
        <v>955844</v>
      </c>
      <c r="X341" s="79">
        <v>949355</v>
      </c>
      <c r="Y341" s="79">
        <v>968295</v>
      </c>
      <c r="Z341" s="79">
        <v>971124</v>
      </c>
      <c r="AA341" s="79">
        <v>969777</v>
      </c>
      <c r="AB341" s="78">
        <f t="shared" ref="AB341:AM341" ca="1" si="1242">+AB337*1000000/AB342</f>
        <v>973105.53861825727</v>
      </c>
      <c r="AC341" s="78">
        <f t="shared" ca="1" si="1242"/>
        <v>985178.9323680799</v>
      </c>
      <c r="AD341" s="78">
        <f t="shared" ca="1" si="1242"/>
        <v>995397.46342259541</v>
      </c>
      <c r="AE341" s="78">
        <f t="shared" ca="1" si="1242"/>
        <v>1004864.0988059707</v>
      </c>
      <c r="AF341" s="78">
        <f t="shared" ca="1" si="1242"/>
        <v>892146.17402184394</v>
      </c>
      <c r="AG341" s="78">
        <f t="shared" ca="1" si="1242"/>
        <v>914267.14111341722</v>
      </c>
      <c r="AH341" s="78">
        <f t="shared" ca="1" si="1242"/>
        <v>935312.77742544212</v>
      </c>
      <c r="AI341" s="78">
        <f t="shared" ca="1" si="1242"/>
        <v>956232.18639617309</v>
      </c>
      <c r="AJ341" s="78">
        <f t="shared" ca="1" si="1242"/>
        <v>977397.26091522223</v>
      </c>
      <c r="AK341" s="78">
        <f t="shared" ca="1" si="1242"/>
        <v>998948.33720263303</v>
      </c>
      <c r="AL341" s="78">
        <f t="shared" ca="1" si="1242"/>
        <v>1020947.2666619596</v>
      </c>
      <c r="AM341" s="78">
        <f t="shared" ca="1" si="1242"/>
        <v>1043410.5422803616</v>
      </c>
      <c r="AN341" s="78">
        <f t="shared" ref="AN341:AY341" ca="1" si="1243">+AN337*1000000/AN342</f>
        <v>1066336.0546826583</v>
      </c>
      <c r="AO341" s="78">
        <f t="shared" ca="1" si="1243"/>
        <v>1089713.5757315636</v>
      </c>
      <c r="AP341" s="78">
        <f t="shared" ca="1" si="1243"/>
        <v>1113544.7662035304</v>
      </c>
      <c r="AQ341" s="78">
        <f t="shared" ca="1" si="1243"/>
        <v>1137821.2237712818</v>
      </c>
      <c r="AR341" s="78">
        <f t="shared" ca="1" si="1243"/>
        <v>1162530.0049510458</v>
      </c>
      <c r="AS341" s="78">
        <f t="shared" ca="1" si="1243"/>
        <v>1187655.6508085427</v>
      </c>
      <c r="AT341" s="78">
        <f t="shared" ca="1" si="1243"/>
        <v>1213198.1654674036</v>
      </c>
      <c r="AU341" s="78">
        <f t="shared" ca="1" si="1243"/>
        <v>1239147.7449761874</v>
      </c>
      <c r="AV341" s="78">
        <f t="shared" ca="1" si="1243"/>
        <v>1265490.1405220919</v>
      </c>
      <c r="AW341" s="78">
        <f t="shared" ca="1" si="1243"/>
        <v>1292208.6194210427</v>
      </c>
      <c r="AX341" s="78">
        <f t="shared" ca="1" si="1243"/>
        <v>1319303.3588529471</v>
      </c>
      <c r="AY341" s="78">
        <f t="shared" ca="1" si="1243"/>
        <v>1346764.0089207261</v>
      </c>
      <c r="AZ341" s="25"/>
      <c r="BA341" s="25"/>
      <c r="BB341" s="25"/>
      <c r="BC341" s="25"/>
      <c r="BD341" s="25"/>
      <c r="BE341" s="25"/>
      <c r="BF341" s="25"/>
      <c r="BG341" s="25"/>
      <c r="BH341" s="25"/>
      <c r="BI341" s="25"/>
      <c r="BJ341" s="25"/>
      <c r="BK341" s="25"/>
      <c r="BL341" s="25"/>
      <c r="BM341" s="25"/>
      <c r="BN341" s="25"/>
      <c r="BQ341" s="230"/>
      <c r="BR341"/>
      <c r="BS341"/>
      <c r="BT341"/>
      <c r="BU341"/>
      <c r="BV341"/>
      <c r="BW341"/>
    </row>
    <row r="342" spans="2:75" s="22" customFormat="1">
      <c r="B342" s="22" t="s">
        <v>421</v>
      </c>
      <c r="C342" s="24"/>
      <c r="D342" s="192"/>
      <c r="E342" s="192"/>
      <c r="F342" s="192"/>
      <c r="G342" s="192"/>
      <c r="H342" s="33"/>
      <c r="I342" s="39">
        <f t="shared" ref="I342:N342" si="1244">+I337*1000000/I341</f>
        <v>92.32258656216284</v>
      </c>
      <c r="J342" s="39">
        <f t="shared" si="1244"/>
        <v>85.42892040371737</v>
      </c>
      <c r="K342" s="39">
        <f t="shared" si="1244"/>
        <v>98.643949004600955</v>
      </c>
      <c r="L342" s="39">
        <f t="shared" si="1244"/>
        <v>96.485838897665843</v>
      </c>
      <c r="M342" s="39">
        <f t="shared" si="1244"/>
        <v>93.178815212703398</v>
      </c>
      <c r="N342" s="39">
        <f t="shared" si="1244"/>
        <v>87.973536782622574</v>
      </c>
      <c r="O342" s="39">
        <f t="shared" ref="O342:T342" si="1245">+O337*1000000/O341</f>
        <v>90.049287511381692</v>
      </c>
      <c r="P342" s="39">
        <f t="shared" si="1245"/>
        <v>91.363037479594624</v>
      </c>
      <c r="Q342" s="39">
        <f t="shared" si="1245"/>
        <v>87.145111547704573</v>
      </c>
      <c r="R342" s="39">
        <f t="shared" si="1245"/>
        <v>110.54904061318099</v>
      </c>
      <c r="S342" s="39">
        <f t="shared" si="1245"/>
        <v>112.51947669759288</v>
      </c>
      <c r="T342" s="39">
        <f t="shared" si="1245"/>
        <v>111.28330877817258</v>
      </c>
      <c r="U342" s="39">
        <f t="shared" ref="U342:Z342" si="1246">+U337*1000000/U341</f>
        <v>99.592690209853814</v>
      </c>
      <c r="V342" s="39">
        <f t="shared" si="1246"/>
        <v>103.05832839674272</v>
      </c>
      <c r="W342" s="39">
        <f t="shared" si="1246"/>
        <v>99.348847719920826</v>
      </c>
      <c r="X342" s="39">
        <f t="shared" si="1246"/>
        <v>101.20766204423005</v>
      </c>
      <c r="Y342" s="39">
        <f t="shared" si="1246"/>
        <v>100.84633298736439</v>
      </c>
      <c r="Z342" s="39">
        <f t="shared" si="1246"/>
        <v>105.08956631696879</v>
      </c>
      <c r="AA342" s="39">
        <f t="shared" ref="AA342" si="1247">+AA337*1000000/AA341</f>
        <v>108.78686543401214</v>
      </c>
      <c r="AB342" s="39">
        <f t="shared" ref="AB342:AY342" ca="1" si="1248">+AB343/4</f>
        <v>108.78686543401214</v>
      </c>
      <c r="AC342" s="39">
        <f t="shared" ca="1" si="1248"/>
        <v>108.78686543401214</v>
      </c>
      <c r="AD342" s="39">
        <f t="shared" ca="1" si="1248"/>
        <v>108.78686543401214</v>
      </c>
      <c r="AE342" s="39">
        <f t="shared" ca="1" si="1248"/>
        <v>108.78686543401214</v>
      </c>
      <c r="AF342" s="39">
        <f t="shared" ca="1" si="1248"/>
        <v>108.78686543401214</v>
      </c>
      <c r="AG342" s="39">
        <f t="shared" ca="1" si="1248"/>
        <v>108.78686543401214</v>
      </c>
      <c r="AH342" s="39">
        <f t="shared" ca="1" si="1248"/>
        <v>108.78686543401214</v>
      </c>
      <c r="AI342" s="39">
        <f t="shared" ca="1" si="1248"/>
        <v>108.78686543401214</v>
      </c>
      <c r="AJ342" s="39">
        <f t="shared" ca="1" si="1248"/>
        <v>108.78686543401214</v>
      </c>
      <c r="AK342" s="39">
        <f t="shared" ca="1" si="1248"/>
        <v>108.78686543401214</v>
      </c>
      <c r="AL342" s="39">
        <f t="shared" ca="1" si="1248"/>
        <v>108.78686543401214</v>
      </c>
      <c r="AM342" s="39">
        <f t="shared" ca="1" si="1248"/>
        <v>108.78686543401214</v>
      </c>
      <c r="AN342" s="39">
        <f t="shared" ca="1" si="1248"/>
        <v>108.78686543401214</v>
      </c>
      <c r="AO342" s="39">
        <f t="shared" ca="1" si="1248"/>
        <v>108.78686543401214</v>
      </c>
      <c r="AP342" s="39">
        <f t="shared" ca="1" si="1248"/>
        <v>108.78686543401214</v>
      </c>
      <c r="AQ342" s="39">
        <f t="shared" ca="1" si="1248"/>
        <v>108.78686543401214</v>
      </c>
      <c r="AR342" s="39">
        <f t="shared" ca="1" si="1248"/>
        <v>108.78686543401214</v>
      </c>
      <c r="AS342" s="39">
        <f t="shared" ca="1" si="1248"/>
        <v>108.78686543401214</v>
      </c>
      <c r="AT342" s="39">
        <f t="shared" ca="1" si="1248"/>
        <v>108.78686543401214</v>
      </c>
      <c r="AU342" s="39">
        <f t="shared" ca="1" si="1248"/>
        <v>108.78686543401214</v>
      </c>
      <c r="AV342" s="39">
        <f t="shared" ca="1" si="1248"/>
        <v>108.78686543401214</v>
      </c>
      <c r="AW342" s="39">
        <f t="shared" ca="1" si="1248"/>
        <v>108.78686543401214</v>
      </c>
      <c r="AX342" s="39">
        <f t="shared" ca="1" si="1248"/>
        <v>108.78686543401214</v>
      </c>
      <c r="AY342" s="39">
        <f t="shared" ca="1" si="1248"/>
        <v>108.78686543401214</v>
      </c>
      <c r="AZ342" s="25"/>
      <c r="BA342" s="25"/>
      <c r="BB342" s="25"/>
      <c r="BC342" s="25"/>
      <c r="BD342" s="25"/>
      <c r="BE342" s="25"/>
      <c r="BF342" s="25"/>
      <c r="BG342" s="25"/>
      <c r="BH342" s="25"/>
      <c r="BI342" s="25"/>
      <c r="BJ342" s="25"/>
      <c r="BK342" s="25"/>
      <c r="BL342" s="25"/>
      <c r="BM342" s="25"/>
      <c r="BN342" s="25"/>
      <c r="BQ342" s="230"/>
      <c r="BR342"/>
      <c r="BS342"/>
      <c r="BT342"/>
      <c r="BU342"/>
      <c r="BV342"/>
      <c r="BW342"/>
    </row>
    <row r="343" spans="2:75" s="22" customFormat="1">
      <c r="B343" s="22" t="s">
        <v>221</v>
      </c>
      <c r="C343" s="24"/>
      <c r="D343" s="192"/>
      <c r="E343" s="192"/>
      <c r="F343" s="192"/>
      <c r="G343" s="192"/>
      <c r="H343" s="33"/>
      <c r="I343" s="39">
        <f t="shared" ref="I343:N343" si="1249">+I342*4</f>
        <v>369.29034624865136</v>
      </c>
      <c r="J343" s="39">
        <f t="shared" si="1249"/>
        <v>341.71568161486948</v>
      </c>
      <c r="K343" s="39">
        <f t="shared" si="1249"/>
        <v>394.57579601840382</v>
      </c>
      <c r="L343" s="39">
        <f t="shared" si="1249"/>
        <v>385.94335559066337</v>
      </c>
      <c r="M343" s="39">
        <f t="shared" si="1249"/>
        <v>372.71526085081359</v>
      </c>
      <c r="N343" s="39">
        <f t="shared" si="1249"/>
        <v>351.8941471304903</v>
      </c>
      <c r="O343" s="39">
        <f t="shared" ref="O343:T343" si="1250">+O342*4</f>
        <v>360.19715004552677</v>
      </c>
      <c r="P343" s="39">
        <f t="shared" si="1250"/>
        <v>365.4521499183785</v>
      </c>
      <c r="Q343" s="39">
        <f t="shared" si="1250"/>
        <v>348.58044619081829</v>
      </c>
      <c r="R343" s="39">
        <f t="shared" si="1250"/>
        <v>442.19616245272397</v>
      </c>
      <c r="S343" s="39">
        <f t="shared" si="1250"/>
        <v>450.07790679037151</v>
      </c>
      <c r="T343" s="39">
        <f t="shared" si="1250"/>
        <v>445.13323511269033</v>
      </c>
      <c r="U343" s="39">
        <f t="shared" ref="U343:Z343" si="1251">+U342*4</f>
        <v>398.37076083941525</v>
      </c>
      <c r="V343" s="39">
        <f t="shared" si="1251"/>
        <v>412.23331358697089</v>
      </c>
      <c r="W343" s="39">
        <f t="shared" si="1251"/>
        <v>397.3953908796833</v>
      </c>
      <c r="X343" s="39">
        <f t="shared" si="1251"/>
        <v>404.83064817692019</v>
      </c>
      <c r="Y343" s="39">
        <f t="shared" si="1251"/>
        <v>403.38533194945757</v>
      </c>
      <c r="Z343" s="39">
        <f t="shared" si="1251"/>
        <v>420.35826526787514</v>
      </c>
      <c r="AA343" s="39">
        <f t="shared" ref="AA343" si="1252">+AA342*4</f>
        <v>435.14746173604857</v>
      </c>
      <c r="AB343" s="39">
        <f t="shared" ref="AB343:AM343" ca="1" si="1253">+AA343*(1+AB344)</f>
        <v>435.14746173604857</v>
      </c>
      <c r="AC343" s="39">
        <f t="shared" ca="1" si="1253"/>
        <v>435.14746173604857</v>
      </c>
      <c r="AD343" s="39">
        <f t="shared" ca="1" si="1253"/>
        <v>435.14746173604857</v>
      </c>
      <c r="AE343" s="39">
        <f t="shared" ca="1" si="1253"/>
        <v>435.14746173604857</v>
      </c>
      <c r="AF343" s="39">
        <f t="shared" ca="1" si="1253"/>
        <v>435.14746173604857</v>
      </c>
      <c r="AG343" s="39">
        <f t="shared" ca="1" si="1253"/>
        <v>435.14746173604857</v>
      </c>
      <c r="AH343" s="39">
        <f t="shared" ca="1" si="1253"/>
        <v>435.14746173604857</v>
      </c>
      <c r="AI343" s="39">
        <f t="shared" ca="1" si="1253"/>
        <v>435.14746173604857</v>
      </c>
      <c r="AJ343" s="39">
        <f t="shared" ca="1" si="1253"/>
        <v>435.14746173604857</v>
      </c>
      <c r="AK343" s="39">
        <f t="shared" ca="1" si="1253"/>
        <v>435.14746173604857</v>
      </c>
      <c r="AL343" s="39">
        <f t="shared" ca="1" si="1253"/>
        <v>435.14746173604857</v>
      </c>
      <c r="AM343" s="39">
        <f t="shared" ca="1" si="1253"/>
        <v>435.14746173604857</v>
      </c>
      <c r="AN343" s="39">
        <f t="shared" ref="AN343" ca="1" si="1254">+AM343*(1+AN344)</f>
        <v>435.14746173604857</v>
      </c>
      <c r="AO343" s="39">
        <f t="shared" ref="AO343" ca="1" si="1255">+AN343*(1+AO344)</f>
        <v>435.14746173604857</v>
      </c>
      <c r="AP343" s="39">
        <f t="shared" ref="AP343" ca="1" si="1256">+AO343*(1+AP344)</f>
        <v>435.14746173604857</v>
      </c>
      <c r="AQ343" s="39">
        <f t="shared" ref="AQ343" ca="1" si="1257">+AP343*(1+AQ344)</f>
        <v>435.14746173604857</v>
      </c>
      <c r="AR343" s="39">
        <f t="shared" ref="AR343" ca="1" si="1258">+AQ343*(1+AR344)</f>
        <v>435.14746173604857</v>
      </c>
      <c r="AS343" s="39">
        <f t="shared" ref="AS343" ca="1" si="1259">+AR343*(1+AS344)</f>
        <v>435.14746173604857</v>
      </c>
      <c r="AT343" s="39">
        <f t="shared" ref="AT343" ca="1" si="1260">+AS343*(1+AT344)</f>
        <v>435.14746173604857</v>
      </c>
      <c r="AU343" s="39">
        <f t="shared" ref="AU343" ca="1" si="1261">+AT343*(1+AU344)</f>
        <v>435.14746173604857</v>
      </c>
      <c r="AV343" s="39">
        <f t="shared" ref="AV343" ca="1" si="1262">+AU343*(1+AV344)</f>
        <v>435.14746173604857</v>
      </c>
      <c r="AW343" s="39">
        <f t="shared" ref="AW343" ca="1" si="1263">+AV343*(1+AW344)</f>
        <v>435.14746173604857</v>
      </c>
      <c r="AX343" s="39">
        <f t="shared" ref="AX343" ca="1" si="1264">+AW343*(1+AX344)</f>
        <v>435.14746173604857</v>
      </c>
      <c r="AY343" s="39">
        <f t="shared" ref="AY343" ca="1" si="1265">+AX343*(1+AY344)</f>
        <v>435.14746173604857</v>
      </c>
      <c r="AZ343" s="25"/>
      <c r="BA343" s="25"/>
      <c r="BB343" s="25"/>
      <c r="BC343" s="25"/>
      <c r="BD343" s="25"/>
      <c r="BE343" s="25"/>
      <c r="BF343" s="25"/>
      <c r="BG343" s="25"/>
      <c r="BH343" s="25"/>
      <c r="BI343" s="25"/>
      <c r="BJ343" s="25"/>
      <c r="BK343" s="25"/>
      <c r="BL343" s="25"/>
      <c r="BM343" s="25"/>
      <c r="BN343" s="25"/>
      <c r="BQ343" s="230"/>
      <c r="BR343"/>
      <c r="BS343"/>
      <c r="BT343"/>
      <c r="BU343"/>
      <c r="BV343"/>
      <c r="BW343"/>
    </row>
    <row r="344" spans="2:75" s="22" customFormat="1">
      <c r="B344" s="23" t="s">
        <v>291</v>
      </c>
      <c r="C344" s="24"/>
      <c r="D344" s="192"/>
      <c r="E344" s="192"/>
      <c r="F344" s="192"/>
      <c r="G344" s="192"/>
      <c r="H344" s="33"/>
      <c r="I344" s="39"/>
      <c r="J344" s="222">
        <f t="shared" ref="J344:AA344" si="1266">+J343/I343-1</f>
        <v>-7.4669335155637229E-2</v>
      </c>
      <c r="K344" s="222">
        <f t="shared" si="1266"/>
        <v>0.15469033833545365</v>
      </c>
      <c r="L344" s="222">
        <f t="shared" si="1266"/>
        <v>-2.1877774853016563E-2</v>
      </c>
      <c r="M344" s="222">
        <f t="shared" si="1266"/>
        <v>-3.4274705207983036E-2</v>
      </c>
      <c r="N344" s="222">
        <f t="shared" si="1266"/>
        <v>-5.5863324922070579E-2</v>
      </c>
      <c r="O344" s="222">
        <f t="shared" si="1266"/>
        <v>2.3595171965044237E-2</v>
      </c>
      <c r="P344" s="222">
        <f t="shared" si="1266"/>
        <v>1.4589232236255967E-2</v>
      </c>
      <c r="Q344" s="222">
        <f t="shared" si="1266"/>
        <v>-4.6166656103482806E-2</v>
      </c>
      <c r="R344" s="222">
        <f t="shared" si="1266"/>
        <v>0.26856273002375763</v>
      </c>
      <c r="S344" s="222">
        <f t="shared" si="1266"/>
        <v>1.7824090317586583E-2</v>
      </c>
      <c r="T344" s="222">
        <f t="shared" si="1266"/>
        <v>-1.0986257274752664E-2</v>
      </c>
      <c r="U344" s="222">
        <f t="shared" si="1266"/>
        <v>-0.10505275855539442</v>
      </c>
      <c r="V344" s="222">
        <f t="shared" si="1266"/>
        <v>3.4798118010331835E-2</v>
      </c>
      <c r="W344" s="222">
        <f t="shared" si="1266"/>
        <v>-3.5993992281162734E-2</v>
      </c>
      <c r="X344" s="222">
        <f t="shared" si="1266"/>
        <v>1.8709973663202373E-2</v>
      </c>
      <c r="Y344" s="222">
        <f t="shared" si="1266"/>
        <v>-3.5701749212203593E-3</v>
      </c>
      <c r="Z344" s="222">
        <f t="shared" si="1266"/>
        <v>4.2076228296134888E-2</v>
      </c>
      <c r="AA344" s="222">
        <f t="shared" si="1266"/>
        <v>3.5182361547593022E-2</v>
      </c>
      <c r="AB344" s="221">
        <f t="shared" ref="AB344:AY344" ca="1" si="1267">+OFFSET(AB344,$C$5,0)</f>
        <v>0</v>
      </c>
      <c r="AC344" s="221">
        <f t="shared" ca="1" si="1267"/>
        <v>0</v>
      </c>
      <c r="AD344" s="221">
        <f t="shared" ca="1" si="1267"/>
        <v>0</v>
      </c>
      <c r="AE344" s="221">
        <f t="shared" ca="1" si="1267"/>
        <v>0</v>
      </c>
      <c r="AF344" s="221">
        <f t="shared" ca="1" si="1267"/>
        <v>0</v>
      </c>
      <c r="AG344" s="221">
        <f t="shared" ca="1" si="1267"/>
        <v>0</v>
      </c>
      <c r="AH344" s="221">
        <f t="shared" ca="1" si="1267"/>
        <v>0</v>
      </c>
      <c r="AI344" s="221">
        <f t="shared" ca="1" si="1267"/>
        <v>0</v>
      </c>
      <c r="AJ344" s="221">
        <f t="shared" ca="1" si="1267"/>
        <v>0</v>
      </c>
      <c r="AK344" s="221">
        <f t="shared" ca="1" si="1267"/>
        <v>0</v>
      </c>
      <c r="AL344" s="221">
        <f t="shared" ca="1" si="1267"/>
        <v>0</v>
      </c>
      <c r="AM344" s="221">
        <f t="shared" ca="1" si="1267"/>
        <v>0</v>
      </c>
      <c r="AN344" s="221">
        <f t="shared" ca="1" si="1267"/>
        <v>0</v>
      </c>
      <c r="AO344" s="221">
        <f t="shared" ca="1" si="1267"/>
        <v>0</v>
      </c>
      <c r="AP344" s="221">
        <f t="shared" ca="1" si="1267"/>
        <v>0</v>
      </c>
      <c r="AQ344" s="221">
        <f t="shared" ca="1" si="1267"/>
        <v>0</v>
      </c>
      <c r="AR344" s="221">
        <f t="shared" ca="1" si="1267"/>
        <v>0</v>
      </c>
      <c r="AS344" s="221">
        <f t="shared" ca="1" si="1267"/>
        <v>0</v>
      </c>
      <c r="AT344" s="221">
        <f t="shared" ca="1" si="1267"/>
        <v>0</v>
      </c>
      <c r="AU344" s="221">
        <f t="shared" ca="1" si="1267"/>
        <v>0</v>
      </c>
      <c r="AV344" s="221">
        <f t="shared" ca="1" si="1267"/>
        <v>0</v>
      </c>
      <c r="AW344" s="221">
        <f t="shared" ca="1" si="1267"/>
        <v>0</v>
      </c>
      <c r="AX344" s="221">
        <f t="shared" ca="1" si="1267"/>
        <v>0</v>
      </c>
      <c r="AY344" s="221">
        <f t="shared" ca="1" si="1267"/>
        <v>0</v>
      </c>
      <c r="AZ344" s="25"/>
      <c r="BA344" s="25"/>
      <c r="BB344" s="25"/>
      <c r="BC344" s="25"/>
      <c r="BD344" s="25"/>
      <c r="BE344" s="25"/>
      <c r="BF344" s="25"/>
      <c r="BG344" s="25"/>
      <c r="BH344" s="25"/>
      <c r="BI344" s="25"/>
      <c r="BJ344" s="25"/>
      <c r="BK344" s="25"/>
      <c r="BL344" s="25"/>
      <c r="BM344" s="25"/>
      <c r="BN344" s="25"/>
      <c r="BQ344" s="230"/>
      <c r="BR344"/>
      <c r="BS344"/>
      <c r="BT344"/>
      <c r="BU344"/>
      <c r="BV344"/>
      <c r="BW344"/>
    </row>
    <row r="345" spans="2:75" s="22" customFormat="1">
      <c r="B345" s="23"/>
      <c r="C345" s="24"/>
      <c r="D345" s="192"/>
      <c r="E345" s="192"/>
      <c r="F345" s="192"/>
      <c r="G345" s="192"/>
      <c r="H345" s="33"/>
      <c r="I345" s="39"/>
      <c r="J345" s="222"/>
      <c r="K345" s="222"/>
      <c r="L345" s="222"/>
      <c r="M345" s="222"/>
      <c r="N345" s="222"/>
      <c r="O345" s="222"/>
      <c r="P345" s="222"/>
      <c r="Q345" s="222"/>
      <c r="R345" s="222"/>
      <c r="S345" s="222"/>
      <c r="T345" s="222"/>
      <c r="U345" s="222"/>
      <c r="V345" s="222"/>
      <c r="W345" s="222"/>
      <c r="X345" s="222"/>
      <c r="Y345" s="222"/>
      <c r="Z345" s="222"/>
      <c r="AA345" s="222"/>
      <c r="AB345" s="223">
        <v>2E-3</v>
      </c>
      <c r="AC345" s="223">
        <v>2E-3</v>
      </c>
      <c r="AD345" s="223">
        <v>2E-3</v>
      </c>
      <c r="AE345" s="223">
        <v>2E-3</v>
      </c>
      <c r="AF345" s="223">
        <v>2E-3</v>
      </c>
      <c r="AG345" s="223">
        <v>2E-3</v>
      </c>
      <c r="AH345" s="223">
        <v>2E-3</v>
      </c>
      <c r="AI345" s="223">
        <v>2E-3</v>
      </c>
      <c r="AJ345" s="223">
        <v>2E-3</v>
      </c>
      <c r="AK345" s="223">
        <v>2E-3</v>
      </c>
      <c r="AL345" s="223">
        <v>2E-3</v>
      </c>
      <c r="AM345" s="223">
        <v>2E-3</v>
      </c>
      <c r="AN345" s="223">
        <v>2E-3</v>
      </c>
      <c r="AO345" s="223">
        <v>2E-3</v>
      </c>
      <c r="AP345" s="223">
        <v>2E-3</v>
      </c>
      <c r="AQ345" s="223">
        <v>2E-3</v>
      </c>
      <c r="AR345" s="223">
        <v>2E-3</v>
      </c>
      <c r="AS345" s="223">
        <v>2E-3</v>
      </c>
      <c r="AT345" s="223">
        <v>2E-3</v>
      </c>
      <c r="AU345" s="223">
        <v>2E-3</v>
      </c>
      <c r="AV345" s="223">
        <v>2E-3</v>
      </c>
      <c r="AW345" s="223">
        <v>2E-3</v>
      </c>
      <c r="AX345" s="223">
        <v>2E-3</v>
      </c>
      <c r="AY345" s="223">
        <v>2E-3</v>
      </c>
      <c r="AZ345" s="25"/>
      <c r="BA345" s="25"/>
      <c r="BB345" s="25"/>
      <c r="BC345" s="25"/>
      <c r="BD345" s="25"/>
      <c r="BE345" s="25"/>
      <c r="BF345" s="25"/>
      <c r="BG345" s="25"/>
      <c r="BH345" s="25"/>
      <c r="BI345" s="25"/>
      <c r="BJ345" s="25"/>
      <c r="BK345" s="25"/>
      <c r="BL345" s="25"/>
      <c r="BM345" s="25"/>
      <c r="BN345" s="25"/>
      <c r="BQ345" s="230"/>
      <c r="BR345"/>
      <c r="BS345"/>
      <c r="BT345"/>
      <c r="BU345"/>
      <c r="BV345"/>
      <c r="BW345"/>
    </row>
    <row r="346" spans="2:75" s="22" customFormat="1">
      <c r="B346" s="23"/>
      <c r="C346" s="24"/>
      <c r="D346" s="192"/>
      <c r="E346" s="192"/>
      <c r="F346" s="192"/>
      <c r="G346" s="192"/>
      <c r="H346" s="33"/>
      <c r="I346" s="39"/>
      <c r="J346" s="222"/>
      <c r="K346" s="222"/>
      <c r="L346" s="222"/>
      <c r="M346" s="222"/>
      <c r="N346" s="222"/>
      <c r="O346" s="222"/>
      <c r="P346" s="222"/>
      <c r="Q346" s="222"/>
      <c r="R346" s="222"/>
      <c r="S346" s="222"/>
      <c r="T346" s="222"/>
      <c r="U346" s="222"/>
      <c r="V346" s="222"/>
      <c r="W346" s="222"/>
      <c r="X346" s="222"/>
      <c r="Y346" s="222"/>
      <c r="Z346" s="222"/>
      <c r="AA346" s="222"/>
      <c r="AB346" s="223">
        <v>0</v>
      </c>
      <c r="AC346" s="223">
        <v>0</v>
      </c>
      <c r="AD346" s="223">
        <v>0</v>
      </c>
      <c r="AE346" s="223">
        <v>0</v>
      </c>
      <c r="AF346" s="223">
        <v>0</v>
      </c>
      <c r="AG346" s="223">
        <v>0</v>
      </c>
      <c r="AH346" s="223">
        <v>0</v>
      </c>
      <c r="AI346" s="223">
        <v>0</v>
      </c>
      <c r="AJ346" s="223">
        <v>0</v>
      </c>
      <c r="AK346" s="223">
        <v>0</v>
      </c>
      <c r="AL346" s="223">
        <v>0</v>
      </c>
      <c r="AM346" s="223">
        <v>0</v>
      </c>
      <c r="AN346" s="223">
        <v>0</v>
      </c>
      <c r="AO346" s="223">
        <v>0</v>
      </c>
      <c r="AP346" s="223">
        <v>0</v>
      </c>
      <c r="AQ346" s="223">
        <v>0</v>
      </c>
      <c r="AR346" s="223">
        <v>0</v>
      </c>
      <c r="AS346" s="223">
        <v>0</v>
      </c>
      <c r="AT346" s="223">
        <v>0</v>
      </c>
      <c r="AU346" s="223">
        <v>0</v>
      </c>
      <c r="AV346" s="223">
        <v>0</v>
      </c>
      <c r="AW346" s="223">
        <v>0</v>
      </c>
      <c r="AX346" s="223">
        <v>0</v>
      </c>
      <c r="AY346" s="223">
        <v>0</v>
      </c>
      <c r="AZ346" s="25"/>
      <c r="BA346" s="25"/>
      <c r="BB346" s="25"/>
      <c r="BC346" s="25"/>
      <c r="BD346" s="25"/>
      <c r="BE346" s="25"/>
      <c r="BF346" s="25"/>
      <c r="BG346" s="25"/>
      <c r="BH346" s="25"/>
      <c r="BI346" s="25"/>
      <c r="BJ346" s="25"/>
      <c r="BK346" s="25"/>
      <c r="BL346" s="25"/>
      <c r="BM346" s="25"/>
      <c r="BN346" s="25"/>
      <c r="BQ346" s="230"/>
      <c r="BR346"/>
      <c r="BS346"/>
      <c r="BT346"/>
      <c r="BU346"/>
      <c r="BV346"/>
      <c r="BW346"/>
    </row>
    <row r="347" spans="2:75" s="22" customFormat="1">
      <c r="B347" s="23"/>
      <c r="C347" s="24"/>
      <c r="D347" s="192"/>
      <c r="E347" s="192"/>
      <c r="F347" s="192"/>
      <c r="G347" s="192"/>
      <c r="H347" s="33"/>
      <c r="I347" s="39"/>
      <c r="J347" s="222"/>
      <c r="K347" s="222"/>
      <c r="L347" s="222"/>
      <c r="M347" s="222"/>
      <c r="N347" s="222"/>
      <c r="O347" s="222"/>
      <c r="P347" s="222"/>
      <c r="Q347" s="222"/>
      <c r="R347" s="222"/>
      <c r="S347" s="222"/>
      <c r="T347" s="222"/>
      <c r="U347" s="222"/>
      <c r="V347" s="222"/>
      <c r="W347" s="222"/>
      <c r="X347" s="222"/>
      <c r="Y347" s="222"/>
      <c r="Z347" s="222"/>
      <c r="AA347" s="222"/>
      <c r="AB347" s="223">
        <v>-2E-3</v>
      </c>
      <c r="AC347" s="223">
        <v>-2E-3</v>
      </c>
      <c r="AD347" s="223">
        <v>-2E-3</v>
      </c>
      <c r="AE347" s="223">
        <v>-2E-3</v>
      </c>
      <c r="AF347" s="223">
        <v>-2E-3</v>
      </c>
      <c r="AG347" s="223">
        <v>-2E-3</v>
      </c>
      <c r="AH347" s="223">
        <v>-2E-3</v>
      </c>
      <c r="AI347" s="223">
        <v>-2E-3</v>
      </c>
      <c r="AJ347" s="223">
        <v>-2E-3</v>
      </c>
      <c r="AK347" s="223">
        <v>-2E-3</v>
      </c>
      <c r="AL347" s="223">
        <v>-2E-3</v>
      </c>
      <c r="AM347" s="223">
        <v>-2E-3</v>
      </c>
      <c r="AN347" s="223">
        <v>-2E-3</v>
      </c>
      <c r="AO347" s="223">
        <v>-2E-3</v>
      </c>
      <c r="AP347" s="223">
        <v>-2E-3</v>
      </c>
      <c r="AQ347" s="223">
        <v>-2E-3</v>
      </c>
      <c r="AR347" s="223">
        <v>-2E-3</v>
      </c>
      <c r="AS347" s="223">
        <v>-2E-3</v>
      </c>
      <c r="AT347" s="223">
        <v>-2E-3</v>
      </c>
      <c r="AU347" s="223">
        <v>-2E-3</v>
      </c>
      <c r="AV347" s="223">
        <v>-2E-3</v>
      </c>
      <c r="AW347" s="223">
        <v>-2E-3</v>
      </c>
      <c r="AX347" s="223">
        <v>-2E-3</v>
      </c>
      <c r="AY347" s="223">
        <v>-2E-3</v>
      </c>
      <c r="AZ347" s="25"/>
      <c r="BA347" s="25"/>
      <c r="BB347" s="25"/>
      <c r="BC347" s="25"/>
      <c r="BD347" s="25"/>
      <c r="BE347" s="25"/>
      <c r="BF347" s="25"/>
      <c r="BG347" s="25"/>
      <c r="BH347" s="25"/>
      <c r="BI347" s="25"/>
      <c r="BJ347" s="25"/>
      <c r="BK347" s="25"/>
      <c r="BL347" s="25"/>
      <c r="BM347" s="25"/>
      <c r="BN347" s="25"/>
      <c r="BQ347" s="230"/>
      <c r="BR347"/>
      <c r="BS347"/>
      <c r="BT347"/>
      <c r="BU347"/>
      <c r="BV347"/>
      <c r="BW347"/>
    </row>
    <row r="348" spans="2:75" s="22" customFormat="1">
      <c r="B348"/>
      <c r="C348" s="24"/>
      <c r="D348" s="193"/>
      <c r="E348" s="193"/>
      <c r="F348" s="193"/>
      <c r="G348" s="193"/>
      <c r="H348" s="33"/>
      <c r="I348" s="25"/>
      <c r="J348" s="25"/>
      <c r="K348" s="25"/>
      <c r="L348" s="25"/>
      <c r="M348" s="25"/>
      <c r="N348" s="25"/>
      <c r="O348" s="25"/>
      <c r="P348" s="25"/>
      <c r="Q348" s="25"/>
      <c r="R348" s="25"/>
      <c r="S348" s="25"/>
      <c r="T348" s="25"/>
      <c r="U348" s="25"/>
      <c r="V348" s="25"/>
      <c r="W348" s="25"/>
      <c r="X348" s="25"/>
      <c r="Y348" s="25"/>
      <c r="Z348" s="25"/>
      <c r="AA348" s="25"/>
      <c r="AB348" s="25"/>
      <c r="AC348" s="25"/>
      <c r="AD348" s="25"/>
      <c r="AE348" s="25"/>
      <c r="AF348" s="25"/>
      <c r="AG348" s="25"/>
      <c r="AH348" s="25"/>
      <c r="AI348" s="25"/>
      <c r="AJ348" s="25"/>
      <c r="AK348" s="25"/>
      <c r="AL348" s="25"/>
      <c r="AM348" s="25"/>
      <c r="AN348" s="25"/>
      <c r="AO348" s="25"/>
      <c r="AP348" s="25"/>
      <c r="AQ348" s="25"/>
      <c r="AR348" s="25"/>
      <c r="AS348" s="25"/>
      <c r="AT348" s="25"/>
      <c r="AU348" s="25"/>
      <c r="AV348" s="25"/>
      <c r="AW348" s="25"/>
      <c r="AX348" s="25"/>
      <c r="AY348" s="25"/>
      <c r="AZ348" s="25"/>
      <c r="BA348" s="25"/>
      <c r="BB348" s="25"/>
      <c r="BC348" s="25"/>
      <c r="BD348" s="25"/>
      <c r="BE348" s="25"/>
      <c r="BF348" s="25"/>
      <c r="BG348" s="25"/>
      <c r="BH348" s="25"/>
      <c r="BI348" s="25"/>
      <c r="BJ348" s="25"/>
      <c r="BK348" s="25"/>
      <c r="BL348" s="25"/>
      <c r="BM348" s="25"/>
      <c r="BN348" s="25"/>
      <c r="BQ348" s="230"/>
      <c r="BR348"/>
      <c r="BS348"/>
      <c r="BT348"/>
      <c r="BU348"/>
      <c r="BV348"/>
      <c r="BW348"/>
    </row>
    <row r="349" spans="2:75" s="22" customFormat="1">
      <c r="B349" s="40" t="s">
        <v>204</v>
      </c>
      <c r="C349" s="24"/>
      <c r="D349" s="193"/>
      <c r="E349" s="193"/>
      <c r="F349" s="193"/>
      <c r="G349" s="193"/>
      <c r="H349" s="33"/>
      <c r="I349" s="25"/>
      <c r="J349" s="25"/>
      <c r="K349" s="25"/>
      <c r="L349" s="25"/>
      <c r="M349" s="25"/>
      <c r="N349" s="25"/>
      <c r="O349" s="25"/>
      <c r="P349" s="25"/>
      <c r="Q349" s="25"/>
      <c r="R349" s="25"/>
      <c r="S349" s="25"/>
      <c r="T349" s="25"/>
      <c r="U349" s="25"/>
      <c r="V349" s="25"/>
      <c r="W349" s="25"/>
      <c r="X349" s="25"/>
      <c r="Y349" s="25"/>
      <c r="Z349" s="25"/>
      <c r="AA349" s="25"/>
      <c r="AB349" s="25"/>
      <c r="AC349" s="25"/>
      <c r="AD349" s="25"/>
      <c r="AE349" s="25"/>
      <c r="AF349" s="25"/>
      <c r="AG349" s="25"/>
      <c r="AH349" s="25"/>
      <c r="AI349" s="25"/>
      <c r="AJ349" s="25"/>
      <c r="AK349" s="25"/>
      <c r="AL349" s="25"/>
      <c r="AM349" s="25"/>
      <c r="AN349" s="25"/>
      <c r="AO349" s="25"/>
      <c r="AP349" s="25"/>
      <c r="AQ349" s="25"/>
      <c r="AR349" s="25"/>
      <c r="AS349" s="25"/>
      <c r="AT349" s="25"/>
      <c r="AU349" s="25"/>
      <c r="AV349" s="25"/>
      <c r="AW349" s="25"/>
      <c r="AX349" s="25"/>
      <c r="AY349" s="25"/>
      <c r="AZ349" s="25"/>
      <c r="BA349" s="25"/>
      <c r="BB349" s="25"/>
      <c r="BC349" s="25"/>
      <c r="BD349" s="25"/>
      <c r="BE349" s="25"/>
      <c r="BF349" s="25"/>
      <c r="BG349" s="25"/>
      <c r="BH349" s="25"/>
      <c r="BI349" s="25"/>
      <c r="BJ349" s="25"/>
      <c r="BK349" s="25"/>
      <c r="BL349" s="25"/>
      <c r="BM349" s="25"/>
      <c r="BN349" s="25"/>
      <c r="BQ349" s="230"/>
      <c r="BR349"/>
      <c r="BS349"/>
      <c r="BT349"/>
      <c r="BU349"/>
      <c r="BV349"/>
      <c r="BW349"/>
    </row>
    <row r="350" spans="2:75" s="22" customFormat="1">
      <c r="B350" t="s">
        <v>122</v>
      </c>
      <c r="C350" s="24"/>
      <c r="D350" s="196"/>
      <c r="E350" s="196"/>
      <c r="F350" s="196"/>
      <c r="G350" s="196"/>
      <c r="H350" s="33"/>
      <c r="I350" s="27">
        <f t="shared" ref="I350:AA350" si="1268">+I116</f>
        <v>11.246</v>
      </c>
      <c r="J350" s="27">
        <f t="shared" si="1268"/>
        <v>12.135999999999999</v>
      </c>
      <c r="K350" s="27">
        <f t="shared" si="1268"/>
        <v>13.161</v>
      </c>
      <c r="L350" s="27">
        <f t="shared" si="1268"/>
        <v>13.247</v>
      </c>
      <c r="M350" s="27">
        <f t="shared" si="1268"/>
        <v>13.817</v>
      </c>
      <c r="N350" s="27">
        <f t="shared" si="1268"/>
        <v>15.21</v>
      </c>
      <c r="O350" s="27">
        <f t="shared" si="1268"/>
        <v>16.007999999999999</v>
      </c>
      <c r="P350" s="27">
        <f t="shared" si="1268"/>
        <v>16.242999999999999</v>
      </c>
      <c r="Q350" s="27">
        <f t="shared" si="1268"/>
        <v>18.062000000000001</v>
      </c>
      <c r="R350" s="27">
        <f t="shared" si="1268"/>
        <v>24.486000000000001</v>
      </c>
      <c r="S350" s="27">
        <f t="shared" si="1268"/>
        <v>27.02</v>
      </c>
      <c r="T350" s="27">
        <f t="shared" si="1268"/>
        <v>28.638999999999999</v>
      </c>
      <c r="U350" s="27">
        <f t="shared" si="1268"/>
        <v>30.355</v>
      </c>
      <c r="V350" s="27">
        <f t="shared" si="1268"/>
        <v>32.698999999999998</v>
      </c>
      <c r="W350" s="27">
        <f t="shared" si="1268"/>
        <v>33.093000000000004</v>
      </c>
      <c r="X350" s="27">
        <f t="shared" si="1268"/>
        <v>33.948</v>
      </c>
      <c r="Y350" s="27">
        <f t="shared" si="1268"/>
        <v>34.527000000000001</v>
      </c>
      <c r="Z350" s="27">
        <f t="shared" si="1268"/>
        <v>35.308999999999997</v>
      </c>
      <c r="AA350" s="27">
        <f t="shared" si="1268"/>
        <v>37.14</v>
      </c>
      <c r="AB350" s="27">
        <f t="shared" ref="AB350:AY350" ca="1" si="1269">+AB351*AB262</f>
        <v>39.345556618169361</v>
      </c>
      <c r="AC350" s="27">
        <f t="shared" ca="1" si="1269"/>
        <v>41.587546571974023</v>
      </c>
      <c r="AD350" s="27">
        <f t="shared" ca="1" si="1269"/>
        <v>43.870539902786668</v>
      </c>
      <c r="AE350" s="27">
        <f t="shared" ca="1" si="1269"/>
        <v>46.180561378683755</v>
      </c>
      <c r="AF350" s="27">
        <f ca="1">+AF351*AF262</f>
        <v>47.415761311956082</v>
      </c>
      <c r="AG350" s="27">
        <f t="shared" ca="1" si="1269"/>
        <v>48.615121321691603</v>
      </c>
      <c r="AH350" s="27">
        <f t="shared" ca="1" si="1269"/>
        <v>49.77341996419009</v>
      </c>
      <c r="AI350" s="27">
        <f t="shared" ca="1" si="1269"/>
        <v>50.880762233056792</v>
      </c>
      <c r="AJ350" s="27">
        <f t="shared" ca="1" si="1269"/>
        <v>51.925805078939746</v>
      </c>
      <c r="AK350" s="27">
        <f t="shared" ca="1" si="1269"/>
        <v>52.919777051434671</v>
      </c>
      <c r="AL350" s="27">
        <f t="shared" ca="1" si="1269"/>
        <v>53.859283879078326</v>
      </c>
      <c r="AM350" s="27">
        <f t="shared" ca="1" si="1269"/>
        <v>54.818346796476312</v>
      </c>
      <c r="AN350" s="27">
        <f t="shared" ca="1" si="1269"/>
        <v>55.789698537080241</v>
      </c>
      <c r="AO350" s="27">
        <f t="shared" ca="1" si="1269"/>
        <v>56.786321047208567</v>
      </c>
      <c r="AP350" s="27">
        <f t="shared" ca="1" si="1269"/>
        <v>57.808891423391337</v>
      </c>
      <c r="AQ350" s="27">
        <f t="shared" ca="1" si="1269"/>
        <v>58.852557877984673</v>
      </c>
      <c r="AR350" s="27">
        <f t="shared" ca="1" si="1269"/>
        <v>59.909371718997413</v>
      </c>
      <c r="AS350" s="27">
        <f t="shared" ca="1" si="1269"/>
        <v>60.993326282179787</v>
      </c>
      <c r="AT350" s="27">
        <f t="shared" ca="1" si="1269"/>
        <v>62.105096786981242</v>
      </c>
      <c r="AU350" s="27">
        <f t="shared" ca="1" si="1269"/>
        <v>63.239353621945739</v>
      </c>
      <c r="AV350" s="27">
        <f t="shared" ca="1" si="1269"/>
        <v>64.387407673574245</v>
      </c>
      <c r="AW350" s="27">
        <f t="shared" ca="1" si="1269"/>
        <v>65.564357034283773</v>
      </c>
      <c r="AX350" s="27">
        <f t="shared" ca="1" si="1269"/>
        <v>66.77086212426056</v>
      </c>
      <c r="AY350" s="27">
        <f t="shared" ca="1" si="1269"/>
        <v>68.001080611603797</v>
      </c>
      <c r="AZ350" s="27"/>
      <c r="BA350" s="27"/>
      <c r="BB350" s="27"/>
      <c r="BC350" s="27"/>
      <c r="BD350" s="27">
        <f>+SUM(H350:K350)</f>
        <v>36.542999999999999</v>
      </c>
      <c r="BE350" s="27">
        <f>+SUM(L350:O350)</f>
        <v>58.281999999999996</v>
      </c>
      <c r="BF350" s="27">
        <f>+SUM(P350:S350)</f>
        <v>85.810999999999993</v>
      </c>
      <c r="BG350" s="27">
        <f>+SUM(T350:W350)</f>
        <v>124.786</v>
      </c>
      <c r="BH350" s="27">
        <f>+SUM(X350:AA350)</f>
        <v>140.92399999999998</v>
      </c>
      <c r="BI350" s="27">
        <f ca="1">+SUM(AB350:AE350)</f>
        <v>170.98420447161382</v>
      </c>
      <c r="BJ350" s="27">
        <f ca="1">+SUM(AF350:AI350)</f>
        <v>196.68506483089456</v>
      </c>
      <c r="BK350" s="27">
        <f ca="1">+SUM(AJ350:AM350)</f>
        <v>213.52321280592906</v>
      </c>
      <c r="BL350" s="27">
        <f ca="1">+SUM(AN350:AQ350)</f>
        <v>229.23746888566484</v>
      </c>
      <c r="BM350" s="27">
        <f ca="1">+SUM(AR350:AU350)</f>
        <v>246.24714841010416</v>
      </c>
      <c r="BN350" s="27">
        <f ca="1">+SUM(AV350:AY350)</f>
        <v>264.72370744372239</v>
      </c>
      <c r="BQ350" s="230"/>
      <c r="BR350"/>
      <c r="BS350"/>
      <c r="BT350"/>
      <c r="BU350"/>
      <c r="BV350"/>
      <c r="BW350"/>
    </row>
    <row r="351" spans="2:75" s="22" customFormat="1">
      <c r="B351" s="314" t="s">
        <v>537</v>
      </c>
      <c r="C351" s="24"/>
      <c r="D351" s="27"/>
      <c r="E351" s="27"/>
      <c r="F351" s="27"/>
      <c r="G351" s="27"/>
      <c r="H351" s="24"/>
      <c r="I351" s="306">
        <f t="shared" ref="I351:AA351" si="1270">+I350/I262</f>
        <v>1.6765481534266671E-2</v>
      </c>
      <c r="J351" s="306">
        <f t="shared" si="1270"/>
        <v>1.7063205284307079E-2</v>
      </c>
      <c r="K351" s="306">
        <f t="shared" si="1270"/>
        <v>1.80725869574173E-2</v>
      </c>
      <c r="L351" s="306">
        <f t="shared" si="1270"/>
        <v>1.7826648059954164E-2</v>
      </c>
      <c r="M351" s="306">
        <f t="shared" si="1270"/>
        <v>1.6665922849695498E-2</v>
      </c>
      <c r="N351" s="306">
        <f t="shared" si="1270"/>
        <v>1.7013156393524041E-2</v>
      </c>
      <c r="O351" s="306">
        <f t="shared" si="1270"/>
        <v>1.7508744528517334E-2</v>
      </c>
      <c r="P351" s="306">
        <f t="shared" si="1270"/>
        <v>1.7009890932700816E-2</v>
      </c>
      <c r="Q351" s="306">
        <f t="shared" si="1270"/>
        <v>1.6831295661249444E-2</v>
      </c>
      <c r="R351" s="306">
        <f t="shared" si="1270"/>
        <v>2.2084169854918748E-2</v>
      </c>
      <c r="S351" s="306">
        <f t="shared" si="1270"/>
        <v>2.2890817071703665E-2</v>
      </c>
      <c r="T351" s="306">
        <f t="shared" si="1270"/>
        <v>2.3060911437049324E-2</v>
      </c>
      <c r="U351" s="306">
        <f t="shared" si="1270"/>
        <v>2.1776716023875115E-2</v>
      </c>
      <c r="V351" s="306">
        <f t="shared" si="1270"/>
        <v>2.2560743381979553E-2</v>
      </c>
      <c r="W351" s="306">
        <f t="shared" si="1270"/>
        <v>2.170364390100258E-2</v>
      </c>
      <c r="X351" s="306">
        <f t="shared" si="1270"/>
        <v>2.1415823914336704E-2</v>
      </c>
      <c r="Y351" s="306">
        <f t="shared" si="1270"/>
        <v>2.1244064004764796E-2</v>
      </c>
      <c r="Z351" s="306">
        <f t="shared" si="1270"/>
        <v>2.1162083616271591E-2</v>
      </c>
      <c r="AA351" s="306">
        <f t="shared" si="1270"/>
        <v>2.1830531826787604E-2</v>
      </c>
      <c r="AB351" s="306">
        <f>+AA351</f>
        <v>2.1830531826787604E-2</v>
      </c>
      <c r="AC351" s="306">
        <f t="shared" ref="AC351:AY351" si="1271">+AB351</f>
        <v>2.1830531826787604E-2</v>
      </c>
      <c r="AD351" s="306">
        <f t="shared" si="1271"/>
        <v>2.1830531826787604E-2</v>
      </c>
      <c r="AE351" s="306">
        <f t="shared" si="1271"/>
        <v>2.1830531826787604E-2</v>
      </c>
      <c r="AF351" s="306">
        <f t="shared" si="1271"/>
        <v>2.1830531826787604E-2</v>
      </c>
      <c r="AG351" s="306">
        <f t="shared" si="1271"/>
        <v>2.1830531826787604E-2</v>
      </c>
      <c r="AH351" s="306">
        <f t="shared" si="1271"/>
        <v>2.1830531826787604E-2</v>
      </c>
      <c r="AI351" s="306">
        <f t="shared" si="1271"/>
        <v>2.1830531826787604E-2</v>
      </c>
      <c r="AJ351" s="306">
        <f t="shared" si="1271"/>
        <v>2.1830531826787604E-2</v>
      </c>
      <c r="AK351" s="306">
        <f t="shared" si="1271"/>
        <v>2.1830531826787604E-2</v>
      </c>
      <c r="AL351" s="306">
        <f t="shared" si="1271"/>
        <v>2.1830531826787604E-2</v>
      </c>
      <c r="AM351" s="306">
        <f t="shared" si="1271"/>
        <v>2.1830531826787604E-2</v>
      </c>
      <c r="AN351" s="306">
        <f t="shared" si="1271"/>
        <v>2.1830531826787604E-2</v>
      </c>
      <c r="AO351" s="306">
        <f t="shared" si="1271"/>
        <v>2.1830531826787604E-2</v>
      </c>
      <c r="AP351" s="306">
        <f t="shared" si="1271"/>
        <v>2.1830531826787604E-2</v>
      </c>
      <c r="AQ351" s="306">
        <f t="shared" si="1271"/>
        <v>2.1830531826787604E-2</v>
      </c>
      <c r="AR351" s="306">
        <f t="shared" si="1271"/>
        <v>2.1830531826787604E-2</v>
      </c>
      <c r="AS351" s="306">
        <f t="shared" si="1271"/>
        <v>2.1830531826787604E-2</v>
      </c>
      <c r="AT351" s="306">
        <f t="shared" si="1271"/>
        <v>2.1830531826787604E-2</v>
      </c>
      <c r="AU351" s="306">
        <f t="shared" si="1271"/>
        <v>2.1830531826787604E-2</v>
      </c>
      <c r="AV351" s="306">
        <f t="shared" si="1271"/>
        <v>2.1830531826787604E-2</v>
      </c>
      <c r="AW351" s="306">
        <f t="shared" si="1271"/>
        <v>2.1830531826787604E-2</v>
      </c>
      <c r="AX351" s="306">
        <f t="shared" si="1271"/>
        <v>2.1830531826787604E-2</v>
      </c>
      <c r="AY351" s="306">
        <f t="shared" si="1271"/>
        <v>2.1830531826787604E-2</v>
      </c>
      <c r="AZ351" s="27"/>
      <c r="BA351" s="27"/>
      <c r="BB351" s="27"/>
      <c r="BC351" s="27"/>
      <c r="BD351" s="27"/>
      <c r="BE351" s="27"/>
      <c r="BF351" s="27"/>
      <c r="BG351" s="27"/>
      <c r="BH351" s="27"/>
      <c r="BI351" s="27"/>
      <c r="BJ351" s="27"/>
      <c r="BK351" s="27"/>
      <c r="BL351" s="27"/>
      <c r="BM351" s="27"/>
      <c r="BN351" s="27"/>
      <c r="BR351"/>
      <c r="BS351"/>
      <c r="BT351"/>
      <c r="BU351"/>
      <c r="BV351"/>
      <c r="BW351"/>
    </row>
    <row r="352" spans="2:75">
      <c r="BA352"/>
    </row>
    <row r="353" spans="1:66">
      <c r="A353" s="1" t="s">
        <v>24</v>
      </c>
      <c r="B353" s="2" t="s">
        <v>0</v>
      </c>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65"/>
      <c r="BA353" s="2"/>
      <c r="BB353" s="2"/>
      <c r="BC353" s="2"/>
      <c r="BD353" s="2"/>
      <c r="BE353" s="2"/>
      <c r="BF353" s="2"/>
      <c r="BG353" s="2"/>
      <c r="BH353" s="2"/>
      <c r="BI353" s="2"/>
      <c r="BJ353" s="2"/>
      <c r="BK353" s="2"/>
      <c r="BL353" s="2"/>
      <c r="BM353" s="2"/>
      <c r="BN353" s="2"/>
    </row>
    <row r="354" spans="1:66">
      <c r="B354" s="2" t="s">
        <v>156</v>
      </c>
      <c r="C354" s="2"/>
      <c r="D354" s="3" t="str">
        <f t="shared" ref="D354:AY354" si="1272">D11</f>
        <v>1Q12</v>
      </c>
      <c r="E354" s="3" t="str">
        <f t="shared" si="1272"/>
        <v>2Q12</v>
      </c>
      <c r="F354" s="3" t="str">
        <f t="shared" si="1272"/>
        <v>3Q12</v>
      </c>
      <c r="G354" s="3" t="str">
        <f t="shared" si="1272"/>
        <v>4Q12</v>
      </c>
      <c r="H354" s="3" t="str">
        <f t="shared" si="1272"/>
        <v>1Q13</v>
      </c>
      <c r="I354" s="3" t="str">
        <f t="shared" si="1272"/>
        <v>2Q13</v>
      </c>
      <c r="J354" s="3" t="str">
        <f t="shared" si="1272"/>
        <v>3Q13</v>
      </c>
      <c r="K354" s="3" t="str">
        <f t="shared" si="1272"/>
        <v>4Q13</v>
      </c>
      <c r="L354" s="3" t="str">
        <f t="shared" si="1272"/>
        <v>1Q14</v>
      </c>
      <c r="M354" s="3" t="str">
        <f t="shared" si="1272"/>
        <v>2Q14</v>
      </c>
      <c r="N354" s="3" t="str">
        <f t="shared" si="1272"/>
        <v>3Q14</v>
      </c>
      <c r="O354" s="3" t="str">
        <f t="shared" si="1272"/>
        <v>4Q14</v>
      </c>
      <c r="P354" s="3" t="str">
        <f t="shared" si="1272"/>
        <v>1Q15</v>
      </c>
      <c r="Q354" s="3" t="str">
        <f t="shared" si="1272"/>
        <v>2Q15</v>
      </c>
      <c r="R354" s="3" t="str">
        <f t="shared" si="1272"/>
        <v>3Q15</v>
      </c>
      <c r="S354" s="3" t="str">
        <f t="shared" si="1272"/>
        <v>4Q15</v>
      </c>
      <c r="T354" s="3" t="str">
        <f t="shared" si="1272"/>
        <v>1Q16</v>
      </c>
      <c r="U354" s="3" t="str">
        <f t="shared" si="1272"/>
        <v>2Q16</v>
      </c>
      <c r="V354" s="3" t="str">
        <f t="shared" si="1272"/>
        <v>3Q16</v>
      </c>
      <c r="W354" s="3" t="str">
        <f t="shared" si="1272"/>
        <v>4Q16</v>
      </c>
      <c r="X354" s="3" t="str">
        <f t="shared" si="1272"/>
        <v>1Q17</v>
      </c>
      <c r="Y354" s="3" t="str">
        <f t="shared" si="1272"/>
        <v>2Q17</v>
      </c>
      <c r="Z354" s="3" t="str">
        <f t="shared" si="1272"/>
        <v>3Q17</v>
      </c>
      <c r="AA354" s="3" t="str">
        <f t="shared" si="1272"/>
        <v>4Q17</v>
      </c>
      <c r="AB354" s="3" t="str">
        <f t="shared" si="1272"/>
        <v>1Q18E</v>
      </c>
      <c r="AC354" s="3" t="str">
        <f t="shared" si="1272"/>
        <v>2Q18E</v>
      </c>
      <c r="AD354" s="3" t="str">
        <f t="shared" si="1272"/>
        <v>3Q18E</v>
      </c>
      <c r="AE354" s="3" t="str">
        <f t="shared" si="1272"/>
        <v>4Q18E</v>
      </c>
      <c r="AF354" s="3" t="str">
        <f t="shared" si="1272"/>
        <v>1Q19E</v>
      </c>
      <c r="AG354" s="3" t="str">
        <f t="shared" si="1272"/>
        <v>2Q19E</v>
      </c>
      <c r="AH354" s="3" t="str">
        <f t="shared" si="1272"/>
        <v>3Q19E</v>
      </c>
      <c r="AI354" s="3" t="str">
        <f t="shared" si="1272"/>
        <v>4Q19E</v>
      </c>
      <c r="AJ354" s="3" t="str">
        <f t="shared" si="1272"/>
        <v>1Q20E</v>
      </c>
      <c r="AK354" s="3" t="str">
        <f t="shared" si="1272"/>
        <v>2Q20E</v>
      </c>
      <c r="AL354" s="3" t="str">
        <f t="shared" si="1272"/>
        <v>3Q20E</v>
      </c>
      <c r="AM354" s="3" t="str">
        <f t="shared" si="1272"/>
        <v>4Q20E</v>
      </c>
      <c r="AN354" s="3" t="str">
        <f t="shared" si="1272"/>
        <v>1Q21E</v>
      </c>
      <c r="AO354" s="3" t="str">
        <f t="shared" si="1272"/>
        <v>2Q21E</v>
      </c>
      <c r="AP354" s="3" t="str">
        <f t="shared" si="1272"/>
        <v>3Q21E</v>
      </c>
      <c r="AQ354" s="3" t="str">
        <f t="shared" si="1272"/>
        <v>4Q21E</v>
      </c>
      <c r="AR354" s="3" t="str">
        <f t="shared" si="1272"/>
        <v>1Q22E</v>
      </c>
      <c r="AS354" s="3" t="str">
        <f t="shared" si="1272"/>
        <v>2Q22E</v>
      </c>
      <c r="AT354" s="3" t="str">
        <f t="shared" si="1272"/>
        <v>3Q22E</v>
      </c>
      <c r="AU354" s="3" t="str">
        <f t="shared" si="1272"/>
        <v>4Q22E</v>
      </c>
      <c r="AV354" s="3" t="str">
        <f t="shared" si="1272"/>
        <v>1Q23E</v>
      </c>
      <c r="AW354" s="3" t="str">
        <f t="shared" si="1272"/>
        <v>2Q23E</v>
      </c>
      <c r="AX354" s="3" t="str">
        <f t="shared" si="1272"/>
        <v>3Q23E</v>
      </c>
      <c r="AY354" s="3" t="str">
        <f t="shared" si="1272"/>
        <v>4Q23E</v>
      </c>
      <c r="AZ354" s="66"/>
      <c r="BA354" s="3" t="str">
        <f t="shared" ref="BA354:BN354" si="1273">BA11</f>
        <v>2010A</v>
      </c>
      <c r="BB354" s="3" t="str">
        <f t="shared" si="1273"/>
        <v>2011A</v>
      </c>
      <c r="BC354" s="3" t="str">
        <f t="shared" si="1273"/>
        <v>2012A</v>
      </c>
      <c r="BD354" s="3" t="str">
        <f t="shared" si="1273"/>
        <v>2013A</v>
      </c>
      <c r="BE354" s="3" t="str">
        <f t="shared" si="1273"/>
        <v>2014A</v>
      </c>
      <c r="BF354" s="3">
        <f t="shared" si="1273"/>
        <v>2015</v>
      </c>
      <c r="BG354" s="3">
        <f t="shared" si="1273"/>
        <v>2016</v>
      </c>
      <c r="BH354" s="3">
        <f t="shared" si="1273"/>
        <v>2017</v>
      </c>
      <c r="BI354" s="3" t="str">
        <f t="shared" si="1273"/>
        <v>2018E</v>
      </c>
      <c r="BJ354" s="3" t="str">
        <f t="shared" si="1273"/>
        <v>2019E</v>
      </c>
      <c r="BK354" s="3" t="str">
        <f t="shared" si="1273"/>
        <v>2020E</v>
      </c>
      <c r="BL354" s="3" t="str">
        <f t="shared" si="1273"/>
        <v>2021E</v>
      </c>
      <c r="BM354" s="3" t="str">
        <f t="shared" si="1273"/>
        <v>2022E</v>
      </c>
      <c r="BN354" s="3" t="str">
        <f t="shared" si="1273"/>
        <v>2023E</v>
      </c>
    </row>
    <row r="355" spans="1:66">
      <c r="BA355"/>
    </row>
    <row r="356" spans="1:66">
      <c r="B356" s="9" t="s">
        <v>154</v>
      </c>
      <c r="BA356"/>
    </row>
    <row r="357" spans="1:66">
      <c r="B357" t="s">
        <v>98</v>
      </c>
      <c r="C357" s="4"/>
      <c r="D357" s="24"/>
      <c r="E357" s="24"/>
      <c r="F357" s="24"/>
      <c r="G357" s="24"/>
      <c r="H357" s="4"/>
      <c r="I357" s="4"/>
      <c r="J357" s="4"/>
      <c r="K357" s="10">
        <f>+K377</f>
        <v>295.83750000000003</v>
      </c>
      <c r="L357" s="10"/>
      <c r="M357" s="10"/>
      <c r="N357" s="10"/>
      <c r="O357" s="10"/>
      <c r="P357" s="10"/>
      <c r="Q357" s="10"/>
      <c r="R357" s="10"/>
      <c r="S357" s="10"/>
      <c r="T357" s="10"/>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24"/>
      <c r="BA357" s="4"/>
      <c r="BB357" s="4"/>
      <c r="BC357" s="4"/>
      <c r="BD357" s="4"/>
      <c r="BE357" s="4"/>
      <c r="BF357" s="4"/>
      <c r="BG357" s="4"/>
      <c r="BH357" s="4"/>
      <c r="BI357" s="4"/>
      <c r="BJ357" s="4"/>
      <c r="BK357" s="4"/>
      <c r="BL357" s="4"/>
      <c r="BM357" s="4"/>
      <c r="BN357" s="4"/>
    </row>
    <row r="358" spans="1:66">
      <c r="B358" t="s">
        <v>99</v>
      </c>
      <c r="C358" s="4"/>
      <c r="D358" s="28"/>
      <c r="E358" s="28"/>
      <c r="F358" s="28"/>
      <c r="G358" s="28"/>
      <c r="H358" s="4"/>
      <c r="I358" s="7"/>
      <c r="J358" s="7"/>
      <c r="K358" s="38">
        <f>277.1-K357-K359</f>
        <v>-13.137500000000012</v>
      </c>
      <c r="L358" s="38"/>
      <c r="M358" s="38"/>
      <c r="N358" s="38"/>
      <c r="O358" s="38"/>
      <c r="P358" s="38"/>
      <c r="Q358" s="38"/>
      <c r="R358" s="38"/>
      <c r="S358" s="38"/>
      <c r="T358" s="38"/>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24"/>
      <c r="BA358" s="4"/>
      <c r="BB358" s="4"/>
      <c r="BC358" s="4"/>
      <c r="BD358" s="4"/>
      <c r="BE358" s="4"/>
      <c r="BF358" s="4"/>
      <c r="BG358" s="4"/>
      <c r="BH358" s="4"/>
      <c r="BI358" s="4"/>
      <c r="BJ358" s="4"/>
      <c r="BK358" s="4"/>
      <c r="BL358" s="4"/>
      <c r="BM358" s="4"/>
      <c r="BN358" s="4"/>
    </row>
    <row r="359" spans="1:66">
      <c r="B359" t="s">
        <v>100</v>
      </c>
      <c r="D359" s="22"/>
      <c r="E359" s="22"/>
      <c r="F359" s="22"/>
      <c r="G359" s="22"/>
      <c r="K359" s="7">
        <v>-5.6</v>
      </c>
      <c r="L359" s="7"/>
      <c r="M359" s="7"/>
      <c r="N359" s="7"/>
      <c r="O359" s="7"/>
      <c r="P359" s="7"/>
      <c r="Q359" s="7"/>
      <c r="R359" s="7"/>
      <c r="S359" s="7"/>
      <c r="T359" s="7"/>
      <c r="BA359"/>
    </row>
    <row r="360" spans="1:66">
      <c r="B360" t="s">
        <v>101</v>
      </c>
      <c r="D360" s="22"/>
      <c r="E360" s="22"/>
      <c r="F360" s="22"/>
      <c r="G360" s="22"/>
      <c r="K360" s="10">
        <f>SUM(K357:K359)</f>
        <v>277.10000000000002</v>
      </c>
      <c r="L360" s="10"/>
      <c r="M360" s="10"/>
      <c r="N360" s="10"/>
      <c r="O360" s="10"/>
      <c r="P360" s="10"/>
      <c r="Q360" s="10"/>
      <c r="R360" s="10"/>
      <c r="S360" s="10"/>
      <c r="T360" s="10"/>
      <c r="BA360"/>
    </row>
    <row r="361" spans="1:66">
      <c r="D361" s="22"/>
      <c r="E361" s="22"/>
      <c r="F361" s="22"/>
      <c r="G361" s="22"/>
      <c r="K361" s="7"/>
      <c r="L361" s="7"/>
      <c r="M361" s="7"/>
      <c r="N361" s="7"/>
      <c r="O361" s="7"/>
      <c r="P361" s="7"/>
      <c r="Q361" s="7"/>
      <c r="R361" s="7"/>
      <c r="S361" s="7"/>
      <c r="T361" s="7"/>
      <c r="BA361"/>
    </row>
    <row r="362" spans="1:66">
      <c r="B362" t="s">
        <v>102</v>
      </c>
      <c r="D362" s="22"/>
      <c r="E362" s="22"/>
      <c r="F362" s="22"/>
      <c r="G362" s="22"/>
      <c r="K362" s="10">
        <f>-K439</f>
        <v>263.5</v>
      </c>
      <c r="L362" s="10"/>
      <c r="M362" s="10"/>
      <c r="N362" s="10"/>
      <c r="O362" s="10"/>
      <c r="P362" s="10"/>
      <c r="Q362" s="10"/>
      <c r="R362" s="10"/>
      <c r="S362" s="10"/>
      <c r="T362" s="10"/>
      <c r="BA362"/>
    </row>
    <row r="363" spans="1:66">
      <c r="B363" t="s">
        <v>147</v>
      </c>
      <c r="D363" s="22"/>
      <c r="E363" s="22"/>
      <c r="F363" s="22"/>
      <c r="G363" s="22"/>
      <c r="K363" s="10">
        <f>+K360-K362</f>
        <v>13.600000000000023</v>
      </c>
      <c r="L363" s="10"/>
      <c r="M363" s="10"/>
      <c r="N363" s="10"/>
      <c r="O363" s="10"/>
      <c r="P363" s="10"/>
      <c r="Q363" s="10"/>
      <c r="R363" s="10"/>
      <c r="S363" s="10"/>
      <c r="T363" s="10"/>
      <c r="BA363"/>
    </row>
    <row r="364" spans="1:66">
      <c r="B364" t="s">
        <v>103</v>
      </c>
      <c r="D364" s="22"/>
      <c r="E364" s="22"/>
      <c r="F364" s="22"/>
      <c r="G364" s="22"/>
      <c r="K364" s="10">
        <f>SUM(K362:K363)</f>
        <v>277.10000000000002</v>
      </c>
      <c r="L364" s="10"/>
      <c r="M364" s="10"/>
      <c r="N364" s="10"/>
      <c r="O364" s="10"/>
      <c r="P364" s="10"/>
      <c r="Q364" s="10"/>
      <c r="R364" s="10"/>
      <c r="S364" s="10"/>
      <c r="T364" s="10"/>
      <c r="BA364"/>
    </row>
    <row r="365" spans="1:66">
      <c r="D365" s="22"/>
      <c r="E365" s="22"/>
      <c r="F365" s="22"/>
      <c r="G365" s="22"/>
      <c r="BA365"/>
    </row>
    <row r="366" spans="1:66">
      <c r="B366" s="9" t="s">
        <v>155</v>
      </c>
      <c r="D366" s="22"/>
      <c r="E366" s="22"/>
      <c r="F366" s="22"/>
      <c r="G366" s="22"/>
      <c r="BA366"/>
    </row>
    <row r="367" spans="1:66">
      <c r="B367" t="s">
        <v>149</v>
      </c>
      <c r="C367" s="29">
        <v>15</v>
      </c>
      <c r="D367" s="22"/>
      <c r="E367" s="22"/>
      <c r="F367" s="22"/>
      <c r="G367" s="22"/>
      <c r="BA367"/>
    </row>
    <row r="368" spans="1:66">
      <c r="B368" t="s">
        <v>148</v>
      </c>
      <c r="D368" s="22"/>
      <c r="E368" s="22"/>
      <c r="F368" s="22"/>
      <c r="G368" s="22"/>
      <c r="K368" s="10">
        <f>+K245</f>
        <v>0</v>
      </c>
      <c r="L368" s="10">
        <f t="shared" ref="L368:AY368" si="1274">+L241</f>
        <v>5.2100000000000062</v>
      </c>
      <c r="M368" s="10">
        <f t="shared" si="1274"/>
        <v>7.9280000000000097</v>
      </c>
      <c r="N368" s="10">
        <f t="shared" si="1274"/>
        <v>7.4890000000000061</v>
      </c>
      <c r="O368" s="10">
        <f t="shared" si="1274"/>
        <v>5.044999999999968</v>
      </c>
      <c r="P368" s="10">
        <f t="shared" si="1274"/>
        <v>10.787999999999963</v>
      </c>
      <c r="Q368" s="10">
        <f t="shared" si="1274"/>
        <v>5.747999999999978</v>
      </c>
      <c r="R368" s="10">
        <f t="shared" si="1274"/>
        <v>10.743999999999991</v>
      </c>
      <c r="S368" s="10">
        <f t="shared" si="1274"/>
        <v>10.730000000000002</v>
      </c>
      <c r="T368" s="10">
        <f t="shared" si="1274"/>
        <v>8.8040000000000216</v>
      </c>
      <c r="U368" s="10">
        <f t="shared" si="1274"/>
        <v>9.7440000000000317</v>
      </c>
      <c r="V368" s="10">
        <f t="shared" si="1274"/>
        <v>12.776000000000028</v>
      </c>
      <c r="W368" s="10">
        <f t="shared" si="1274"/>
        <v>11.769000000000023</v>
      </c>
      <c r="X368" s="10">
        <f t="shared" si="1274"/>
        <v>9.5800000000000018</v>
      </c>
      <c r="Y368" s="10">
        <f t="shared" si="1274"/>
        <v>18.257000000000019</v>
      </c>
      <c r="Z368" s="10">
        <f t="shared" si="1274"/>
        <v>42.603999999999985</v>
      </c>
      <c r="AA368" s="10">
        <f t="shared" si="1274"/>
        <v>9.2709999999999724</v>
      </c>
      <c r="AB368" s="10">
        <f t="shared" si="1274"/>
        <v>8.2429999999999382</v>
      </c>
      <c r="AC368" s="10">
        <f t="shared" ca="1" si="1274"/>
        <v>24.133303567399672</v>
      </c>
      <c r="AD368" s="10">
        <f t="shared" ca="1" si="1274"/>
        <v>14.999999999999979</v>
      </c>
      <c r="AE368" s="10">
        <f t="shared" ca="1" si="1274"/>
        <v>15.000000000000036</v>
      </c>
      <c r="AF368" s="10">
        <f t="shared" ca="1" si="1274"/>
        <v>14.999999999999957</v>
      </c>
      <c r="AG368" s="10">
        <f t="shared" ca="1" si="1274"/>
        <v>14.999999999999851</v>
      </c>
      <c r="AH368" s="10">
        <f t="shared" ca="1" si="1274"/>
        <v>15.000000000000107</v>
      </c>
      <c r="AI368" s="10">
        <f t="shared" ca="1" si="1274"/>
        <v>15.000000000000014</v>
      </c>
      <c r="AJ368" s="10">
        <f t="shared" ca="1" si="1274"/>
        <v>15.000000000000014</v>
      </c>
      <c r="AK368" s="10">
        <f t="shared" ca="1" si="1274"/>
        <v>15.000000000000014</v>
      </c>
      <c r="AL368" s="10">
        <f t="shared" ca="1" si="1274"/>
        <v>14.999999999999879</v>
      </c>
      <c r="AM368" s="10">
        <f t="shared" ca="1" si="1274"/>
        <v>15.000000000000192</v>
      </c>
      <c r="AN368" s="10">
        <f t="shared" ca="1" si="1274"/>
        <v>14.999999999999794</v>
      </c>
      <c r="AO368" s="10">
        <f t="shared" ca="1" si="1274"/>
        <v>15.00000000000022</v>
      </c>
      <c r="AP368" s="10">
        <f t="shared" ca="1" si="1274"/>
        <v>14.99999999999978</v>
      </c>
      <c r="AQ368" s="10">
        <f t="shared" ca="1" si="1274"/>
        <v>14.999999999999993</v>
      </c>
      <c r="AR368" s="10">
        <f t="shared" ca="1" si="1274"/>
        <v>15.000000000000277</v>
      </c>
      <c r="AS368" s="10">
        <f t="shared" ca="1" si="1274"/>
        <v>14.999999999999723</v>
      </c>
      <c r="AT368" s="10">
        <f t="shared" ca="1" si="1274"/>
        <v>-465.99999999999994</v>
      </c>
      <c r="AU368" s="10">
        <f t="shared" ca="1" si="1274"/>
        <v>15.000000000000057</v>
      </c>
      <c r="AV368" s="10">
        <f t="shared" ca="1" si="1274"/>
        <v>254.00351402441791</v>
      </c>
      <c r="AW368" s="10">
        <f t="shared" ca="1" si="1274"/>
        <v>239.06771425602932</v>
      </c>
      <c r="AX368" s="10">
        <f t="shared" ca="1" si="1274"/>
        <v>230.39757672429141</v>
      </c>
      <c r="AY368" s="10">
        <f t="shared" ca="1" si="1274"/>
        <v>223.0200879509396</v>
      </c>
      <c r="AZ368" s="39"/>
      <c r="BA368" s="10"/>
      <c r="BB368" s="10"/>
      <c r="BC368" s="10"/>
      <c r="BD368" s="10"/>
      <c r="BE368" s="10"/>
      <c r="BF368" s="10"/>
      <c r="BG368" s="10"/>
      <c r="BH368" s="10"/>
      <c r="BI368" s="10"/>
      <c r="BJ368" s="10"/>
      <c r="BK368" s="10"/>
      <c r="BL368" s="10"/>
      <c r="BM368" s="10"/>
      <c r="BN368" s="10"/>
    </row>
    <row r="369" spans="2:75">
      <c r="B369" t="s">
        <v>158</v>
      </c>
      <c r="D369" s="22"/>
      <c r="E369" s="22"/>
      <c r="F369" s="22"/>
      <c r="G369" s="22"/>
      <c r="K369" s="38">
        <f>+K223+K228+SUM(K231:K232,K235:K239)+K439+K376</f>
        <v>-14.213999999999999</v>
      </c>
      <c r="L369" s="10">
        <f t="shared" ref="L369:AA369" si="1275">+L219+L224+SUM(L226:L227,L230:L235)</f>
        <v>4.730000000000004</v>
      </c>
      <c r="M369" s="10">
        <f t="shared" si="1275"/>
        <v>2.2039999999999935</v>
      </c>
      <c r="N369" s="10">
        <f t="shared" si="1275"/>
        <v>-7.800000000000022</v>
      </c>
      <c r="O369" s="10">
        <f t="shared" si="1275"/>
        <v>7.8599999999999959</v>
      </c>
      <c r="P369" s="10">
        <f t="shared" si="1275"/>
        <v>-4.2319999999999922</v>
      </c>
      <c r="Q369" s="10">
        <f t="shared" si="1275"/>
        <v>-101.47199999999998</v>
      </c>
      <c r="R369" s="10">
        <f t="shared" si="1275"/>
        <v>2.8159999999999954</v>
      </c>
      <c r="S369" s="10">
        <f t="shared" si="1275"/>
        <v>127.39500000000001</v>
      </c>
      <c r="T369" s="10">
        <f t="shared" si="1275"/>
        <v>3.5050000000000097</v>
      </c>
      <c r="U369" s="10">
        <f t="shared" si="1275"/>
        <v>-269.84699999999998</v>
      </c>
      <c r="V369" s="10">
        <f t="shared" si="1275"/>
        <v>2.0849999999999866</v>
      </c>
      <c r="W369" s="10">
        <f t="shared" si="1275"/>
        <v>459.71699999999993</v>
      </c>
      <c r="X369" s="10">
        <f t="shared" si="1275"/>
        <v>10.927</v>
      </c>
      <c r="Y369" s="10">
        <f t="shared" si="1275"/>
        <v>-11.945000000000036</v>
      </c>
      <c r="Z369" s="10">
        <f t="shared" si="1275"/>
        <v>-6.7290000000000134</v>
      </c>
      <c r="AA369" s="10">
        <f t="shared" si="1275"/>
        <v>933.98599999999999</v>
      </c>
      <c r="AB369" s="39">
        <f t="shared" ref="AB369:AY369" ca="1" si="1276">+AB219+AB224+AB237+SUM(AB229:AB235)+AB227+AB226</f>
        <v>10.076303567399769</v>
      </c>
      <c r="AC369" s="39">
        <f t="shared" ca="1" si="1276"/>
        <v>-77.378789839646501</v>
      </c>
      <c r="AD369" s="39">
        <f t="shared" ca="1" si="1276"/>
        <v>-78.436239961494209</v>
      </c>
      <c r="AE369" s="39">
        <f t="shared" ca="1" si="1276"/>
        <v>-78.124089014604664</v>
      </c>
      <c r="AF369" s="39">
        <f t="shared" ca="1" si="1276"/>
        <v>-30.03777083636475</v>
      </c>
      <c r="AG369" s="39">
        <f t="shared" ca="1" si="1276"/>
        <v>-28.636800190984761</v>
      </c>
      <c r="AH369" s="39">
        <f t="shared" ca="1" si="1276"/>
        <v>-25.187471988664903</v>
      </c>
      <c r="AI369" s="39">
        <f t="shared" ca="1" si="1276"/>
        <v>-19.940138923188691</v>
      </c>
      <c r="AJ369" s="39">
        <f t="shared" ca="1" si="1276"/>
        <v>-16.525508234176012</v>
      </c>
      <c r="AK369" s="39">
        <f t="shared" ca="1" si="1276"/>
        <v>-14.248946696744632</v>
      </c>
      <c r="AL369" s="39">
        <f t="shared" ca="1" si="1276"/>
        <v>-9.8852545204687452</v>
      </c>
      <c r="AM369" s="39">
        <f t="shared" ca="1" si="1276"/>
        <v>-7.4285514919124012</v>
      </c>
      <c r="AN369" s="39">
        <f t="shared" ca="1" si="1276"/>
        <v>-7.1077220858105932</v>
      </c>
      <c r="AO369" s="39">
        <f t="shared" ca="1" si="1276"/>
        <v>-10.778916600110264</v>
      </c>
      <c r="AP369" s="39">
        <f t="shared" ca="1" si="1276"/>
        <v>-9.8369527452648633</v>
      </c>
      <c r="AQ369" s="39">
        <f ca="1">+AQ219+AQ224+AQ237+SUM(AQ229:AQ235)+AQ227+AQ226</f>
        <v>-7.0828054469217854</v>
      </c>
      <c r="AR369" s="39">
        <f t="shared" ca="1" si="1276"/>
        <v>-6.7657097252109537</v>
      </c>
      <c r="AS369" s="39">
        <f t="shared" ca="1" si="1276"/>
        <v>-13.089454654420372</v>
      </c>
      <c r="AT369" s="39">
        <f t="shared" ca="1" si="1276"/>
        <v>-6.9876179497851894</v>
      </c>
      <c r="AU369" s="39">
        <f t="shared" ca="1" si="1276"/>
        <v>-10.996485975582132</v>
      </c>
      <c r="AV369" s="39">
        <f t="shared" ca="1" si="1276"/>
        <v>-14.93579976838847</v>
      </c>
      <c r="AW369" s="39">
        <f t="shared" ca="1" si="1276"/>
        <v>-8.670137531738078</v>
      </c>
      <c r="AX369" s="39">
        <f t="shared" ca="1" si="1276"/>
        <v>-7.3774887733517005</v>
      </c>
      <c r="AY369" s="39">
        <f t="shared" ca="1" si="1276"/>
        <v>-3.9767235672799117</v>
      </c>
      <c r="AZ369" s="39"/>
      <c r="BA369" s="10"/>
      <c r="BB369" s="10"/>
      <c r="BC369" s="10"/>
      <c r="BD369" s="10"/>
      <c r="BE369" s="10"/>
      <c r="BF369" s="10"/>
      <c r="BG369" s="10"/>
      <c r="BH369" s="10"/>
      <c r="BI369" s="10"/>
      <c r="BJ369" s="10"/>
      <c r="BK369" s="10"/>
      <c r="BL369" s="10"/>
      <c r="BM369" s="10"/>
      <c r="BN369" s="10"/>
    </row>
    <row r="370" spans="2:75">
      <c r="B370" t="s">
        <v>159</v>
      </c>
      <c r="D370" s="39"/>
      <c r="E370" s="39"/>
      <c r="F370" s="39"/>
      <c r="G370" s="39"/>
      <c r="I370" s="10"/>
      <c r="J370" s="10"/>
      <c r="K370" s="10">
        <f t="shared" ref="K370:R370" si="1277">+SUM(K368:K369)</f>
        <v>-14.213999999999999</v>
      </c>
      <c r="L370" s="10">
        <f t="shared" si="1277"/>
        <v>9.9400000000000102</v>
      </c>
      <c r="M370" s="10">
        <f t="shared" si="1277"/>
        <v>10.132000000000003</v>
      </c>
      <c r="N370" s="10">
        <f t="shared" si="1277"/>
        <v>-0.31100000000001593</v>
      </c>
      <c r="O370" s="10">
        <f t="shared" si="1277"/>
        <v>12.904999999999964</v>
      </c>
      <c r="P370" s="10">
        <f t="shared" si="1277"/>
        <v>6.5559999999999707</v>
      </c>
      <c r="Q370" s="10">
        <f t="shared" si="1277"/>
        <v>-95.724000000000004</v>
      </c>
      <c r="R370" s="10">
        <f t="shared" si="1277"/>
        <v>13.559999999999986</v>
      </c>
      <c r="S370" s="10">
        <f t="shared" ref="S370:X370" si="1278">+SUM(S368:S369)</f>
        <v>138.125</v>
      </c>
      <c r="T370" s="10">
        <f t="shared" si="1278"/>
        <v>12.309000000000031</v>
      </c>
      <c r="U370" s="10">
        <f t="shared" si="1278"/>
        <v>-260.10299999999995</v>
      </c>
      <c r="V370" s="10">
        <f t="shared" si="1278"/>
        <v>14.861000000000015</v>
      </c>
      <c r="W370" s="10">
        <f t="shared" si="1278"/>
        <v>471.48599999999993</v>
      </c>
      <c r="X370" s="10">
        <f t="shared" si="1278"/>
        <v>20.507000000000001</v>
      </c>
      <c r="Y370" s="10">
        <f>+SUM(Y368:Y369)</f>
        <v>6.3119999999999834</v>
      </c>
      <c r="Z370" s="10">
        <f>+SUM(Z368:Z369)</f>
        <v>35.874999999999972</v>
      </c>
      <c r="AA370" s="10">
        <f>+SUM(AA368:AA369)</f>
        <v>943.25699999999995</v>
      </c>
      <c r="AB370" s="10">
        <f t="shared" ref="AB370:AM370" ca="1" si="1279">+SUM(AB368:AB369)</f>
        <v>18.319303567399707</v>
      </c>
      <c r="AC370" s="10">
        <f t="shared" ca="1" si="1279"/>
        <v>-53.245486272246829</v>
      </c>
      <c r="AD370" s="10">
        <f t="shared" ca="1" si="1279"/>
        <v>-63.43623996149423</v>
      </c>
      <c r="AE370" s="10">
        <f t="shared" ca="1" si="1279"/>
        <v>-63.124089014604628</v>
      </c>
      <c r="AF370" s="10">
        <f t="shared" ca="1" si="1279"/>
        <v>-15.037770836364793</v>
      </c>
      <c r="AG370" s="10">
        <f t="shared" ca="1" si="1279"/>
        <v>-13.636800190984911</v>
      </c>
      <c r="AH370" s="10">
        <f t="shared" ca="1" si="1279"/>
        <v>-10.187471988664797</v>
      </c>
      <c r="AI370" s="10">
        <f t="shared" ca="1" si="1279"/>
        <v>-4.9401389231886768</v>
      </c>
      <c r="AJ370" s="10">
        <f t="shared" ca="1" si="1279"/>
        <v>-1.525508234175998</v>
      </c>
      <c r="AK370" s="10">
        <f t="shared" ca="1" si="1279"/>
        <v>0.75105330325538233</v>
      </c>
      <c r="AL370" s="10">
        <f t="shared" ca="1" si="1279"/>
        <v>5.114745479531134</v>
      </c>
      <c r="AM370" s="10">
        <f t="shared" ca="1" si="1279"/>
        <v>7.5714485080877907</v>
      </c>
      <c r="AN370" s="10">
        <f t="shared" ref="AN370:AY370" ca="1" si="1280">+SUM(AN368:AN369)</f>
        <v>7.8922779141892008</v>
      </c>
      <c r="AO370" s="10">
        <f t="shared" ca="1" si="1280"/>
        <v>4.221083399889956</v>
      </c>
      <c r="AP370" s="10">
        <f t="shared" ca="1" si="1280"/>
        <v>5.1630472547349164</v>
      </c>
      <c r="AQ370" s="10">
        <f t="shared" ca="1" si="1280"/>
        <v>7.9171945530782075</v>
      </c>
      <c r="AR370" s="10">
        <f t="shared" ca="1" si="1280"/>
        <v>8.2342902747893234</v>
      </c>
      <c r="AS370" s="10">
        <f t="shared" ca="1" si="1280"/>
        <v>1.9105453455793509</v>
      </c>
      <c r="AT370" s="10">
        <f t="shared" ca="1" si="1280"/>
        <v>-472.98761794978515</v>
      </c>
      <c r="AU370" s="10">
        <f t="shared" ca="1" si="1280"/>
        <v>4.0035140244179246</v>
      </c>
      <c r="AV370" s="10">
        <f t="shared" ca="1" si="1280"/>
        <v>239.06771425602943</v>
      </c>
      <c r="AW370" s="10">
        <f t="shared" ca="1" si="1280"/>
        <v>230.39757672429124</v>
      </c>
      <c r="AX370" s="10">
        <f t="shared" ca="1" si="1280"/>
        <v>223.02008795093971</v>
      </c>
      <c r="AY370" s="10">
        <f t="shared" ca="1" si="1280"/>
        <v>219.04336438365968</v>
      </c>
      <c r="AZ370" s="39"/>
      <c r="BA370" s="10"/>
      <c r="BB370" s="10"/>
      <c r="BC370" s="10"/>
      <c r="BD370" s="10"/>
      <c r="BE370" s="10"/>
      <c r="BF370" s="10"/>
      <c r="BG370" s="10"/>
      <c r="BH370" s="10"/>
      <c r="BI370" s="10"/>
      <c r="BJ370" s="10"/>
      <c r="BK370" s="10"/>
      <c r="BL370" s="10"/>
      <c r="BM370" s="10"/>
      <c r="BN370" s="10"/>
    </row>
    <row r="371" spans="2:75">
      <c r="D371" s="22"/>
      <c r="E371" s="22"/>
      <c r="F371" s="22"/>
      <c r="G371" s="22"/>
      <c r="K371" s="10"/>
      <c r="L371" s="10"/>
      <c r="M371" s="10"/>
      <c r="N371" s="10"/>
      <c r="O371" s="10"/>
      <c r="P371" s="10"/>
      <c r="Q371" s="10"/>
      <c r="R371" s="10"/>
      <c r="S371" s="10"/>
      <c r="T371" s="10"/>
      <c r="U371" s="10"/>
      <c r="V371" s="10"/>
      <c r="W371" s="10"/>
      <c r="X371" s="10"/>
      <c r="Y371" s="10"/>
      <c r="Z371" s="10"/>
      <c r="AA371" s="10"/>
      <c r="BA371"/>
    </row>
    <row r="372" spans="2:75">
      <c r="B372" t="s">
        <v>150</v>
      </c>
      <c r="D372" s="22"/>
      <c r="E372" s="22"/>
      <c r="F372" s="22"/>
      <c r="G372" s="22"/>
      <c r="K372" s="10">
        <f>+IF(K370&lt;$C$364,K370-$C$364,0)</f>
        <v>-14.213999999999999</v>
      </c>
      <c r="L372" s="10">
        <f t="shared" ref="L372:T372" si="1281">+IF(L370&lt;$C$367,L370-$C$367,0)</f>
        <v>-5.0599999999999898</v>
      </c>
      <c r="M372" s="10">
        <f t="shared" si="1281"/>
        <v>-4.8679999999999968</v>
      </c>
      <c r="N372" s="10">
        <f t="shared" si="1281"/>
        <v>-15.311000000000016</v>
      </c>
      <c r="O372" s="10">
        <f t="shared" si="1281"/>
        <v>-2.0950000000000362</v>
      </c>
      <c r="P372" s="10">
        <f t="shared" si="1281"/>
        <v>-8.4440000000000293</v>
      </c>
      <c r="Q372" s="10">
        <f t="shared" si="1281"/>
        <v>-110.724</v>
      </c>
      <c r="R372" s="10">
        <f t="shared" si="1281"/>
        <v>-1.4400000000000137</v>
      </c>
      <c r="S372" s="10">
        <f t="shared" si="1281"/>
        <v>0</v>
      </c>
      <c r="T372" s="10">
        <f t="shared" si="1281"/>
        <v>-2.6909999999999688</v>
      </c>
      <c r="U372" s="10">
        <f t="shared" ref="U372:Z372" si="1282">+IF(U370&lt;$C$367,U370-$C$367,0)</f>
        <v>-275.10299999999995</v>
      </c>
      <c r="V372" s="10">
        <f t="shared" si="1282"/>
        <v>-0.13899999999998514</v>
      </c>
      <c r="W372" s="10">
        <f t="shared" si="1282"/>
        <v>0</v>
      </c>
      <c r="X372" s="10">
        <f t="shared" si="1282"/>
        <v>0</v>
      </c>
      <c r="Y372" s="10">
        <f t="shared" si="1282"/>
        <v>-8.6880000000000166</v>
      </c>
      <c r="Z372" s="10">
        <f t="shared" si="1282"/>
        <v>0</v>
      </c>
      <c r="AA372" s="10">
        <f t="shared" ref="AA372" si="1283">+IF(AA370&lt;$C$367,AA370-$C$367,0)</f>
        <v>0</v>
      </c>
      <c r="AB372" s="10">
        <f t="shared" ref="AB372:AL372" ca="1" si="1284">+IF(AB370&lt;$C$367,AB370-$C$367,0)</f>
        <v>0</v>
      </c>
      <c r="AC372" s="10">
        <f t="shared" ca="1" si="1284"/>
        <v>-68.245486272246836</v>
      </c>
      <c r="AD372" s="10">
        <f t="shared" ca="1" si="1284"/>
        <v>-78.436239961494238</v>
      </c>
      <c r="AE372" s="10">
        <f t="shared" ca="1" si="1284"/>
        <v>-78.124089014604635</v>
      </c>
      <c r="AF372" s="10">
        <f ca="1">+IF(AF370&lt;$C$367,AF370-$C$367,0)</f>
        <v>-30.037770836364793</v>
      </c>
      <c r="AG372" s="10">
        <f ca="1">+IF(AG370&lt;$C$367,AG370-$C$367,0)</f>
        <v>-28.636800190984911</v>
      </c>
      <c r="AH372" s="10">
        <f t="shared" ca="1" si="1284"/>
        <v>-25.187471988664797</v>
      </c>
      <c r="AI372" s="10">
        <f t="shared" ca="1" si="1284"/>
        <v>-19.940138923188677</v>
      </c>
      <c r="AJ372" s="10">
        <f t="shared" ca="1" si="1284"/>
        <v>-16.525508234175998</v>
      </c>
      <c r="AK372" s="10">
        <f t="shared" ca="1" si="1284"/>
        <v>-14.248946696744618</v>
      </c>
      <c r="AL372" s="10">
        <f t="shared" ca="1" si="1284"/>
        <v>-9.885254520468866</v>
      </c>
      <c r="AM372" s="10">
        <f ca="1">+IF(AM370&lt;$C$367,AM370-$C$367,0)</f>
        <v>-7.4285514919122093</v>
      </c>
      <c r="AN372" s="10">
        <f t="shared" ref="AN372:AY372" ca="1" si="1285">+IF(AN370&lt;$C$367,AN370-$C$367,0)</f>
        <v>-7.1077220858107992</v>
      </c>
      <c r="AO372" s="10">
        <f t="shared" ca="1" si="1285"/>
        <v>-10.778916600110044</v>
      </c>
      <c r="AP372" s="10">
        <f t="shared" ca="1" si="1285"/>
        <v>-9.8369527452650836</v>
      </c>
      <c r="AQ372" s="10">
        <f t="shared" ca="1" si="1285"/>
        <v>-7.0828054469217925</v>
      </c>
      <c r="AR372" s="10">
        <f t="shared" ca="1" si="1285"/>
        <v>-6.7657097252106766</v>
      </c>
      <c r="AS372" s="10">
        <f t="shared" ca="1" si="1285"/>
        <v>-13.089454654420649</v>
      </c>
      <c r="AT372" s="10">
        <f t="shared" ca="1" si="1285"/>
        <v>-487.98761794978515</v>
      </c>
      <c r="AU372" s="10">
        <f t="shared" ca="1" si="1285"/>
        <v>-10.996485975582075</v>
      </c>
      <c r="AV372" s="10">
        <f t="shared" ca="1" si="1285"/>
        <v>0</v>
      </c>
      <c r="AW372" s="10">
        <f t="shared" ca="1" si="1285"/>
        <v>0</v>
      </c>
      <c r="AX372" s="10">
        <f t="shared" ca="1" si="1285"/>
        <v>0</v>
      </c>
      <c r="AY372" s="10">
        <f t="shared" ca="1" si="1285"/>
        <v>0</v>
      </c>
      <c r="AZ372" s="39"/>
      <c r="BA372" s="10"/>
      <c r="BB372" s="10"/>
      <c r="BC372" s="10"/>
      <c r="BD372" s="10"/>
      <c r="BE372" s="10"/>
      <c r="BF372" s="10"/>
      <c r="BG372" s="10"/>
      <c r="BH372" s="10"/>
      <c r="BI372" s="10"/>
      <c r="BJ372" s="10"/>
      <c r="BK372" s="10"/>
      <c r="BL372" s="10"/>
      <c r="BM372" s="10"/>
      <c r="BN372" s="10"/>
    </row>
    <row r="373" spans="2:75">
      <c r="B373" t="s">
        <v>151</v>
      </c>
      <c r="D373" s="22"/>
      <c r="E373" s="22"/>
      <c r="F373" s="22"/>
      <c r="G373" s="22"/>
      <c r="K373" s="10">
        <f t="shared" ref="K373:AA373" si="1286">+J440</f>
        <v>295</v>
      </c>
      <c r="L373" s="10">
        <f t="shared" si="1286"/>
        <v>31.5</v>
      </c>
      <c r="M373" s="10">
        <f t="shared" si="1286"/>
        <v>89.5</v>
      </c>
      <c r="N373" s="10">
        <f t="shared" si="1286"/>
        <v>214</v>
      </c>
      <c r="O373" s="10">
        <f t="shared" si="1286"/>
        <v>47</v>
      </c>
      <c r="P373" s="10">
        <f t="shared" si="1286"/>
        <v>139.83799999999999</v>
      </c>
      <c r="Q373" s="10">
        <f t="shared" si="1286"/>
        <v>40</v>
      </c>
      <c r="R373" s="10">
        <f t="shared" si="1286"/>
        <v>230</v>
      </c>
      <c r="S373" s="10">
        <f t="shared" si="1286"/>
        <v>300</v>
      </c>
      <c r="T373" s="10">
        <f t="shared" si="1286"/>
        <v>224.00200000000001</v>
      </c>
      <c r="U373" s="10">
        <f t="shared" si="1286"/>
        <v>310</v>
      </c>
      <c r="V373" s="10">
        <f t="shared" si="1286"/>
        <v>196</v>
      </c>
      <c r="W373" s="10">
        <f t="shared" si="1286"/>
        <v>232</v>
      </c>
      <c r="X373" s="10">
        <f t="shared" si="1286"/>
        <v>139</v>
      </c>
      <c r="Y373" s="10">
        <f t="shared" si="1286"/>
        <v>206</v>
      </c>
      <c r="Z373" s="10">
        <f t="shared" si="1286"/>
        <v>248</v>
      </c>
      <c r="AA373" s="10">
        <f t="shared" si="1286"/>
        <v>279</v>
      </c>
      <c r="AB373" s="10">
        <f t="shared" ref="AB373:AM373" si="1287">+AA440</f>
        <v>350</v>
      </c>
      <c r="AC373" s="10">
        <f t="shared" ca="1" si="1287"/>
        <v>350</v>
      </c>
      <c r="AD373" s="10">
        <f t="shared" ca="1" si="1287"/>
        <v>418.24548627224681</v>
      </c>
      <c r="AE373" s="10">
        <f ca="1">+AD440</f>
        <v>496.68172623374107</v>
      </c>
      <c r="AF373" s="10">
        <f t="shared" ca="1" si="1287"/>
        <v>574.80581524834565</v>
      </c>
      <c r="AG373" s="10">
        <f t="shared" ca="1" si="1287"/>
        <v>604.84358608471041</v>
      </c>
      <c r="AH373" s="10">
        <f t="shared" ca="1" si="1287"/>
        <v>633.48038627569531</v>
      </c>
      <c r="AI373" s="10">
        <f t="shared" ca="1" si="1287"/>
        <v>658.66785826436012</v>
      </c>
      <c r="AJ373" s="10">
        <f t="shared" ca="1" si="1287"/>
        <v>678.60799718754879</v>
      </c>
      <c r="AK373" s="10">
        <f t="shared" ca="1" si="1287"/>
        <v>695.13350542172475</v>
      </c>
      <c r="AL373" s="10">
        <f t="shared" ca="1" si="1287"/>
        <v>709.38245211846936</v>
      </c>
      <c r="AM373" s="10">
        <f t="shared" ca="1" si="1287"/>
        <v>719.26770663893819</v>
      </c>
      <c r="AN373" s="10">
        <f t="shared" ref="AN373" ca="1" si="1288">+AM440</f>
        <v>726.69625813085042</v>
      </c>
      <c r="AO373" s="10">
        <f t="shared" ref="AO373" ca="1" si="1289">+AN440</f>
        <v>733.80398021666122</v>
      </c>
      <c r="AP373" s="10">
        <f t="shared" ref="AP373" ca="1" si="1290">+AO440</f>
        <v>744.58289681677127</v>
      </c>
      <c r="AQ373" s="10">
        <f t="shared" ref="AQ373" ca="1" si="1291">+AP440</f>
        <v>754.41984956203635</v>
      </c>
      <c r="AR373" s="10">
        <f t="shared" ref="AR373" ca="1" si="1292">+AQ440</f>
        <v>761.50265500895819</v>
      </c>
      <c r="AS373" s="10">
        <f t="shared" ref="AS373" ca="1" si="1293">+AR440</f>
        <v>768.26836473416881</v>
      </c>
      <c r="AT373" s="10">
        <f t="shared" ref="AT373" ca="1" si="1294">+AS440</f>
        <v>781.35781938858941</v>
      </c>
      <c r="AU373" s="10">
        <f t="shared" ref="AU373" ca="1" si="1295">+AT440</f>
        <v>820</v>
      </c>
      <c r="AV373" s="10">
        <f t="shared" ref="AV373" ca="1" si="1296">+AU440</f>
        <v>820</v>
      </c>
      <c r="AW373" s="10">
        <f t="shared" ref="AW373" ca="1" si="1297">+AV440</f>
        <v>820</v>
      </c>
      <c r="AX373" s="10">
        <f t="shared" ref="AX373" ca="1" si="1298">+AW440</f>
        <v>820</v>
      </c>
      <c r="AY373" s="10">
        <f t="shared" ref="AY373" ca="1" si="1299">+AX440</f>
        <v>820</v>
      </c>
      <c r="AZ373" s="39"/>
      <c r="BA373" s="10"/>
      <c r="BB373" s="10"/>
      <c r="BC373" s="10"/>
      <c r="BD373" s="10"/>
      <c r="BE373" s="10"/>
      <c r="BF373" s="10"/>
      <c r="BG373" s="10"/>
      <c r="BH373" s="10"/>
      <c r="BI373" s="10"/>
      <c r="BJ373" s="10"/>
      <c r="BK373" s="10"/>
      <c r="BL373" s="10"/>
      <c r="BM373" s="10"/>
      <c r="BN373" s="10"/>
    </row>
    <row r="374" spans="2:75">
      <c r="B374" t="s">
        <v>152</v>
      </c>
      <c r="C374" s="29">
        <v>820</v>
      </c>
      <c r="D374" s="22"/>
      <c r="E374" s="22"/>
      <c r="F374" s="22"/>
      <c r="G374" s="22"/>
      <c r="K374" s="10">
        <f t="shared" ref="K374:AY374" si="1300">+IF($C$434&lt;K$1,0,IF(K372=0,0,IF(AND(K373&lt;$C374,($C374-K373)&gt;-K372),-K372,$C374-K373)))</f>
        <v>14.213999999999999</v>
      </c>
      <c r="L374" s="10">
        <f t="shared" si="1300"/>
        <v>5.0599999999999898</v>
      </c>
      <c r="M374" s="10">
        <f t="shared" si="1300"/>
        <v>4.8679999999999968</v>
      </c>
      <c r="N374" s="10">
        <f t="shared" si="1300"/>
        <v>15.311000000000016</v>
      </c>
      <c r="O374" s="10">
        <f t="shared" si="1300"/>
        <v>2.0950000000000362</v>
      </c>
      <c r="P374" s="10">
        <f t="shared" si="1300"/>
        <v>8.4440000000000293</v>
      </c>
      <c r="Q374" s="10">
        <f t="shared" si="1300"/>
        <v>110.724</v>
      </c>
      <c r="R374" s="10">
        <f t="shared" si="1300"/>
        <v>1.4400000000000137</v>
      </c>
      <c r="S374" s="10">
        <f t="shared" si="1300"/>
        <v>0</v>
      </c>
      <c r="T374" s="10">
        <f t="shared" si="1300"/>
        <v>2.6909999999999688</v>
      </c>
      <c r="U374" s="10">
        <f t="shared" si="1300"/>
        <v>275.10299999999995</v>
      </c>
      <c r="V374" s="10">
        <f t="shared" si="1300"/>
        <v>0.13899999999998514</v>
      </c>
      <c r="W374" s="10">
        <f t="shared" si="1300"/>
        <v>0</v>
      </c>
      <c r="X374" s="10">
        <f t="shared" si="1300"/>
        <v>0</v>
      </c>
      <c r="Y374" s="10">
        <f t="shared" si="1300"/>
        <v>8.6880000000000166</v>
      </c>
      <c r="Z374" s="10">
        <f t="shared" si="1300"/>
        <v>0</v>
      </c>
      <c r="AA374" s="10">
        <f t="shared" si="1300"/>
        <v>0</v>
      </c>
      <c r="AB374" s="10">
        <f t="shared" ca="1" si="1300"/>
        <v>0</v>
      </c>
      <c r="AC374" s="10">
        <f t="shared" ca="1" si="1300"/>
        <v>68.245486272246836</v>
      </c>
      <c r="AD374" s="10">
        <f t="shared" ca="1" si="1300"/>
        <v>78.436239961494238</v>
      </c>
      <c r="AE374" s="10">
        <f t="shared" ca="1" si="1300"/>
        <v>78.124089014604635</v>
      </c>
      <c r="AF374" s="10">
        <f t="shared" ca="1" si="1300"/>
        <v>30.037770836364793</v>
      </c>
      <c r="AG374" s="10">
        <f t="shared" ca="1" si="1300"/>
        <v>28.636800190984911</v>
      </c>
      <c r="AH374" s="10">
        <f t="shared" ca="1" si="1300"/>
        <v>25.187471988664797</v>
      </c>
      <c r="AI374" s="10">
        <f t="shared" ca="1" si="1300"/>
        <v>19.940138923188677</v>
      </c>
      <c r="AJ374" s="10">
        <f t="shared" ca="1" si="1300"/>
        <v>16.525508234175998</v>
      </c>
      <c r="AK374" s="10">
        <f t="shared" ca="1" si="1300"/>
        <v>14.248946696744618</v>
      </c>
      <c r="AL374" s="10">
        <f t="shared" ca="1" si="1300"/>
        <v>9.885254520468866</v>
      </c>
      <c r="AM374" s="10">
        <f t="shared" ca="1" si="1300"/>
        <v>7.4285514919122093</v>
      </c>
      <c r="AN374" s="10">
        <f t="shared" ca="1" si="1300"/>
        <v>7.1077220858107992</v>
      </c>
      <c r="AO374" s="10">
        <f t="shared" ca="1" si="1300"/>
        <v>10.778916600110044</v>
      </c>
      <c r="AP374" s="10">
        <f t="shared" ca="1" si="1300"/>
        <v>9.8369527452650836</v>
      </c>
      <c r="AQ374" s="10">
        <f t="shared" ca="1" si="1300"/>
        <v>7.0828054469217925</v>
      </c>
      <c r="AR374" s="10">
        <f t="shared" ca="1" si="1300"/>
        <v>6.7657097252106766</v>
      </c>
      <c r="AS374" s="10">
        <f t="shared" ca="1" si="1300"/>
        <v>13.089454654420649</v>
      </c>
      <c r="AT374" s="10">
        <f t="shared" ca="1" si="1300"/>
        <v>38.642180611410595</v>
      </c>
      <c r="AU374" s="10">
        <f t="shared" ca="1" si="1300"/>
        <v>0</v>
      </c>
      <c r="AV374" s="10">
        <f t="shared" ca="1" si="1300"/>
        <v>0</v>
      </c>
      <c r="AW374" s="10">
        <f t="shared" ca="1" si="1300"/>
        <v>0</v>
      </c>
      <c r="AX374" s="10">
        <f t="shared" ca="1" si="1300"/>
        <v>0</v>
      </c>
      <c r="AY374" s="10">
        <f t="shared" ca="1" si="1300"/>
        <v>0</v>
      </c>
      <c r="AZ374" s="39"/>
      <c r="BA374" s="10"/>
      <c r="BB374" s="10"/>
      <c r="BC374" s="10"/>
      <c r="BD374" s="10"/>
      <c r="BE374" s="10"/>
      <c r="BF374" s="10"/>
      <c r="BG374" s="10"/>
      <c r="BH374" s="10"/>
      <c r="BI374" s="10"/>
      <c r="BJ374" s="10"/>
      <c r="BK374" s="10"/>
      <c r="BL374" s="10"/>
      <c r="BM374" s="10"/>
      <c r="BN374" s="10"/>
    </row>
    <row r="375" spans="2:75">
      <c r="D375" s="22"/>
      <c r="E375" s="22"/>
      <c r="F375" s="22"/>
      <c r="G375" s="22"/>
      <c r="BA375"/>
    </row>
    <row r="376" spans="2:75" s="11" customFormat="1">
      <c r="B376" s="11" t="s">
        <v>165</v>
      </c>
      <c r="C376" s="29">
        <v>250</v>
      </c>
      <c r="D376" s="53"/>
      <c r="E376" s="53"/>
      <c r="F376" s="53"/>
      <c r="G376" s="53"/>
      <c r="K376" s="51">
        <f>+K364</f>
        <v>277.10000000000002</v>
      </c>
      <c r="L376" s="44">
        <f>+IF(L374=-L372,0,-(L372+L374))</f>
        <v>0</v>
      </c>
      <c r="M376" s="44">
        <f>+IF(M374=-M372,0,-(M372+M374))</f>
        <v>0</v>
      </c>
      <c r="N376" s="44">
        <f>+IF(N374=-N372,0,-(N372+N374))</f>
        <v>0</v>
      </c>
      <c r="O376" s="44">
        <f>+IF(O374=-O372,0,-(O372+O374))</f>
        <v>0</v>
      </c>
      <c r="P376" s="44">
        <f>+IF(P374=-P372,0,-(P372+P374))</f>
        <v>0</v>
      </c>
      <c r="Q376" s="7">
        <v>203.7</v>
      </c>
      <c r="R376" s="44">
        <f>+IF(R374=-R372,0,-(R372+R374))</f>
        <v>0</v>
      </c>
      <c r="S376" s="44">
        <f>+IF(S374=-S372,0,-(S372+S374))</f>
        <v>0</v>
      </c>
      <c r="T376" s="44">
        <f>+IF(T374=-T372,0,-(T372+T374))</f>
        <v>0</v>
      </c>
      <c r="U376" s="7">
        <v>276.10000000000002</v>
      </c>
      <c r="V376" s="44">
        <f>+IF(V374=-V372,0,MAX(-V372-V374,$C$376))</f>
        <v>0</v>
      </c>
      <c r="W376" s="44">
        <f>+IF(W374=-W372,0,MAX(-W372-W374,$C$376))</f>
        <v>0</v>
      </c>
      <c r="X376" s="44">
        <f>+X236</f>
        <v>0</v>
      </c>
      <c r="Y376" s="44">
        <f>+Y236</f>
        <v>39.011000000000003</v>
      </c>
      <c r="Z376" s="44">
        <f>+Z236</f>
        <v>53.600999999999992</v>
      </c>
      <c r="AA376" s="44">
        <f>+AA236</f>
        <v>15.184000000000005</v>
      </c>
      <c r="AB376" s="44">
        <f t="shared" ref="AB376:AM376" ca="1" si="1301">+IF(AB374=-AB372,0,MAX(-AB372-AB374,$C$376))</f>
        <v>0</v>
      </c>
      <c r="AC376" s="44">
        <f t="shared" ca="1" si="1301"/>
        <v>0</v>
      </c>
      <c r="AD376" s="44">
        <f t="shared" ca="1" si="1301"/>
        <v>0</v>
      </c>
      <c r="AE376" s="44">
        <f t="shared" ca="1" si="1301"/>
        <v>0</v>
      </c>
      <c r="AF376" s="44">
        <f t="shared" ca="1" si="1301"/>
        <v>0</v>
      </c>
      <c r="AG376" s="44">
        <f t="shared" ca="1" si="1301"/>
        <v>0</v>
      </c>
      <c r="AH376" s="44">
        <f t="shared" ca="1" si="1301"/>
        <v>0</v>
      </c>
      <c r="AI376" s="44">
        <f t="shared" ca="1" si="1301"/>
        <v>0</v>
      </c>
      <c r="AJ376" s="44">
        <f t="shared" ca="1" si="1301"/>
        <v>0</v>
      </c>
      <c r="AK376" s="44">
        <f t="shared" ca="1" si="1301"/>
        <v>0</v>
      </c>
      <c r="AL376" s="44">
        <f t="shared" ca="1" si="1301"/>
        <v>0</v>
      </c>
      <c r="AM376" s="44">
        <f t="shared" ca="1" si="1301"/>
        <v>0</v>
      </c>
      <c r="AN376" s="44">
        <f t="shared" ref="AN376:AY376" ca="1" si="1302">+IF(AN374=-AN372,0,MAX(-AN372-AN374,$C$376))</f>
        <v>0</v>
      </c>
      <c r="AO376" s="44">
        <f t="shared" ca="1" si="1302"/>
        <v>0</v>
      </c>
      <c r="AP376" s="44">
        <f t="shared" ca="1" si="1302"/>
        <v>0</v>
      </c>
      <c r="AQ376" s="44">
        <f t="shared" ca="1" si="1302"/>
        <v>0</v>
      </c>
      <c r="AR376" s="44">
        <f t="shared" ca="1" si="1302"/>
        <v>0</v>
      </c>
      <c r="AS376" s="44">
        <f t="shared" ca="1" si="1302"/>
        <v>0</v>
      </c>
      <c r="AT376" s="44">
        <f t="shared" ca="1" si="1302"/>
        <v>449.34543733837455</v>
      </c>
      <c r="AU376" s="44">
        <f t="shared" ca="1" si="1302"/>
        <v>250</v>
      </c>
      <c r="AV376" s="44">
        <f t="shared" ca="1" si="1302"/>
        <v>0</v>
      </c>
      <c r="AW376" s="44">
        <f t="shared" ca="1" si="1302"/>
        <v>0</v>
      </c>
      <c r="AX376" s="44">
        <f t="shared" ca="1" si="1302"/>
        <v>0</v>
      </c>
      <c r="AY376" s="44">
        <f t="shared" ca="1" si="1302"/>
        <v>0</v>
      </c>
      <c r="AZ376" s="70"/>
      <c r="BA376" s="44"/>
      <c r="BB376" s="44"/>
      <c r="BC376" s="235">
        <f>$BC$236</f>
        <v>91.935000000000002</v>
      </c>
      <c r="BD376" s="44">
        <f>+SUM(H376:K376)</f>
        <v>277.10000000000002</v>
      </c>
      <c r="BE376" s="44">
        <f>+SUM(L376:O376)</f>
        <v>0</v>
      </c>
      <c r="BF376" s="44">
        <f>+SUM(P376:S376)</f>
        <v>203.7</v>
      </c>
      <c r="BG376" s="44">
        <f>+SUM(T376:W376)</f>
        <v>276.10000000000002</v>
      </c>
      <c r="BH376" s="44">
        <f>+SUM(X376:AA376)</f>
        <v>107.79599999999999</v>
      </c>
      <c r="BI376" s="44">
        <f ca="1">+SUM(AB376:AE376)</f>
        <v>0</v>
      </c>
      <c r="BJ376" s="44">
        <f ca="1">+SUM(AF376:AI376)</f>
        <v>0</v>
      </c>
      <c r="BK376" s="44">
        <f ca="1">+SUM(AJ376:AM376)</f>
        <v>0</v>
      </c>
      <c r="BL376" s="44">
        <f ca="1">+SUM(AN376:AQ376)</f>
        <v>0</v>
      </c>
      <c r="BM376" s="44">
        <f ca="1">+SUM(AR376:AU376)</f>
        <v>699.3454373383745</v>
      </c>
      <c r="BN376" s="44">
        <f ca="1">+SUM(AV376:AY376)</f>
        <v>0</v>
      </c>
      <c r="BO376" s="53"/>
      <c r="BQ376" s="232"/>
      <c r="BR376"/>
      <c r="BS376"/>
      <c r="BT376"/>
      <c r="BU376"/>
      <c r="BV376"/>
      <c r="BW376"/>
    </row>
    <row r="377" spans="2:75" s="11" customFormat="1">
      <c r="B377" s="11" t="s">
        <v>166</v>
      </c>
      <c r="C377" s="17">
        <v>0.08</v>
      </c>
      <c r="D377" s="53"/>
      <c r="E377" s="53"/>
      <c r="F377" s="53"/>
      <c r="G377" s="53"/>
      <c r="K377" s="41">
        <f t="shared" ref="K377:P377" si="1303">+K386*K387</f>
        <v>295.83750000000003</v>
      </c>
      <c r="L377" s="41">
        <f t="shared" si="1303"/>
        <v>0</v>
      </c>
      <c r="M377" s="41">
        <f t="shared" si="1303"/>
        <v>0</v>
      </c>
      <c r="N377" s="41">
        <f t="shared" si="1303"/>
        <v>0</v>
      </c>
      <c r="O377" s="41">
        <f t="shared" si="1303"/>
        <v>0</v>
      </c>
      <c r="P377" s="41">
        <f t="shared" si="1303"/>
        <v>173.75</v>
      </c>
      <c r="Q377" s="41">
        <f>+Q386*Q387</f>
        <v>212.75</v>
      </c>
      <c r="R377" s="41">
        <f t="shared" ref="R377:W377" si="1304">+R376/(1-$C$377)</f>
        <v>0</v>
      </c>
      <c r="S377" s="41">
        <f t="shared" si="1304"/>
        <v>0</v>
      </c>
      <c r="T377" s="41">
        <f t="shared" si="1304"/>
        <v>0</v>
      </c>
      <c r="U377" s="41">
        <f t="shared" si="1304"/>
        <v>300.10869565217394</v>
      </c>
      <c r="V377" s="41">
        <f t="shared" si="1304"/>
        <v>0</v>
      </c>
      <c r="W377" s="41">
        <f t="shared" si="1304"/>
        <v>0</v>
      </c>
      <c r="X377" s="41">
        <f>+X376/(1-$C$377)</f>
        <v>0</v>
      </c>
      <c r="Y377" s="41">
        <f>+Y376/(1-$C$377)</f>
        <v>42.403260869565216</v>
      </c>
      <c r="Z377" s="41">
        <f>+Z376/(1-$C$377)</f>
        <v>58.261956521739123</v>
      </c>
      <c r="AA377" s="41">
        <f>+AA376/(1-$C$377)</f>
        <v>16.50434782608696</v>
      </c>
      <c r="AB377" s="41">
        <f t="shared" ref="AB377:AM377" ca="1" si="1305">+AB376/(1-$C$377)</f>
        <v>0</v>
      </c>
      <c r="AC377" s="41">
        <f t="shared" ca="1" si="1305"/>
        <v>0</v>
      </c>
      <c r="AD377" s="41">
        <f t="shared" ca="1" si="1305"/>
        <v>0</v>
      </c>
      <c r="AE377" s="41">
        <f t="shared" ca="1" si="1305"/>
        <v>0</v>
      </c>
      <c r="AF377" s="41">
        <f t="shared" ca="1" si="1305"/>
        <v>0</v>
      </c>
      <c r="AG377" s="41">
        <f t="shared" ca="1" si="1305"/>
        <v>0</v>
      </c>
      <c r="AH377" s="41">
        <f t="shared" ca="1" si="1305"/>
        <v>0</v>
      </c>
      <c r="AI377" s="41">
        <f t="shared" ca="1" si="1305"/>
        <v>0</v>
      </c>
      <c r="AJ377" s="41">
        <f t="shared" ca="1" si="1305"/>
        <v>0</v>
      </c>
      <c r="AK377" s="41">
        <f t="shared" ca="1" si="1305"/>
        <v>0</v>
      </c>
      <c r="AL377" s="41">
        <f t="shared" ca="1" si="1305"/>
        <v>0</v>
      </c>
      <c r="AM377" s="41">
        <f t="shared" ca="1" si="1305"/>
        <v>0</v>
      </c>
      <c r="AN377" s="41">
        <f t="shared" ref="AN377:AY377" ca="1" si="1306">+AN376/(1-$C$377)</f>
        <v>0</v>
      </c>
      <c r="AO377" s="41">
        <f t="shared" ca="1" si="1306"/>
        <v>0</v>
      </c>
      <c r="AP377" s="41">
        <f t="shared" ca="1" si="1306"/>
        <v>0</v>
      </c>
      <c r="AQ377" s="41">
        <f t="shared" ca="1" si="1306"/>
        <v>0</v>
      </c>
      <c r="AR377" s="41">
        <f t="shared" ca="1" si="1306"/>
        <v>0</v>
      </c>
      <c r="AS377" s="41">
        <f t="shared" ca="1" si="1306"/>
        <v>0</v>
      </c>
      <c r="AT377" s="41">
        <f t="shared" ca="1" si="1306"/>
        <v>488.41895362866796</v>
      </c>
      <c r="AU377" s="41">
        <f t="shared" ca="1" si="1306"/>
        <v>271.73913043478262</v>
      </c>
      <c r="AV377" s="41">
        <f t="shared" ca="1" si="1306"/>
        <v>0</v>
      </c>
      <c r="AW377" s="41">
        <f t="shared" ca="1" si="1306"/>
        <v>0</v>
      </c>
      <c r="AX377" s="41">
        <f t="shared" ca="1" si="1306"/>
        <v>0</v>
      </c>
      <c r="AY377" s="41">
        <f t="shared" ca="1" si="1306"/>
        <v>0</v>
      </c>
      <c r="AZ377" s="70"/>
      <c r="BA377" s="41"/>
      <c r="BB377" s="41"/>
      <c r="BC377" s="41"/>
      <c r="BD377" s="41"/>
      <c r="BE377" s="41"/>
      <c r="BF377" s="41"/>
      <c r="BG377" s="41"/>
      <c r="BH377" s="41"/>
      <c r="BI377" s="41"/>
      <c r="BJ377" s="41"/>
      <c r="BK377" s="41"/>
      <c r="BL377" s="41"/>
      <c r="BM377" s="41"/>
      <c r="BN377" s="41"/>
      <c r="BO377" s="53"/>
      <c r="BQ377" s="232"/>
      <c r="BR377"/>
      <c r="BS377"/>
      <c r="BT377"/>
      <c r="BU377"/>
      <c r="BV377"/>
      <c r="BW377"/>
    </row>
    <row r="378" spans="2:75" s="11" customFormat="1">
      <c r="D378" s="53"/>
      <c r="E378" s="53"/>
      <c r="F378" s="53"/>
      <c r="G378" s="53"/>
      <c r="K378" s="51"/>
      <c r="L378" s="51"/>
      <c r="M378" s="51"/>
      <c r="N378" s="51"/>
      <c r="O378" s="51"/>
      <c r="P378" s="51"/>
      <c r="Q378" s="51"/>
      <c r="R378" s="51"/>
      <c r="S378" s="51"/>
      <c r="T378" s="51"/>
      <c r="U378" s="51"/>
      <c r="V378" s="51"/>
      <c r="W378" s="51"/>
      <c r="X378" s="51"/>
      <c r="Y378" s="51"/>
      <c r="Z378" s="51"/>
      <c r="AA378" s="51"/>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70"/>
      <c r="BA378" s="44"/>
      <c r="BB378" s="44"/>
      <c r="BC378" s="44"/>
      <c r="BD378" s="44"/>
      <c r="BE378" s="44"/>
      <c r="BF378" s="44"/>
      <c r="BG378" s="44"/>
      <c r="BH378" s="44"/>
      <c r="BI378" s="44"/>
      <c r="BJ378" s="44"/>
      <c r="BK378" s="44"/>
      <c r="BL378" s="44"/>
      <c r="BM378" s="44"/>
      <c r="BN378" s="44"/>
      <c r="BO378" s="53"/>
      <c r="BQ378" s="232"/>
      <c r="BR378"/>
      <c r="BS378"/>
      <c r="BT378"/>
      <c r="BU378"/>
      <c r="BV378"/>
      <c r="BW378"/>
    </row>
    <row r="379" spans="2:75" s="11" customFormat="1">
      <c r="B379" s="50" t="s">
        <v>160</v>
      </c>
      <c r="D379" s="53"/>
      <c r="E379" s="53"/>
      <c r="F379" s="53"/>
      <c r="G379" s="53"/>
      <c r="K379" s="51"/>
      <c r="L379" s="51"/>
      <c r="M379" s="51"/>
      <c r="N379" s="51"/>
      <c r="O379" s="51"/>
      <c r="P379" s="51"/>
      <c r="Q379" s="51"/>
      <c r="R379" s="51"/>
      <c r="S379" s="51"/>
      <c r="T379" s="51"/>
      <c r="U379" s="51"/>
      <c r="V379" s="51"/>
      <c r="W379" s="51"/>
      <c r="X379" s="51"/>
      <c r="Y379" s="51"/>
      <c r="Z379" s="51"/>
      <c r="AA379" s="51"/>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70"/>
      <c r="BA379" s="44"/>
      <c r="BB379" s="44"/>
      <c r="BC379" s="44"/>
      <c r="BD379" s="44"/>
      <c r="BE379" s="44"/>
      <c r="BF379" s="44"/>
      <c r="BG379" s="44"/>
      <c r="BH379" s="44"/>
      <c r="BI379" s="44"/>
      <c r="BJ379" s="44"/>
      <c r="BK379" s="44"/>
      <c r="BL379" s="44"/>
      <c r="BM379" s="44"/>
      <c r="BN379" s="44"/>
      <c r="BO379" s="53"/>
      <c r="BQ379" s="232"/>
      <c r="BR379"/>
      <c r="BS379"/>
      <c r="BT379"/>
      <c r="BU379"/>
      <c r="BV379"/>
      <c r="BW379"/>
    </row>
    <row r="380" spans="2:75" s="11" customFormat="1">
      <c r="B380" s="327" t="s">
        <v>444</v>
      </c>
      <c r="D380" s="53"/>
      <c r="E380" s="53"/>
      <c r="F380" s="53"/>
      <c r="G380" s="53"/>
      <c r="K380" s="266">
        <f>+J380+K387+K390</f>
        <v>28.972773999999998</v>
      </c>
      <c r="L380" s="287">
        <v>29.016774000000002</v>
      </c>
      <c r="M380" s="287">
        <v>29.016774000000002</v>
      </c>
      <c r="N380" s="287">
        <v>29.016774000000002</v>
      </c>
      <c r="O380" s="287">
        <v>29.055</v>
      </c>
      <c r="P380" s="287">
        <v>31.294488000000001</v>
      </c>
      <c r="Q380" s="287">
        <f>+P380+Q387</f>
        <v>37.044488000000001</v>
      </c>
      <c r="R380" s="287">
        <v>40.994387000000003</v>
      </c>
      <c r="S380" s="287">
        <v>41.168655999999999</v>
      </c>
      <c r="T380" s="287">
        <v>41.292445000000001</v>
      </c>
      <c r="U380" s="287">
        <v>47.783093000000001</v>
      </c>
      <c r="V380" s="287">
        <v>47.854515999999997</v>
      </c>
      <c r="W380" s="287">
        <v>47.853304000000001</v>
      </c>
      <c r="X380" s="287">
        <v>47.908709000000002</v>
      </c>
      <c r="Y380" s="287">
        <v>47.666086</v>
      </c>
      <c r="Z380" s="287">
        <v>49.319102000000001</v>
      </c>
      <c r="AA380" s="287">
        <v>50.492924000000002</v>
      </c>
      <c r="AB380" s="266">
        <f t="shared" ref="AB380:AM380" ca="1" si="1307">+AA380+AB387+AB390</f>
        <v>50.492924000000002</v>
      </c>
      <c r="AC380" s="266">
        <f t="shared" ca="1" si="1307"/>
        <v>50.492924000000002</v>
      </c>
      <c r="AD380" s="266">
        <f t="shared" ca="1" si="1307"/>
        <v>50.492924000000002</v>
      </c>
      <c r="AE380" s="266">
        <f t="shared" ca="1" si="1307"/>
        <v>50.492924000000002</v>
      </c>
      <c r="AF380" s="266">
        <f t="shared" ca="1" si="1307"/>
        <v>50.492924000000002</v>
      </c>
      <c r="AG380" s="266">
        <f t="shared" ca="1" si="1307"/>
        <v>50.492924000000002</v>
      </c>
      <c r="AH380" s="266">
        <f t="shared" ca="1" si="1307"/>
        <v>50.492924000000002</v>
      </c>
      <c r="AI380" s="266">
        <f t="shared" ca="1" si="1307"/>
        <v>50.492924000000002</v>
      </c>
      <c r="AJ380" s="266">
        <f t="shared" ca="1" si="1307"/>
        <v>50.492924000000002</v>
      </c>
      <c r="AK380" s="266">
        <f t="shared" ca="1" si="1307"/>
        <v>50.492924000000002</v>
      </c>
      <c r="AL380" s="266">
        <f t="shared" ca="1" si="1307"/>
        <v>50.492924000000002</v>
      </c>
      <c r="AM380" s="266">
        <f t="shared" ca="1" si="1307"/>
        <v>50.492924000000002</v>
      </c>
      <c r="AN380" s="266">
        <f t="shared" ref="AN380" ca="1" si="1308">+AM380+AN387+AN390</f>
        <v>50.492924000000002</v>
      </c>
      <c r="AO380" s="266">
        <f t="shared" ref="AO380" ca="1" si="1309">+AN380+AO387+AO390</f>
        <v>50.492924000000002</v>
      </c>
      <c r="AP380" s="266">
        <f t="shared" ref="AP380" ca="1" si="1310">+AO380+AP387+AP390</f>
        <v>50.492924000000002</v>
      </c>
      <c r="AQ380" s="266">
        <f t="shared" ref="AQ380" ca="1" si="1311">+AP380+AQ387+AQ390</f>
        <v>50.492924000000002</v>
      </c>
      <c r="AR380" s="266">
        <f t="shared" ref="AR380" ca="1" si="1312">+AQ380+AR387+AR390</f>
        <v>50.492924000000002</v>
      </c>
      <c r="AS380" s="266">
        <f t="shared" ref="AS380" ca="1" si="1313">+AR380+AS387+AS390</f>
        <v>50.492924000000002</v>
      </c>
      <c r="AT380" s="266">
        <f t="shared" ref="AT380" ca="1" si="1314">+AS380+AT387+AT390</f>
        <v>63.693436260234265</v>
      </c>
      <c r="AU380" s="266">
        <f t="shared" ref="AU380" ca="1" si="1315">+AT380+AU387+AU390</f>
        <v>71.037737082795957</v>
      </c>
      <c r="AV380" s="266">
        <f t="shared" ref="AV380" ca="1" si="1316">+AU380+AV387+AV390</f>
        <v>71.037737082795957</v>
      </c>
      <c r="AW380" s="266">
        <f t="shared" ref="AW380" ca="1" si="1317">+AV380+AW387+AW390</f>
        <v>71.037737082795957</v>
      </c>
      <c r="AX380" s="266">
        <f t="shared" ref="AX380" ca="1" si="1318">+AW380+AX387+AX390</f>
        <v>71.037737082795957</v>
      </c>
      <c r="AY380" s="266">
        <f t="shared" ref="AY380" ca="1" si="1319">+AX380+AY387+AY390</f>
        <v>71.037737082795957</v>
      </c>
      <c r="AZ380" s="267"/>
      <c r="BA380" s="266"/>
      <c r="BB380" s="266"/>
      <c r="BC380" s="266"/>
      <c r="BD380" s="266">
        <f>+K380</f>
        <v>28.972773999999998</v>
      </c>
      <c r="BE380" s="266">
        <f>+O380</f>
        <v>29.055</v>
      </c>
      <c r="BF380" s="266">
        <f>+AVERAGE(P380:S380)</f>
        <v>37.625504750000005</v>
      </c>
      <c r="BG380" s="266">
        <f>+AVERAGE(T380:W380)</f>
        <v>46.195839499999998</v>
      </c>
      <c r="BH380" s="266">
        <f>+AVERAGE(X380:AA380)</f>
        <v>48.846705249999999</v>
      </c>
      <c r="BI380" s="266">
        <f ca="1">+AVERAGE(AB380:AE380)</f>
        <v>50.492924000000002</v>
      </c>
      <c r="BJ380" s="266">
        <f ca="1">+AVERAGE(AF380:AI380)</f>
        <v>50.492924000000002</v>
      </c>
      <c r="BK380" s="266">
        <f ca="1">+AVERAGE(AJ380:AM380)</f>
        <v>50.492924000000002</v>
      </c>
      <c r="BL380" s="266">
        <f ca="1">+AVERAGE(AN380:AQ380)</f>
        <v>50.492924000000002</v>
      </c>
      <c r="BM380" s="266">
        <f ca="1">+AVERAGE(AR380:AU380)</f>
        <v>58.92925533575756</v>
      </c>
      <c r="BN380" s="266">
        <f ca="1">+AVERAGE(AV380:AY380)</f>
        <v>71.037737082795957</v>
      </c>
      <c r="BO380" s="53"/>
      <c r="BQ380" s="232"/>
      <c r="BR380"/>
      <c r="BS380"/>
      <c r="BT380"/>
      <c r="BU380"/>
      <c r="BV380"/>
      <c r="BW380"/>
    </row>
    <row r="381" spans="2:75" s="11" customFormat="1">
      <c r="B381" s="327" t="s">
        <v>445</v>
      </c>
      <c r="D381" s="53"/>
      <c r="E381" s="53"/>
      <c r="F381" s="53"/>
      <c r="G381" s="53"/>
      <c r="K381" s="264">
        <f>+J381+K387+K388+K390</f>
        <v>28.973299000000001</v>
      </c>
      <c r="L381" s="263">
        <f>+L380+0.059974</f>
        <v>29.076748000000002</v>
      </c>
      <c r="M381" s="263">
        <f>+M380+0.123173</f>
        <v>29.139947000000003</v>
      </c>
      <c r="N381" s="263">
        <f>+N380+0.145795</f>
        <v>29.162569000000001</v>
      </c>
      <c r="O381" s="263">
        <f>37.134-O382</f>
        <v>29.029836</v>
      </c>
      <c r="P381" s="263">
        <v>39.209226000000001</v>
      </c>
      <c r="Q381" s="263">
        <f>+P381+Q387</f>
        <v>44.959226000000001</v>
      </c>
      <c r="R381" s="263">
        <v>48.733417000000003</v>
      </c>
      <c r="S381" s="263">
        <v>48.829726000000001</v>
      </c>
      <c r="T381" s="263">
        <v>48.973851000000003</v>
      </c>
      <c r="U381" s="263">
        <v>55.574545000000001</v>
      </c>
      <c r="V381" s="263">
        <v>55.687665000000003</v>
      </c>
      <c r="W381" s="263">
        <v>55.572049999999997</v>
      </c>
      <c r="X381" s="263">
        <v>55.620260000000002</v>
      </c>
      <c r="Y381" s="263">
        <v>55.458429000000002</v>
      </c>
      <c r="Z381" s="263">
        <v>56.832853999999998</v>
      </c>
      <c r="AA381" s="263">
        <v>57.784287999999997</v>
      </c>
      <c r="AB381" s="264">
        <f t="shared" ref="AB381:AM381" ca="1" si="1320">+AA381+AB387+AB388+AB390</f>
        <v>57.861352096596477</v>
      </c>
      <c r="AC381" s="264">
        <f t="shared" ca="1" si="1320"/>
        <v>57.939689206124747</v>
      </c>
      <c r="AD381" s="264">
        <f t="shared" ca="1" si="1320"/>
        <v>58.019459009867482</v>
      </c>
      <c r="AE381" s="264">
        <f t="shared" ca="1" si="1320"/>
        <v>58.100173200875751</v>
      </c>
      <c r="AF381" s="264">
        <f t="shared" ca="1" si="1320"/>
        <v>58.181605232624342</v>
      </c>
      <c r="AG381" s="264">
        <f t="shared" ca="1" si="1320"/>
        <v>58.265418629100125</v>
      </c>
      <c r="AH381" s="264">
        <f t="shared" ca="1" si="1320"/>
        <v>58.351529220150333</v>
      </c>
      <c r="AI381" s="264">
        <f t="shared" ca="1" si="1320"/>
        <v>58.439464486252064</v>
      </c>
      <c r="AJ381" s="264">
        <f t="shared" ca="1" si="1320"/>
        <v>58.528524779450294</v>
      </c>
      <c r="AK381" s="264">
        <f t="shared" ca="1" si="1320"/>
        <v>58.61992019729189</v>
      </c>
      <c r="AL381" s="264">
        <f t="shared" ca="1" si="1320"/>
        <v>58.713712193020356</v>
      </c>
      <c r="AM381" s="264">
        <f t="shared" ca="1" si="1320"/>
        <v>58.809456494610508</v>
      </c>
      <c r="AN381" s="264">
        <f t="shared" ref="AN381" ca="1" si="1321">+AM381+AN387+AN388+AN390</f>
        <v>58.906427602882346</v>
      </c>
      <c r="AO381" s="264">
        <f t="shared" ref="AO381" ca="1" si="1322">+AN381+AO387+AO388+AO390</f>
        <v>59.005921519757109</v>
      </c>
      <c r="AP381" s="264">
        <f t="shared" ref="AP381" ca="1" si="1323">+AO381+AP387+AP388+AP390</f>
        <v>59.108005840523077</v>
      </c>
      <c r="AQ381" s="264">
        <f t="shared" ref="AQ381" ca="1" si="1324">+AP381+AQ387+AQ388+AQ390</f>
        <v>59.212196205905165</v>
      </c>
      <c r="AR381" s="264">
        <f t="shared" ref="AR381" ca="1" si="1325">+AQ381+AR387+AR388+AR390</f>
        <v>59.317699089275003</v>
      </c>
      <c r="AS381" s="264">
        <f t="shared" ref="AS381" ca="1" si="1326">+AR381+AS387+AS388+AS390</f>
        <v>59.425911460668658</v>
      </c>
      <c r="AT381" s="264">
        <f t="shared" ref="AT381" ca="1" si="1327">+AS381+AT387+AT388+AT390</f>
        <v>72.73741298821767</v>
      </c>
      <c r="AU381" s="264">
        <f t="shared" ref="AU381" ca="1" si="1328">+AT381+AU387+AU388+AU390</f>
        <v>80.194947913065548</v>
      </c>
      <c r="AV381" s="264">
        <f t="shared" ref="AV381" ca="1" si="1329">+AU381+AV387+AV388+AV390</f>
        <v>80.30955940660462</v>
      </c>
      <c r="AW381" s="264">
        <f t="shared" ref="AW381" ca="1" si="1330">+AV381+AW387+AW388+AW390</f>
        <v>80.427055550500825</v>
      </c>
      <c r="AX381" s="264">
        <f t="shared" ref="AX381" ca="1" si="1331">+AW381+AX387+AX388+AX390</f>
        <v>80.547502275224787</v>
      </c>
      <c r="AY381" s="264">
        <f t="shared" ref="AY381" ca="1" si="1332">+AX381+AY387+AY388+AY390</f>
        <v>80.670316334383216</v>
      </c>
      <c r="AZ381" s="267"/>
      <c r="BA381" s="264"/>
      <c r="BB381" s="264"/>
      <c r="BC381" s="264"/>
      <c r="BD381" s="264">
        <f>+K381</f>
        <v>28.973299000000001</v>
      </c>
      <c r="BE381" s="264">
        <f>+O381</f>
        <v>29.029836</v>
      </c>
      <c r="BF381" s="266">
        <f>+AVERAGE(P381:S381)</f>
        <v>45.43289875</v>
      </c>
      <c r="BG381" s="266">
        <f>+AVERAGE(T381:W381)</f>
        <v>53.952027749999999</v>
      </c>
      <c r="BH381" s="266">
        <f>+AVERAGE(X381:AA381)</f>
        <v>56.42395775</v>
      </c>
      <c r="BI381" s="266">
        <f ca="1">+AVERAGE(AB381:AE381)</f>
        <v>57.980168378366116</v>
      </c>
      <c r="BJ381" s="266">
        <f ca="1">+AVERAGE(AF381:AI381)</f>
        <v>58.309504392031712</v>
      </c>
      <c r="BK381" s="266">
        <f ca="1">+AVERAGE(AJ381:AM381)</f>
        <v>58.667903416093267</v>
      </c>
      <c r="BL381" s="266">
        <f ca="1">+AVERAGE(AN381:AQ381)</f>
        <v>59.058137792266926</v>
      </c>
      <c r="BM381" s="266">
        <f ca="1">+AVERAGE(AR381:AU381)</f>
        <v>67.918992862806718</v>
      </c>
      <c r="BN381" s="266">
        <f ca="1">+AVERAGE(AV381:AY381)</f>
        <v>80.488608391678355</v>
      </c>
      <c r="BO381" s="53"/>
      <c r="BQ381" s="232"/>
      <c r="BR381"/>
      <c r="BS381"/>
      <c r="BT381"/>
      <c r="BU381"/>
      <c r="BV381"/>
      <c r="BW381"/>
    </row>
    <row r="382" spans="2:75" s="11" customFormat="1">
      <c r="B382" s="53" t="s">
        <v>168</v>
      </c>
      <c r="D382" s="53"/>
      <c r="E382" s="53"/>
      <c r="F382" s="53"/>
      <c r="G382" s="53"/>
      <c r="K382" s="263">
        <v>7.8209160000000004</v>
      </c>
      <c r="L382" s="263">
        <v>7.8209160000000004</v>
      </c>
      <c r="M382" s="263">
        <v>8.0371020000000009</v>
      </c>
      <c r="N382" s="263">
        <v>8.1041640000000008</v>
      </c>
      <c r="O382" s="263">
        <v>8.1041640000000008</v>
      </c>
      <c r="P382" s="263">
        <f>+O382-4.35-1.4025</f>
        <v>2.3516640000000013</v>
      </c>
      <c r="Q382" s="263">
        <f>+P382-1.25-1.05</f>
        <v>5.1664000000001264E-2</v>
      </c>
      <c r="R382" s="263">
        <v>0</v>
      </c>
      <c r="S382" s="263">
        <v>0</v>
      </c>
      <c r="T382" s="263">
        <v>0</v>
      </c>
      <c r="U382" s="263">
        <v>0</v>
      </c>
      <c r="V382" s="263">
        <v>0</v>
      </c>
      <c r="W382" s="263">
        <v>0</v>
      </c>
      <c r="X382" s="263">
        <v>0</v>
      </c>
      <c r="Y382" s="263">
        <v>0</v>
      </c>
      <c r="Z382" s="263">
        <v>0</v>
      </c>
      <c r="AA382" s="263">
        <v>0</v>
      </c>
      <c r="AB382" s="264">
        <f t="shared" ref="AB382:AM382" si="1333">+AA382</f>
        <v>0</v>
      </c>
      <c r="AC382" s="264">
        <f t="shared" si="1333"/>
        <v>0</v>
      </c>
      <c r="AD382" s="264">
        <f t="shared" si="1333"/>
        <v>0</v>
      </c>
      <c r="AE382" s="264">
        <f t="shared" si="1333"/>
        <v>0</v>
      </c>
      <c r="AF382" s="264">
        <f t="shared" si="1333"/>
        <v>0</v>
      </c>
      <c r="AG382" s="264">
        <f t="shared" si="1333"/>
        <v>0</v>
      </c>
      <c r="AH382" s="264">
        <f t="shared" si="1333"/>
        <v>0</v>
      </c>
      <c r="AI382" s="264">
        <f t="shared" si="1333"/>
        <v>0</v>
      </c>
      <c r="AJ382" s="264">
        <f t="shared" si="1333"/>
        <v>0</v>
      </c>
      <c r="AK382" s="264">
        <f t="shared" si="1333"/>
        <v>0</v>
      </c>
      <c r="AL382" s="264">
        <f t="shared" si="1333"/>
        <v>0</v>
      </c>
      <c r="AM382" s="264">
        <f t="shared" si="1333"/>
        <v>0</v>
      </c>
      <c r="AN382" s="264">
        <f t="shared" ref="AN382" si="1334">+AM382</f>
        <v>0</v>
      </c>
      <c r="AO382" s="264">
        <f t="shared" ref="AO382" si="1335">+AN382</f>
        <v>0</v>
      </c>
      <c r="AP382" s="264">
        <f t="shared" ref="AP382" si="1336">+AO382</f>
        <v>0</v>
      </c>
      <c r="AQ382" s="264">
        <f t="shared" ref="AQ382" si="1337">+AP382</f>
        <v>0</v>
      </c>
      <c r="AR382" s="264">
        <f t="shared" ref="AR382" si="1338">+AQ382</f>
        <v>0</v>
      </c>
      <c r="AS382" s="264">
        <f t="shared" ref="AS382" si="1339">+AR382</f>
        <v>0</v>
      </c>
      <c r="AT382" s="264">
        <f t="shared" ref="AT382" si="1340">+AS382</f>
        <v>0</v>
      </c>
      <c r="AU382" s="264">
        <f t="shared" ref="AU382" si="1341">+AT382</f>
        <v>0</v>
      </c>
      <c r="AV382" s="264">
        <f t="shared" ref="AV382" si="1342">+AU382</f>
        <v>0</v>
      </c>
      <c r="AW382" s="264">
        <f t="shared" ref="AW382" si="1343">+AV382</f>
        <v>0</v>
      </c>
      <c r="AX382" s="264">
        <f t="shared" ref="AX382" si="1344">+AW382</f>
        <v>0</v>
      </c>
      <c r="AY382" s="264">
        <f t="shared" ref="AY382" si="1345">+AX382</f>
        <v>0</v>
      </c>
      <c r="AZ382" s="267"/>
      <c r="BA382" s="264"/>
      <c r="BB382" s="264"/>
      <c r="BC382" s="264"/>
      <c r="BD382" s="264">
        <f>+K382</f>
        <v>7.8209160000000004</v>
      </c>
      <c r="BE382" s="264">
        <f>+O382</f>
        <v>8.1041640000000008</v>
      </c>
      <c r="BF382" s="266">
        <f>+AVERAGE(P382:S382)</f>
        <v>0.6008320000000007</v>
      </c>
      <c r="BG382" s="264">
        <f>+W382</f>
        <v>0</v>
      </c>
      <c r="BH382" s="264">
        <f>+AA382</f>
        <v>0</v>
      </c>
      <c r="BI382" s="264">
        <f>+AE382</f>
        <v>0</v>
      </c>
      <c r="BJ382" s="264">
        <f>+AI382</f>
        <v>0</v>
      </c>
      <c r="BK382" s="264">
        <f>+AM382</f>
        <v>0</v>
      </c>
      <c r="BL382" s="264">
        <f>+AQ382</f>
        <v>0</v>
      </c>
      <c r="BM382" s="264">
        <f>+AU382</f>
        <v>0</v>
      </c>
      <c r="BN382" s="264">
        <f>+AY382</f>
        <v>0</v>
      </c>
      <c r="BO382" s="53"/>
      <c r="BQ382" s="232"/>
      <c r="BR382"/>
      <c r="BS382"/>
      <c r="BT382"/>
      <c r="BU382"/>
      <c r="BV382"/>
      <c r="BW382"/>
    </row>
    <row r="383" spans="2:75" s="11" customFormat="1">
      <c r="B383" s="53" t="s">
        <v>240</v>
      </c>
      <c r="D383" s="53"/>
      <c r="E383" s="53"/>
      <c r="F383" s="53"/>
      <c r="G383" s="53"/>
      <c r="K383" s="264">
        <f>+K381+K382</f>
        <v>36.794215000000001</v>
      </c>
      <c r="L383" s="264">
        <f>+L381+L382</f>
        <v>36.897664000000006</v>
      </c>
      <c r="M383" s="264">
        <f>+M381+M382</f>
        <v>37.177049000000004</v>
      </c>
      <c r="N383" s="264">
        <f>+N381+N382</f>
        <v>37.266733000000002</v>
      </c>
      <c r="O383" s="264">
        <f>+O381+O382</f>
        <v>37.134</v>
      </c>
      <c r="P383" s="264">
        <f t="shared" ref="P383:U383" si="1346">+P381+P382</f>
        <v>41.560890000000001</v>
      </c>
      <c r="Q383" s="264">
        <f t="shared" si="1346"/>
        <v>45.010890000000003</v>
      </c>
      <c r="R383" s="264">
        <f t="shared" si="1346"/>
        <v>48.733417000000003</v>
      </c>
      <c r="S383" s="264">
        <f t="shared" si="1346"/>
        <v>48.829726000000001</v>
      </c>
      <c r="T383" s="264">
        <f t="shared" si="1346"/>
        <v>48.973851000000003</v>
      </c>
      <c r="U383" s="264">
        <f t="shared" si="1346"/>
        <v>55.574545000000001</v>
      </c>
      <c r="V383" s="264">
        <f t="shared" ref="V383:AA383" si="1347">+V381+V382</f>
        <v>55.687665000000003</v>
      </c>
      <c r="W383" s="264">
        <f t="shared" si="1347"/>
        <v>55.572049999999997</v>
      </c>
      <c r="X383" s="264">
        <f t="shared" si="1347"/>
        <v>55.620260000000002</v>
      </c>
      <c r="Y383" s="264">
        <f t="shared" si="1347"/>
        <v>55.458429000000002</v>
      </c>
      <c r="Z383" s="264">
        <f t="shared" si="1347"/>
        <v>56.832853999999998</v>
      </c>
      <c r="AA383" s="264">
        <f t="shared" si="1347"/>
        <v>57.784287999999997</v>
      </c>
      <c r="AB383" s="264">
        <f t="shared" ref="AB383:AM383" ca="1" si="1348">+AB381+AB382</f>
        <v>57.861352096596477</v>
      </c>
      <c r="AC383" s="264">
        <f t="shared" ca="1" si="1348"/>
        <v>57.939689206124747</v>
      </c>
      <c r="AD383" s="264">
        <f t="shared" ca="1" si="1348"/>
        <v>58.019459009867482</v>
      </c>
      <c r="AE383" s="264">
        <f t="shared" ca="1" si="1348"/>
        <v>58.100173200875751</v>
      </c>
      <c r="AF383" s="264">
        <f t="shared" ca="1" si="1348"/>
        <v>58.181605232624342</v>
      </c>
      <c r="AG383" s="264">
        <f t="shared" ca="1" si="1348"/>
        <v>58.265418629100125</v>
      </c>
      <c r="AH383" s="264">
        <f t="shared" ca="1" si="1348"/>
        <v>58.351529220150333</v>
      </c>
      <c r="AI383" s="264">
        <f t="shared" ca="1" si="1348"/>
        <v>58.439464486252064</v>
      </c>
      <c r="AJ383" s="264">
        <f t="shared" ca="1" si="1348"/>
        <v>58.528524779450294</v>
      </c>
      <c r="AK383" s="264">
        <f t="shared" ca="1" si="1348"/>
        <v>58.61992019729189</v>
      </c>
      <c r="AL383" s="264">
        <f t="shared" ca="1" si="1348"/>
        <v>58.713712193020356</v>
      </c>
      <c r="AM383" s="264">
        <f t="shared" ca="1" si="1348"/>
        <v>58.809456494610508</v>
      </c>
      <c r="AN383" s="264">
        <f t="shared" ref="AN383:AY383" ca="1" si="1349">+AN381+AN382</f>
        <v>58.906427602882346</v>
      </c>
      <c r="AO383" s="264">
        <f t="shared" ca="1" si="1349"/>
        <v>59.005921519757109</v>
      </c>
      <c r="AP383" s="264">
        <f t="shared" ca="1" si="1349"/>
        <v>59.108005840523077</v>
      </c>
      <c r="AQ383" s="264">
        <f t="shared" ca="1" si="1349"/>
        <v>59.212196205905165</v>
      </c>
      <c r="AR383" s="264">
        <f t="shared" ca="1" si="1349"/>
        <v>59.317699089275003</v>
      </c>
      <c r="AS383" s="264">
        <f t="shared" ca="1" si="1349"/>
        <v>59.425911460668658</v>
      </c>
      <c r="AT383" s="264">
        <f t="shared" ca="1" si="1349"/>
        <v>72.73741298821767</v>
      </c>
      <c r="AU383" s="264">
        <f t="shared" ca="1" si="1349"/>
        <v>80.194947913065548</v>
      </c>
      <c r="AV383" s="264">
        <f t="shared" ca="1" si="1349"/>
        <v>80.30955940660462</v>
      </c>
      <c r="AW383" s="264">
        <f t="shared" ca="1" si="1349"/>
        <v>80.427055550500825</v>
      </c>
      <c r="AX383" s="264">
        <f t="shared" ca="1" si="1349"/>
        <v>80.547502275224787</v>
      </c>
      <c r="AY383" s="264">
        <f t="shared" ca="1" si="1349"/>
        <v>80.670316334383216</v>
      </c>
      <c r="AZ383" s="267"/>
      <c r="BA383" s="264"/>
      <c r="BB383" s="264"/>
      <c r="BC383" s="264"/>
      <c r="BD383" s="264">
        <f>+K383</f>
        <v>36.794215000000001</v>
      </c>
      <c r="BE383" s="264">
        <f>+O383</f>
        <v>37.134</v>
      </c>
      <c r="BF383" s="264">
        <f>+S383</f>
        <v>48.829726000000001</v>
      </c>
      <c r="BG383" s="264">
        <f>+W383</f>
        <v>55.572049999999997</v>
      </c>
      <c r="BH383" s="264">
        <f>+AA383</f>
        <v>57.784287999999997</v>
      </c>
      <c r="BI383" s="264">
        <f ca="1">+AE383</f>
        <v>58.100173200875751</v>
      </c>
      <c r="BJ383" s="264">
        <f ca="1">+AI383</f>
        <v>58.439464486252064</v>
      </c>
      <c r="BK383" s="264">
        <f ca="1">+AM383</f>
        <v>58.809456494610508</v>
      </c>
      <c r="BL383" s="264">
        <f ca="1">+AQ383</f>
        <v>59.212196205905165</v>
      </c>
      <c r="BM383" s="264">
        <f ca="1">+AU383</f>
        <v>80.194947913065548</v>
      </c>
      <c r="BN383" s="264">
        <f ca="1">+AY383</f>
        <v>80.670316334383216</v>
      </c>
      <c r="BO383" s="53"/>
      <c r="BQ383" s="232"/>
      <c r="BR383"/>
      <c r="BS383"/>
      <c r="BT383"/>
      <c r="BU383"/>
      <c r="BV383"/>
      <c r="BW383"/>
    </row>
    <row r="384" spans="2:75" s="11" customFormat="1">
      <c r="B384" s="53" t="s">
        <v>241</v>
      </c>
      <c r="D384" s="53"/>
      <c r="E384" s="53"/>
      <c r="F384" s="53"/>
      <c r="G384" s="53"/>
      <c r="K384" s="57">
        <f>+K382/K383</f>
        <v>0.21255830570104567</v>
      </c>
      <c r="L384" s="57">
        <f>+L382/L383</f>
        <v>0.21196236162809654</v>
      </c>
      <c r="M384" s="57">
        <f>+M382/M383</f>
        <v>0.2161845067369387</v>
      </c>
      <c r="N384" s="57">
        <f>+N382/N383</f>
        <v>0.2174637631906183</v>
      </c>
      <c r="O384" s="57">
        <f>+O382/O383</f>
        <v>0.21824107287122316</v>
      </c>
      <c r="P384" s="57">
        <f t="shared" ref="P384:U384" si="1350">+P382/P383</f>
        <v>5.6583581342940475E-2</v>
      </c>
      <c r="Q384" s="57">
        <f t="shared" si="1350"/>
        <v>1.1478111185982162E-3</v>
      </c>
      <c r="R384" s="57">
        <f t="shared" si="1350"/>
        <v>0</v>
      </c>
      <c r="S384" s="57">
        <f t="shared" si="1350"/>
        <v>0</v>
      </c>
      <c r="T384" s="57">
        <f t="shared" si="1350"/>
        <v>0</v>
      </c>
      <c r="U384" s="57">
        <f t="shared" si="1350"/>
        <v>0</v>
      </c>
      <c r="V384" s="57">
        <f t="shared" ref="V384:AA384" si="1351">+V382/V383</f>
        <v>0</v>
      </c>
      <c r="W384" s="57">
        <f t="shared" si="1351"/>
        <v>0</v>
      </c>
      <c r="X384" s="57">
        <f t="shared" si="1351"/>
        <v>0</v>
      </c>
      <c r="Y384" s="57">
        <f t="shared" si="1351"/>
        <v>0</v>
      </c>
      <c r="Z384" s="57">
        <f t="shared" si="1351"/>
        <v>0</v>
      </c>
      <c r="AA384" s="57">
        <f t="shared" si="1351"/>
        <v>0</v>
      </c>
      <c r="AB384" s="57">
        <f t="shared" ref="AB384:AM384" ca="1" si="1352">+AB382/AB383</f>
        <v>0</v>
      </c>
      <c r="AC384" s="57">
        <f t="shared" ca="1" si="1352"/>
        <v>0</v>
      </c>
      <c r="AD384" s="57">
        <f t="shared" ca="1" si="1352"/>
        <v>0</v>
      </c>
      <c r="AE384" s="57">
        <f t="shared" ca="1" si="1352"/>
        <v>0</v>
      </c>
      <c r="AF384" s="57">
        <f t="shared" ca="1" si="1352"/>
        <v>0</v>
      </c>
      <c r="AG384" s="57">
        <f t="shared" ca="1" si="1352"/>
        <v>0</v>
      </c>
      <c r="AH384" s="57">
        <f t="shared" ca="1" si="1352"/>
        <v>0</v>
      </c>
      <c r="AI384" s="57">
        <f t="shared" ca="1" si="1352"/>
        <v>0</v>
      </c>
      <c r="AJ384" s="57">
        <f t="shared" ca="1" si="1352"/>
        <v>0</v>
      </c>
      <c r="AK384" s="57">
        <f t="shared" ca="1" si="1352"/>
        <v>0</v>
      </c>
      <c r="AL384" s="57">
        <f t="shared" ca="1" si="1352"/>
        <v>0</v>
      </c>
      <c r="AM384" s="57">
        <f t="shared" ca="1" si="1352"/>
        <v>0</v>
      </c>
      <c r="AN384" s="57">
        <f t="shared" ref="AN384:AY384" ca="1" si="1353">+AN382/AN383</f>
        <v>0</v>
      </c>
      <c r="AO384" s="57">
        <f t="shared" ca="1" si="1353"/>
        <v>0</v>
      </c>
      <c r="AP384" s="57">
        <f t="shared" ca="1" si="1353"/>
        <v>0</v>
      </c>
      <c r="AQ384" s="57">
        <f t="shared" ca="1" si="1353"/>
        <v>0</v>
      </c>
      <c r="AR384" s="57">
        <f t="shared" ca="1" si="1353"/>
        <v>0</v>
      </c>
      <c r="AS384" s="57">
        <f t="shared" ca="1" si="1353"/>
        <v>0</v>
      </c>
      <c r="AT384" s="57">
        <f t="shared" ca="1" si="1353"/>
        <v>0</v>
      </c>
      <c r="AU384" s="57">
        <f t="shared" ca="1" si="1353"/>
        <v>0</v>
      </c>
      <c r="AV384" s="57">
        <f t="shared" ca="1" si="1353"/>
        <v>0</v>
      </c>
      <c r="AW384" s="57">
        <f t="shared" ca="1" si="1353"/>
        <v>0</v>
      </c>
      <c r="AX384" s="57">
        <f t="shared" ca="1" si="1353"/>
        <v>0</v>
      </c>
      <c r="AY384" s="57">
        <f t="shared" ca="1" si="1353"/>
        <v>0</v>
      </c>
      <c r="AZ384" s="70"/>
      <c r="BA384" s="57"/>
      <c r="BB384" s="57"/>
      <c r="BC384" s="57"/>
      <c r="BD384" s="57">
        <f t="shared" ref="BD384:BK384" si="1354">+BD382/SUM(BD382,BD380)</f>
        <v>0.21256133864257706</v>
      </c>
      <c r="BE384" s="57">
        <f t="shared" si="1354"/>
        <v>0.21809328110826173</v>
      </c>
      <c r="BF384" s="57">
        <f t="shared" si="1354"/>
        <v>1.5717749883527633E-2</v>
      </c>
      <c r="BG384" s="57">
        <f t="shared" si="1354"/>
        <v>0</v>
      </c>
      <c r="BH384" s="57">
        <f t="shared" si="1354"/>
        <v>0</v>
      </c>
      <c r="BI384" s="57">
        <f t="shared" ca="1" si="1354"/>
        <v>0</v>
      </c>
      <c r="BJ384" s="57">
        <f t="shared" ca="1" si="1354"/>
        <v>0</v>
      </c>
      <c r="BK384" s="57">
        <f t="shared" ca="1" si="1354"/>
        <v>0</v>
      </c>
      <c r="BL384" s="57">
        <f t="shared" ref="BL384:BN384" ca="1" si="1355">+BL382/SUM(BL382,BL380)</f>
        <v>0</v>
      </c>
      <c r="BM384" s="57">
        <f t="shared" ca="1" si="1355"/>
        <v>0</v>
      </c>
      <c r="BN384" s="57">
        <f t="shared" ca="1" si="1355"/>
        <v>0</v>
      </c>
      <c r="BO384" s="53"/>
      <c r="BQ384" s="232"/>
      <c r="BR384"/>
      <c r="BS384"/>
      <c r="BT384"/>
      <c r="BU384"/>
      <c r="BV384"/>
      <c r="BW384"/>
    </row>
    <row r="385" spans="2:75" s="11" customFormat="1">
      <c r="D385" s="53"/>
      <c r="E385" s="53"/>
      <c r="F385" s="53"/>
      <c r="G385" s="53"/>
      <c r="K385" s="51"/>
      <c r="L385" s="51"/>
      <c r="M385" s="51"/>
      <c r="N385" s="51"/>
      <c r="O385" s="51"/>
      <c r="P385" s="51"/>
      <c r="Q385" s="51"/>
      <c r="R385" s="51"/>
      <c r="S385" s="51"/>
      <c r="T385" s="51"/>
      <c r="U385" s="51"/>
      <c r="V385" s="51"/>
      <c r="W385" s="51"/>
      <c r="X385" s="51"/>
      <c r="Y385" s="51"/>
      <c r="Z385" s="51"/>
      <c r="AA385" s="51"/>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70"/>
      <c r="BA385" s="44"/>
      <c r="BB385" s="44"/>
      <c r="BC385" s="44"/>
      <c r="BD385" s="44"/>
      <c r="BE385" s="44"/>
      <c r="BF385" s="44"/>
      <c r="BG385" s="44"/>
      <c r="BH385" s="44"/>
      <c r="BI385" s="44"/>
      <c r="BJ385" s="44"/>
      <c r="BK385" s="44"/>
      <c r="BL385" s="44"/>
      <c r="BM385" s="44"/>
      <c r="BN385" s="44"/>
      <c r="BO385" s="53"/>
      <c r="BQ385" s="232"/>
      <c r="BR385"/>
      <c r="BS385"/>
      <c r="BT385"/>
      <c r="BU385"/>
      <c r="BV385"/>
      <c r="BW385"/>
    </row>
    <row r="386" spans="2:75" s="11" customFormat="1">
      <c r="B386" s="11" t="s">
        <v>164</v>
      </c>
      <c r="D386" s="53"/>
      <c r="E386" s="53"/>
      <c r="F386" s="53"/>
      <c r="G386" s="53"/>
      <c r="K386" s="56">
        <v>21</v>
      </c>
      <c r="L386" s="288">
        <v>25.09</v>
      </c>
      <c r="M386" s="288">
        <v>28.63</v>
      </c>
      <c r="N386" s="288">
        <v>30.35</v>
      </c>
      <c r="O386" s="288">
        <v>30.35</v>
      </c>
      <c r="P386" s="56">
        <v>34.75</v>
      </c>
      <c r="Q386" s="56">
        <v>37</v>
      </c>
      <c r="R386" s="288">
        <v>43.69</v>
      </c>
      <c r="S386" s="288">
        <v>45.11</v>
      </c>
      <c r="T386" s="288">
        <v>47.38</v>
      </c>
      <c r="U386" s="56">
        <v>45.5</v>
      </c>
      <c r="V386" s="55">
        <f t="shared" ref="V386:AA386" si="1356">+U386</f>
        <v>45.5</v>
      </c>
      <c r="W386" s="55">
        <f t="shared" si="1356"/>
        <v>45.5</v>
      </c>
      <c r="X386" s="55">
        <f t="shared" si="1356"/>
        <v>45.5</v>
      </c>
      <c r="Y386" s="55">
        <f t="shared" si="1356"/>
        <v>45.5</v>
      </c>
      <c r="Z386" s="55">
        <f t="shared" si="1356"/>
        <v>45.5</v>
      </c>
      <c r="AA386" s="55">
        <f t="shared" si="1356"/>
        <v>45.5</v>
      </c>
      <c r="AB386" s="377">
        <v>37</v>
      </c>
      <c r="AC386" s="55">
        <f t="shared" ref="AC386:AM386" si="1357">+AB386</f>
        <v>37</v>
      </c>
      <c r="AD386" s="55">
        <f t="shared" si="1357"/>
        <v>37</v>
      </c>
      <c r="AE386" s="55">
        <f t="shared" si="1357"/>
        <v>37</v>
      </c>
      <c r="AF386" s="55">
        <f t="shared" si="1357"/>
        <v>37</v>
      </c>
      <c r="AG386" s="55">
        <f t="shared" si="1357"/>
        <v>37</v>
      </c>
      <c r="AH386" s="55">
        <f t="shared" si="1357"/>
        <v>37</v>
      </c>
      <c r="AI386" s="55">
        <f t="shared" si="1357"/>
        <v>37</v>
      </c>
      <c r="AJ386" s="55">
        <f t="shared" si="1357"/>
        <v>37</v>
      </c>
      <c r="AK386" s="55">
        <f t="shared" si="1357"/>
        <v>37</v>
      </c>
      <c r="AL386" s="55">
        <f t="shared" si="1357"/>
        <v>37</v>
      </c>
      <c r="AM386" s="55">
        <f t="shared" si="1357"/>
        <v>37</v>
      </c>
      <c r="AN386" s="55">
        <f t="shared" ref="AN386" si="1358">+AM386</f>
        <v>37</v>
      </c>
      <c r="AO386" s="55">
        <f t="shared" ref="AO386" si="1359">+AN386</f>
        <v>37</v>
      </c>
      <c r="AP386" s="55">
        <f t="shared" ref="AP386" si="1360">+AO386</f>
        <v>37</v>
      </c>
      <c r="AQ386" s="55">
        <f t="shared" ref="AQ386" si="1361">+AP386</f>
        <v>37</v>
      </c>
      <c r="AR386" s="55">
        <f t="shared" ref="AR386" si="1362">+AQ386</f>
        <v>37</v>
      </c>
      <c r="AS386" s="55">
        <f t="shared" ref="AS386" si="1363">+AR386</f>
        <v>37</v>
      </c>
      <c r="AT386" s="55">
        <f t="shared" ref="AT386" si="1364">+AS386</f>
        <v>37</v>
      </c>
      <c r="AU386" s="55">
        <f t="shared" ref="AU386" si="1365">+AT386</f>
        <v>37</v>
      </c>
      <c r="AV386" s="55">
        <f t="shared" ref="AV386" si="1366">+AU386</f>
        <v>37</v>
      </c>
      <c r="AW386" s="55">
        <f t="shared" ref="AW386" si="1367">+AV386</f>
        <v>37</v>
      </c>
      <c r="AX386" s="55">
        <f t="shared" ref="AX386" si="1368">+AW386</f>
        <v>37</v>
      </c>
      <c r="AY386" s="55">
        <f t="shared" ref="AY386" si="1369">+AX386</f>
        <v>37</v>
      </c>
      <c r="AZ386" s="70"/>
      <c r="BA386" s="55"/>
      <c r="BB386" s="55"/>
      <c r="BC386" s="55"/>
      <c r="BD386" s="55"/>
      <c r="BE386" s="55"/>
      <c r="BF386" s="55"/>
      <c r="BG386" s="55"/>
      <c r="BH386" s="55"/>
      <c r="BI386" s="55"/>
      <c r="BJ386" s="55"/>
      <c r="BK386" s="55"/>
      <c r="BL386" s="55"/>
      <c r="BM386" s="55"/>
      <c r="BN386" s="55"/>
      <c r="BO386" s="53"/>
      <c r="BQ386" s="232"/>
      <c r="BR386"/>
      <c r="BS386"/>
      <c r="BT386"/>
      <c r="BU386"/>
      <c r="BV386"/>
      <c r="BW386"/>
    </row>
    <row r="387" spans="2:75" s="11" customFormat="1">
      <c r="B387" s="53" t="s">
        <v>167</v>
      </c>
      <c r="D387" s="53"/>
      <c r="E387" s="53"/>
      <c r="F387" s="53"/>
      <c r="G387" s="53"/>
      <c r="K387" s="265">
        <v>14.0875</v>
      </c>
      <c r="L387" s="263"/>
      <c r="M387" s="263"/>
      <c r="N387" s="263"/>
      <c r="O387" s="263"/>
      <c r="P387" s="265">
        <v>5</v>
      </c>
      <c r="Q387" s="265">
        <v>5.75</v>
      </c>
      <c r="R387" s="263"/>
      <c r="S387" s="263"/>
      <c r="T387" s="263"/>
      <c r="U387" s="265">
        <f>5.5+0.825</f>
        <v>6.3250000000000002</v>
      </c>
      <c r="V387" s="264">
        <f t="shared" ref="V387:AA387" si="1370">+V377/V386</f>
        <v>0</v>
      </c>
      <c r="W387" s="264">
        <f t="shared" si="1370"/>
        <v>0</v>
      </c>
      <c r="X387" s="264">
        <f t="shared" si="1370"/>
        <v>0</v>
      </c>
      <c r="Y387" s="264">
        <f t="shared" si="1370"/>
        <v>0.9319397993311036</v>
      </c>
      <c r="Z387" s="264">
        <f t="shared" si="1370"/>
        <v>1.2804825609173434</v>
      </c>
      <c r="AA387" s="264">
        <f t="shared" si="1370"/>
        <v>0.36273291925465845</v>
      </c>
      <c r="AB387" s="264">
        <f t="shared" ref="AB387:AM387" ca="1" si="1371">+AB377/AB386</f>
        <v>0</v>
      </c>
      <c r="AC387" s="264">
        <f t="shared" ca="1" si="1371"/>
        <v>0</v>
      </c>
      <c r="AD387" s="264">
        <f t="shared" ca="1" si="1371"/>
        <v>0</v>
      </c>
      <c r="AE387" s="264">
        <f t="shared" ca="1" si="1371"/>
        <v>0</v>
      </c>
      <c r="AF387" s="264">
        <f t="shared" ca="1" si="1371"/>
        <v>0</v>
      </c>
      <c r="AG387" s="264">
        <f t="shared" ca="1" si="1371"/>
        <v>0</v>
      </c>
      <c r="AH387" s="264">
        <f t="shared" ca="1" si="1371"/>
        <v>0</v>
      </c>
      <c r="AI387" s="264">
        <f t="shared" ca="1" si="1371"/>
        <v>0</v>
      </c>
      <c r="AJ387" s="264">
        <f t="shared" ca="1" si="1371"/>
        <v>0</v>
      </c>
      <c r="AK387" s="264">
        <f t="shared" ca="1" si="1371"/>
        <v>0</v>
      </c>
      <c r="AL387" s="264">
        <f t="shared" ca="1" si="1371"/>
        <v>0</v>
      </c>
      <c r="AM387" s="264">
        <f t="shared" ca="1" si="1371"/>
        <v>0</v>
      </c>
      <c r="AN387" s="264">
        <f t="shared" ref="AN387:AY387" ca="1" si="1372">+AN377/AN386</f>
        <v>0</v>
      </c>
      <c r="AO387" s="264">
        <f t="shared" ca="1" si="1372"/>
        <v>0</v>
      </c>
      <c r="AP387" s="264">
        <f t="shared" ca="1" si="1372"/>
        <v>0</v>
      </c>
      <c r="AQ387" s="264">
        <f t="shared" ca="1" si="1372"/>
        <v>0</v>
      </c>
      <c r="AR387" s="264">
        <f t="shared" ca="1" si="1372"/>
        <v>0</v>
      </c>
      <c r="AS387" s="264">
        <f t="shared" ca="1" si="1372"/>
        <v>0</v>
      </c>
      <c r="AT387" s="264">
        <f t="shared" ca="1" si="1372"/>
        <v>13.200512260234269</v>
      </c>
      <c r="AU387" s="264">
        <f t="shared" ca="1" si="1372"/>
        <v>7.3443008225616921</v>
      </c>
      <c r="AV387" s="264">
        <f t="shared" ca="1" si="1372"/>
        <v>0</v>
      </c>
      <c r="AW387" s="264">
        <f t="shared" ca="1" si="1372"/>
        <v>0</v>
      </c>
      <c r="AX387" s="264">
        <f t="shared" ca="1" si="1372"/>
        <v>0</v>
      </c>
      <c r="AY387" s="264">
        <f t="shared" ca="1" si="1372"/>
        <v>0</v>
      </c>
      <c r="AZ387" s="70"/>
      <c r="BA387" s="41"/>
      <c r="BB387" s="41"/>
      <c r="BC387" s="41"/>
      <c r="BD387" s="41"/>
      <c r="BE387" s="41"/>
      <c r="BF387" s="41"/>
      <c r="BG387" s="41"/>
      <c r="BH387" s="41"/>
      <c r="BI387" s="41"/>
      <c r="BJ387" s="41"/>
      <c r="BK387" s="41"/>
      <c r="BL387" s="41"/>
      <c r="BM387" s="41"/>
      <c r="BN387" s="41"/>
      <c r="BO387" s="53"/>
      <c r="BQ387" s="232"/>
      <c r="BR387"/>
      <c r="BS387"/>
      <c r="BT387"/>
      <c r="BU387"/>
      <c r="BV387"/>
      <c r="BW387"/>
    </row>
    <row r="388" spans="2:75" s="11" customFormat="1">
      <c r="B388" s="53" t="s">
        <v>356</v>
      </c>
      <c r="D388" s="53"/>
      <c r="E388" s="53"/>
      <c r="F388" s="53"/>
      <c r="G388" s="53"/>
      <c r="K388" s="263">
        <f>36.794215-K382-K387-K390</f>
        <v>5.2500000000321734E-4</v>
      </c>
      <c r="L388" s="263"/>
      <c r="M388" s="263"/>
      <c r="N388" s="263"/>
      <c r="O388" s="263"/>
      <c r="P388" s="263"/>
      <c r="Q388" s="263"/>
      <c r="R388" s="264"/>
      <c r="S388" s="264"/>
      <c r="T388" s="264"/>
      <c r="U388" s="264">
        <f t="shared" ref="U388:AY388" si="1373">+U110/U386</f>
        <v>7.032967032967033E-2</v>
      </c>
      <c r="V388" s="264">
        <f t="shared" si="1373"/>
        <v>5.7956043956043958E-2</v>
      </c>
      <c r="W388" s="264">
        <f t="shared" si="1373"/>
        <v>5.9296703296703293E-2</v>
      </c>
      <c r="X388" s="264">
        <f t="shared" si="1373"/>
        <v>6.7736263736263735E-2</v>
      </c>
      <c r="Y388" s="264">
        <f t="shared" si="1373"/>
        <v>8.2021978021978026E-2</v>
      </c>
      <c r="Z388" s="264">
        <f t="shared" si="1373"/>
        <v>8.1164835164835164E-2</v>
      </c>
      <c r="AA388" s="264">
        <f t="shared" si="1373"/>
        <v>7.3758241758241749E-2</v>
      </c>
      <c r="AB388" s="264">
        <f t="shared" ca="1" si="1373"/>
        <v>7.7064096596477102E-2</v>
      </c>
      <c r="AC388" s="264">
        <f t="shared" ca="1" si="1373"/>
        <v>7.8337109528269652E-2</v>
      </c>
      <c r="AD388" s="264">
        <f t="shared" ca="1" si="1373"/>
        <v>7.9769803742734249E-2</v>
      </c>
      <c r="AE388" s="264">
        <f t="shared" ca="1" si="1373"/>
        <v>8.0714191008267308E-2</v>
      </c>
      <c r="AF388" s="264">
        <f t="shared" ca="1" si="1373"/>
        <v>8.1432031748588263E-2</v>
      </c>
      <c r="AG388" s="264">
        <f t="shared" ca="1" si="1373"/>
        <v>8.3813396475784563E-2</v>
      </c>
      <c r="AH388" s="264">
        <f t="shared" ca="1" si="1373"/>
        <v>8.6110591050207033E-2</v>
      </c>
      <c r="AI388" s="264">
        <f t="shared" ca="1" si="1373"/>
        <v>8.7935266101727833E-2</v>
      </c>
      <c r="AJ388" s="264">
        <f t="shared" ca="1" si="1373"/>
        <v>8.9060293198232651E-2</v>
      </c>
      <c r="AK388" s="264">
        <f t="shared" ca="1" si="1373"/>
        <v>9.1395417841599269E-2</v>
      </c>
      <c r="AL388" s="264">
        <f t="shared" ca="1" si="1373"/>
        <v>9.3791995728465458E-2</v>
      </c>
      <c r="AM388" s="264">
        <f t="shared" ca="1" si="1373"/>
        <v>9.5744301590153111E-2</v>
      </c>
      <c r="AN388" s="264">
        <f t="shared" ca="1" si="1373"/>
        <v>9.697110827183561E-2</v>
      </c>
      <c r="AO388" s="264">
        <f t="shared" ca="1" si="1373"/>
        <v>9.9493916874761293E-2</v>
      </c>
      <c r="AP388" s="264">
        <f t="shared" ca="1" si="1373"/>
        <v>0.10208432076596487</v>
      </c>
      <c r="AQ388" s="264">
        <f t="shared" ca="1" si="1373"/>
        <v>0.10419036538209044</v>
      </c>
      <c r="AR388" s="264">
        <f t="shared" ca="1" si="1373"/>
        <v>0.10550288336983377</v>
      </c>
      <c r="AS388" s="264">
        <f t="shared" ca="1" si="1373"/>
        <v>0.10821237139365726</v>
      </c>
      <c r="AT388" s="264">
        <f t="shared" ca="1" si="1373"/>
        <v>0.11098926731474783</v>
      </c>
      <c r="AU388" s="264">
        <f t="shared" ca="1" si="1373"/>
        <v>0.11323410228618763</v>
      </c>
      <c r="AV388" s="264">
        <f t="shared" ca="1" si="1373"/>
        <v>0.11461149353906576</v>
      </c>
      <c r="AW388" s="264">
        <f t="shared" ca="1" si="1373"/>
        <v>0.11749614389620699</v>
      </c>
      <c r="AX388" s="264">
        <f t="shared" ca="1" si="1373"/>
        <v>0.12044672472395805</v>
      </c>
      <c r="AY388" s="264">
        <f t="shared" ca="1" si="1373"/>
        <v>0.12281405915842934</v>
      </c>
      <c r="AZ388" s="70"/>
      <c r="BA388" s="41"/>
      <c r="BB388" s="41"/>
      <c r="BC388" s="41"/>
      <c r="BD388" s="41"/>
      <c r="BE388" s="41"/>
      <c r="BF388" s="41"/>
      <c r="BG388" s="41"/>
      <c r="BH388" s="41"/>
      <c r="BI388" s="41"/>
      <c r="BJ388" s="41"/>
      <c r="BK388" s="41"/>
      <c r="BL388" s="41"/>
      <c r="BM388" s="41"/>
      <c r="BN388" s="41"/>
      <c r="BO388" s="53"/>
      <c r="BQ388" s="232"/>
      <c r="BR388"/>
      <c r="BS388"/>
      <c r="BT388"/>
      <c r="BU388"/>
      <c r="BV388"/>
      <c r="BW388"/>
    </row>
    <row r="389" spans="2:75" s="11" customFormat="1">
      <c r="B389" s="53"/>
      <c r="D389" s="53"/>
      <c r="E389" s="53"/>
      <c r="F389" s="53"/>
      <c r="G389" s="53"/>
      <c r="K389" s="41"/>
      <c r="L389" s="41"/>
      <c r="M389" s="41"/>
      <c r="N389" s="41"/>
      <c r="O389" s="41"/>
      <c r="P389" s="41"/>
      <c r="Q389" s="41"/>
      <c r="R389" s="41"/>
      <c r="S389" s="41"/>
      <c r="T389" s="41"/>
      <c r="U389" s="41"/>
      <c r="V389" s="41"/>
      <c r="W389" s="41"/>
      <c r="X389" s="41"/>
      <c r="Y389" s="41"/>
      <c r="Z389" s="41"/>
      <c r="AA389" s="41"/>
      <c r="AB389" s="41"/>
      <c r="AC389" s="41"/>
      <c r="AD389" s="41"/>
      <c r="AE389" s="41"/>
      <c r="AF389" s="41"/>
      <c r="AG389" s="41"/>
      <c r="AH389" s="41"/>
      <c r="AI389" s="41"/>
      <c r="AJ389" s="41"/>
      <c r="AK389" s="41"/>
      <c r="AL389" s="41"/>
      <c r="AM389" s="41"/>
      <c r="AN389" s="41"/>
      <c r="AO389" s="41"/>
      <c r="AP389" s="41"/>
      <c r="AQ389" s="41"/>
      <c r="AR389" s="41"/>
      <c r="AS389" s="41"/>
      <c r="AT389" s="41"/>
      <c r="AU389" s="41"/>
      <c r="AV389" s="41"/>
      <c r="AW389" s="41"/>
      <c r="AX389" s="41"/>
      <c r="AY389" s="41"/>
      <c r="AZ389" s="70"/>
      <c r="BA389" s="41"/>
      <c r="BB389" s="41"/>
      <c r="BC389" s="41"/>
      <c r="BD389" s="41"/>
      <c r="BE389" s="41"/>
      <c r="BF389" s="41"/>
      <c r="BG389" s="41"/>
      <c r="BH389" s="41"/>
      <c r="BI389" s="41"/>
      <c r="BJ389" s="41"/>
      <c r="BK389" s="41"/>
      <c r="BL389" s="41"/>
      <c r="BM389" s="41"/>
      <c r="BN389" s="41"/>
      <c r="BO389" s="53"/>
      <c r="BQ389" s="232"/>
      <c r="BR389"/>
      <c r="BS389"/>
      <c r="BT389"/>
      <c r="BU389"/>
      <c r="BV389"/>
      <c r="BW389"/>
    </row>
    <row r="390" spans="2:75" s="11" customFormat="1">
      <c r="B390" s="53" t="s">
        <v>188</v>
      </c>
      <c r="D390" s="53"/>
      <c r="E390" s="53"/>
      <c r="F390" s="53"/>
      <c r="G390" s="53"/>
      <c r="K390" s="263">
        <f>14.643645+0.133+0.019642+0.088987</f>
        <v>14.885273999999997</v>
      </c>
      <c r="L390" s="263"/>
      <c r="M390" s="263"/>
      <c r="N390" s="263"/>
      <c r="O390" s="263"/>
      <c r="P390" s="263"/>
      <c r="Q390" s="263"/>
      <c r="R390" s="263"/>
      <c r="S390" s="263"/>
      <c r="T390" s="263"/>
      <c r="U390" s="41"/>
      <c r="V390" s="41"/>
      <c r="W390" s="41"/>
      <c r="X390" s="41"/>
      <c r="Y390" s="41"/>
      <c r="Z390" s="41"/>
      <c r="AA390" s="41"/>
      <c r="AB390" s="41"/>
      <c r="AC390" s="41"/>
      <c r="AD390" s="41"/>
      <c r="AE390" s="41"/>
      <c r="AF390" s="41"/>
      <c r="AG390" s="41"/>
      <c r="AH390" s="41"/>
      <c r="AI390" s="41"/>
      <c r="AJ390" s="41"/>
      <c r="AK390" s="41"/>
      <c r="AL390" s="41"/>
      <c r="AM390" s="41"/>
      <c r="AN390" s="41"/>
      <c r="AO390" s="41"/>
      <c r="AP390" s="41"/>
      <c r="AQ390" s="41"/>
      <c r="AR390" s="41"/>
      <c r="AS390" s="41"/>
      <c r="AT390" s="41"/>
      <c r="AU390" s="41"/>
      <c r="AV390" s="41"/>
      <c r="AW390" s="41"/>
      <c r="AX390" s="41"/>
      <c r="AY390" s="41"/>
      <c r="AZ390" s="70"/>
      <c r="BA390" s="41"/>
      <c r="BB390" s="41"/>
      <c r="BC390" s="41"/>
      <c r="BD390" s="41"/>
      <c r="BE390" s="41"/>
      <c r="BF390" s="41"/>
      <c r="BG390" s="41"/>
      <c r="BH390" s="41"/>
      <c r="BI390" s="41"/>
      <c r="BJ390" s="41"/>
      <c r="BK390" s="41"/>
      <c r="BL390" s="41"/>
      <c r="BM390" s="41"/>
      <c r="BN390" s="41"/>
      <c r="BO390" s="53"/>
      <c r="BQ390" s="232"/>
      <c r="BR390"/>
      <c r="BS390"/>
      <c r="BT390"/>
      <c r="BU390"/>
      <c r="BV390"/>
      <c r="BW390"/>
    </row>
    <row r="391" spans="2:75" s="11" customFormat="1">
      <c r="D391" s="53"/>
      <c r="E391" s="53"/>
      <c r="F391" s="53"/>
      <c r="G391" s="53"/>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70"/>
      <c r="BA391" s="44"/>
      <c r="BB391" s="44"/>
      <c r="BC391" s="44"/>
      <c r="BD391" s="44"/>
      <c r="BE391" s="44"/>
      <c r="BF391" s="44"/>
      <c r="BG391" s="44"/>
      <c r="BH391" s="44"/>
      <c r="BI391" s="44"/>
      <c r="BJ391" s="44"/>
      <c r="BK391" s="44"/>
      <c r="BL391" s="44"/>
      <c r="BM391" s="44"/>
      <c r="BN391" s="44"/>
      <c r="BO391" s="53"/>
      <c r="BQ391" s="232"/>
      <c r="BR391"/>
      <c r="BS391"/>
      <c r="BT391"/>
      <c r="BU391"/>
      <c r="BV391"/>
      <c r="BW391"/>
    </row>
    <row r="392" spans="2:75" s="11" customFormat="1">
      <c r="B392" s="50" t="s">
        <v>157</v>
      </c>
      <c r="D392" s="53"/>
      <c r="E392" s="53"/>
      <c r="F392" s="53"/>
      <c r="G392" s="53"/>
      <c r="L392" s="44"/>
      <c r="M392" s="44"/>
      <c r="N392" s="44"/>
      <c r="O392" s="44"/>
      <c r="P392" s="44"/>
      <c r="Q392" s="44"/>
      <c r="R392" s="44"/>
      <c r="S392" s="44"/>
      <c r="T392" s="44"/>
      <c r="AZ392" s="53"/>
      <c r="BD392" s="70"/>
      <c r="BE392" s="70"/>
      <c r="BF392" s="70"/>
      <c r="BG392" s="70"/>
      <c r="BH392" s="70"/>
      <c r="BI392" s="70"/>
      <c r="BJ392" s="70"/>
      <c r="BK392" s="70"/>
      <c r="BL392" s="70"/>
      <c r="BM392" s="70"/>
      <c r="BN392" s="70"/>
      <c r="BO392" s="53"/>
      <c r="BQ392" s="232"/>
      <c r="BR392"/>
      <c r="BS392"/>
      <c r="BT392"/>
      <c r="BU392"/>
      <c r="BV392"/>
      <c r="BW392"/>
    </row>
    <row r="393" spans="2:75" s="11" customFormat="1">
      <c r="B393" s="11" t="s">
        <v>113</v>
      </c>
      <c r="C393" s="44"/>
      <c r="D393" s="70"/>
      <c r="E393" s="70"/>
      <c r="F393" s="70"/>
      <c r="G393" s="70"/>
      <c r="H393" s="44"/>
      <c r="I393" s="44">
        <f>+I422+I440+I465+I473+I490</f>
        <v>561.06577600000003</v>
      </c>
      <c r="J393" s="44">
        <f>+J422+J440+J465+J473+J490</f>
        <v>611.37099999999998</v>
      </c>
      <c r="K393" s="44">
        <f>+K422+K440+K465+K473+K490</f>
        <v>347.87700000000001</v>
      </c>
      <c r="L393" s="44">
        <f>+L422+L440+L465+L473+L490</f>
        <v>405.52199999999999</v>
      </c>
      <c r="M393" s="44">
        <f>+M422+M440+M465+M473+M490</f>
        <v>531.18000000000006</v>
      </c>
      <c r="N393" s="44">
        <f t="shared" ref="N393:U393" si="1374">+N422+N440+N465+N473+N490+N449</f>
        <v>590.88799999999992</v>
      </c>
      <c r="O393" s="44">
        <f t="shared" si="1374"/>
        <v>637.22900000000004</v>
      </c>
      <c r="P393" s="44">
        <f t="shared" si="1374"/>
        <v>537.18799999999999</v>
      </c>
      <c r="Q393" s="44">
        <f t="shared" si="1374"/>
        <v>754.06299999999999</v>
      </c>
      <c r="R393" s="44">
        <f t="shared" si="1374"/>
        <v>820.93700000000001</v>
      </c>
      <c r="S393" s="44">
        <f t="shared" si="1374"/>
        <v>871.73899999999992</v>
      </c>
      <c r="T393" s="44">
        <f t="shared" si="1374"/>
        <v>944.95699999999988</v>
      </c>
      <c r="U393" s="44">
        <f t="shared" si="1374"/>
        <v>828.21600000000012</v>
      </c>
      <c r="V393" s="44">
        <f>+V422+V440+V465+V473+V490+V449+V457</f>
        <v>863.06200000000013</v>
      </c>
      <c r="W393" s="44">
        <f>+W422+W440+W490+W449+W431</f>
        <v>965.82600000000002</v>
      </c>
      <c r="X393" s="44">
        <f>+X422+X440+X490+X449+X431+X457+X482</f>
        <v>1031.9880000000001</v>
      </c>
      <c r="Y393" s="44">
        <f>+Y422+Y440+Y490+Y449+Y431+Y457+Y482</f>
        <v>1071.2239999999999</v>
      </c>
      <c r="Z393" s="44">
        <f>+Z422+Z440+Z490+Z449+Z431+Z457+Z482</f>
        <v>1099.3150000000001</v>
      </c>
      <c r="AA393" s="44">
        <f>+AA422+AA440+AA490+AA449+AA431+AA457+AA482</f>
        <v>1229.9290000000001</v>
      </c>
      <c r="AB393" s="44">
        <f ca="1">+AB422+AB440+AB490+AB449+AB431+AB457+AB482+AB414</f>
        <v>1329.9290000000001</v>
      </c>
      <c r="AC393" s="44">
        <f t="shared" ref="AC393:AY393" ca="1" si="1375">+AC422+AC440+AC490+AC449+AC431+AC457+AC482+AC414</f>
        <v>1398.1744862722467</v>
      </c>
      <c r="AD393" s="44">
        <f t="shared" ca="1" si="1375"/>
        <v>1476.6107262337409</v>
      </c>
      <c r="AE393" s="44">
        <f t="shared" ca="1" si="1375"/>
        <v>1554.7348152483455</v>
      </c>
      <c r="AF393" s="44">
        <f t="shared" ca="1" si="1375"/>
        <v>1584.7725860847104</v>
      </c>
      <c r="AG393" s="44">
        <f ca="1">+AG422+AG440+AG490+AG449+AG431+AG457+AG482+AG414</f>
        <v>1613.4093862756952</v>
      </c>
      <c r="AH393" s="44">
        <f t="shared" ca="1" si="1375"/>
        <v>1638.59685826436</v>
      </c>
      <c r="AI393" s="44">
        <f t="shared" ca="1" si="1375"/>
        <v>1658.5369971875486</v>
      </c>
      <c r="AJ393" s="44">
        <f t="shared" ca="1" si="1375"/>
        <v>1675.0625054217246</v>
      </c>
      <c r="AK393" s="44">
        <f t="shared" ca="1" si="1375"/>
        <v>1689.3114521184693</v>
      </c>
      <c r="AL393" s="44">
        <f t="shared" ca="1" si="1375"/>
        <v>1699.1967066389382</v>
      </c>
      <c r="AM393" s="44">
        <f t="shared" ca="1" si="1375"/>
        <v>1706.6252581308504</v>
      </c>
      <c r="AN393" s="44">
        <f t="shared" ca="1" si="1375"/>
        <v>1713.7329802166612</v>
      </c>
      <c r="AO393" s="44">
        <f t="shared" ca="1" si="1375"/>
        <v>1724.5118968167712</v>
      </c>
      <c r="AP393" s="44">
        <f t="shared" ca="1" si="1375"/>
        <v>1734.3488495620363</v>
      </c>
      <c r="AQ393" s="44">
        <f t="shared" ca="1" si="1375"/>
        <v>1741.4316550089582</v>
      </c>
      <c r="AR393" s="44">
        <f t="shared" ca="1" si="1375"/>
        <v>1748.1973647341688</v>
      </c>
      <c r="AS393" s="44">
        <f t="shared" ca="1" si="1375"/>
        <v>1278.4208193885893</v>
      </c>
      <c r="AT393" s="44">
        <f t="shared" ca="1" si="1375"/>
        <v>1317.0629999999999</v>
      </c>
      <c r="AU393" s="44">
        <f t="shared" ca="1" si="1375"/>
        <v>1317.0629999999999</v>
      </c>
      <c r="AV393" s="44">
        <f t="shared" ca="1" si="1375"/>
        <v>1317.0629999999999</v>
      </c>
      <c r="AW393" s="44">
        <f t="shared" ca="1" si="1375"/>
        <v>1317.0629999999999</v>
      </c>
      <c r="AX393" s="44">
        <f t="shared" ca="1" si="1375"/>
        <v>1317.0629999999999</v>
      </c>
      <c r="AY393" s="44">
        <f t="shared" ca="1" si="1375"/>
        <v>1317.0629999999999</v>
      </c>
      <c r="AZ393" s="70"/>
      <c r="BA393" s="44"/>
      <c r="BB393" s="44"/>
      <c r="BC393" s="44"/>
      <c r="BD393" s="44">
        <f>+K393</f>
        <v>347.87700000000001</v>
      </c>
      <c r="BE393" s="44">
        <f>+O393</f>
        <v>637.22900000000004</v>
      </c>
      <c r="BF393" s="44">
        <f>+S393</f>
        <v>871.73899999999992</v>
      </c>
      <c r="BG393" s="44">
        <f>+W393</f>
        <v>965.82600000000002</v>
      </c>
      <c r="BH393" s="44">
        <f>+AA393</f>
        <v>1229.9290000000001</v>
      </c>
      <c r="BI393" s="44">
        <f ca="1">+AE393</f>
        <v>1554.7348152483455</v>
      </c>
      <c r="BJ393" s="44">
        <f ca="1">+AI393</f>
        <v>1658.5369971875486</v>
      </c>
      <c r="BK393" s="44">
        <f ca="1">+AM393</f>
        <v>1706.6252581308504</v>
      </c>
      <c r="BL393" s="44">
        <f ca="1">+AQ393</f>
        <v>1741.4316550089582</v>
      </c>
      <c r="BM393" s="44">
        <f ca="1">+AU393</f>
        <v>1317.0629999999999</v>
      </c>
      <c r="BN393" s="44">
        <f ca="1">+AY393</f>
        <v>1317.0629999999999</v>
      </c>
      <c r="BO393" s="53"/>
      <c r="BQ393" s="232"/>
      <c r="BR393"/>
      <c r="BS393"/>
      <c r="BT393"/>
      <c r="BU393"/>
      <c r="BV393"/>
      <c r="BW393"/>
    </row>
    <row r="394" spans="2:75" s="11" customFormat="1">
      <c r="B394" s="326" t="s">
        <v>435</v>
      </c>
      <c r="C394" s="44"/>
      <c r="D394" s="70"/>
      <c r="E394" s="70"/>
      <c r="F394" s="70"/>
      <c r="G394" s="70"/>
      <c r="H394" s="44">
        <f>H117</f>
        <v>6.5500000000000007</v>
      </c>
      <c r="I394" s="44">
        <f>I117</f>
        <v>5.0839999999999996</v>
      </c>
      <c r="J394" s="44">
        <f>+J418+J436+J461+J469+J486</f>
        <v>3.0238574650875001</v>
      </c>
      <c r="K394" s="44">
        <f>+K418+K436+K461+K469+K486</f>
        <v>2.5205111374999998</v>
      </c>
      <c r="L394" s="44">
        <f>+L418+L436+L461+L469+L486</f>
        <v>2.0301592125000001</v>
      </c>
      <c r="M394" s="44">
        <f>+M418+M436+M461+M469+M486</f>
        <v>2.4805636625000003</v>
      </c>
      <c r="N394" s="44">
        <f>+N418+N436+N461+N469+N486+N445</f>
        <v>5.7729013249999994</v>
      </c>
      <c r="O394" s="44">
        <f>+O418+O436+O461+O469+O486+O445</f>
        <v>5.3009591374999996</v>
      </c>
      <c r="P394" s="44">
        <f t="shared" ref="P394:AA394" si="1376">+P117</f>
        <v>5.3419999999999996</v>
      </c>
      <c r="Q394" s="44">
        <f t="shared" si="1376"/>
        <v>4.7990000000000004</v>
      </c>
      <c r="R394" s="44">
        <f t="shared" si="1376"/>
        <v>5.4180000000000001</v>
      </c>
      <c r="S394" s="44">
        <f t="shared" si="1376"/>
        <v>5.73</v>
      </c>
      <c r="T394" s="44">
        <f t="shared" si="1376"/>
        <v>5.9809999999999999</v>
      </c>
      <c r="U394" s="44">
        <f t="shared" si="1376"/>
        <v>4.8739999999999997</v>
      </c>
      <c r="V394" s="44">
        <f t="shared" si="1376"/>
        <v>6.1790000000000003</v>
      </c>
      <c r="W394" s="44">
        <f t="shared" si="1376"/>
        <v>6.125</v>
      </c>
      <c r="X394" s="44">
        <f t="shared" si="1376"/>
        <v>6.8689999999999998</v>
      </c>
      <c r="Y394" s="44">
        <f t="shared" si="1376"/>
        <v>7.6470000000000002</v>
      </c>
      <c r="Z394" s="44">
        <f t="shared" si="1376"/>
        <v>7.9580000000000002</v>
      </c>
      <c r="AA394" s="44">
        <f t="shared" si="1376"/>
        <v>8.0489999999999995</v>
      </c>
      <c r="AB394" s="44">
        <f t="shared" ref="AB394:AM394" ca="1" si="1377">+AB395*AB396</f>
        <v>9.0399452941877314</v>
      </c>
      <c r="AC394" s="44">
        <f t="shared" ca="1" si="1377"/>
        <v>11.186689346277904</v>
      </c>
      <c r="AD394" s="44">
        <f t="shared" ca="1" si="1377"/>
        <v>11.770705583457161</v>
      </c>
      <c r="AE394" s="44">
        <f t="shared" ca="1" si="1377"/>
        <v>12.617322448116743</v>
      </c>
      <c r="AF394" s="44">
        <f t="shared" ca="1" si="1377"/>
        <v>13.302128966992917</v>
      </c>
      <c r="AG394" s="44">
        <f t="shared" ca="1" si="1377"/>
        <v>13.702042391915439</v>
      </c>
      <c r="AH394" s="44">
        <f t="shared" ca="1" si="1377"/>
        <v>13.980358068114613</v>
      </c>
      <c r="AI394" s="44">
        <f t="shared" ca="1" si="1377"/>
        <v>14.265405939482106</v>
      </c>
      <c r="AJ394" s="44">
        <f t="shared" ca="1" si="1377"/>
        <v>14.423004745440224</v>
      </c>
      <c r="AK394" s="44">
        <f t="shared" ca="1" si="1377"/>
        <v>14.661012252599482</v>
      </c>
      <c r="AL394" s="44">
        <f t="shared" ca="1" si="1377"/>
        <v>14.873369424280245</v>
      </c>
      <c r="AM394" s="44">
        <f t="shared" ca="1" si="1377"/>
        <v>15.056324103283371</v>
      </c>
      <c r="AN394" s="44">
        <f t="shared" ref="AN394:AY394" ca="1" si="1378">+AN395*AN396</f>
        <v>14.999080704539452</v>
      </c>
      <c r="AO394" s="44">
        <f t="shared" ca="1" si="1378"/>
        <v>15.14071957646965</v>
      </c>
      <c r="AP394" s="44">
        <f t="shared" ca="1" si="1378"/>
        <v>15.293675120101813</v>
      </c>
      <c r="AQ394" s="44">
        <f t="shared" ca="1" si="1378"/>
        <v>15.430424760660882</v>
      </c>
      <c r="AR394" s="44">
        <f t="shared" ca="1" si="1378"/>
        <v>15.403239312541293</v>
      </c>
      <c r="AS394" s="44">
        <f t="shared" ca="1" si="1378"/>
        <v>13.458682086493207</v>
      </c>
      <c r="AT394" s="44">
        <f t="shared" ca="1" si="1378"/>
        <v>11.630370600825213</v>
      </c>
      <c r="AU394" s="44">
        <f t="shared" ca="1" si="1378"/>
        <v>11.82031641486758</v>
      </c>
      <c r="AV394" s="44">
        <f t="shared" ca="1" si="1378"/>
        <v>11.81996317789257</v>
      </c>
      <c r="AW394" s="44">
        <f t="shared" ca="1" si="1378"/>
        <v>11.842293897964867</v>
      </c>
      <c r="AX394" s="44">
        <f t="shared" ca="1" si="1378"/>
        <v>11.866237221618722</v>
      </c>
      <c r="AY394" s="44">
        <f t="shared" ca="1" si="1378"/>
        <v>11.888030407163832</v>
      </c>
      <c r="AZ394" s="70"/>
      <c r="BA394" s="44"/>
      <c r="BB394" s="44"/>
      <c r="BC394" s="44"/>
      <c r="BD394" s="44">
        <f>+SUM(H394:K394)</f>
        <v>17.178368602587501</v>
      </c>
      <c r="BE394" s="44">
        <f>+SUM(L394:O394)</f>
        <v>15.5845833375</v>
      </c>
      <c r="BF394" s="44">
        <f>+SUM(P394:S394)</f>
        <v>21.289000000000001</v>
      </c>
      <c r="BG394" s="44">
        <f>+SUM(T394:W394)</f>
        <v>23.158999999999999</v>
      </c>
      <c r="BH394" s="44">
        <f>+SUM(X394:AA394)</f>
        <v>30.523</v>
      </c>
      <c r="BI394" s="44">
        <f ca="1">+SUM(AB394:AE394)</f>
        <v>44.614662672039536</v>
      </c>
      <c r="BJ394" s="44">
        <f ca="1">+SUM(AF394:AI394)</f>
        <v>55.249935366505078</v>
      </c>
      <c r="BK394" s="44">
        <f ca="1">+SUM(AJ394:AM394)</f>
        <v>59.013710525603329</v>
      </c>
      <c r="BL394" s="44">
        <f ca="1">+SUM(AN394:AQ394)</f>
        <v>60.863900161771795</v>
      </c>
      <c r="BM394" s="44">
        <f ca="1">+SUM(AR394:AU394)</f>
        <v>52.312608414727293</v>
      </c>
      <c r="BN394" s="44">
        <f ca="1">+SUM(AV394:AY394)</f>
        <v>47.41652470463999</v>
      </c>
      <c r="BO394" s="53"/>
      <c r="BQ394" s="232"/>
      <c r="BR394"/>
      <c r="BS394"/>
      <c r="BT394"/>
      <c r="BU394"/>
      <c r="BV394"/>
      <c r="BW394"/>
    </row>
    <row r="395" spans="2:75" s="11" customFormat="1">
      <c r="B395" s="327" t="s">
        <v>138</v>
      </c>
      <c r="C395" s="44"/>
      <c r="D395" s="70"/>
      <c r="E395" s="70"/>
      <c r="F395" s="70"/>
      <c r="G395" s="70"/>
      <c r="H395" s="44"/>
      <c r="I395" s="44"/>
      <c r="J395" s="44"/>
      <c r="K395" s="44"/>
      <c r="L395" s="44"/>
      <c r="M395" s="44"/>
      <c r="N395" s="44"/>
      <c r="O395" s="44"/>
      <c r="P395" s="44"/>
      <c r="Q395" s="44"/>
      <c r="R395" s="44">
        <f>+R418+R436+R461+R469+R486+R445+R453</f>
        <v>6.1372546000000003</v>
      </c>
      <c r="S395" s="44">
        <f>+S418+S436+S461+S469+S486+S445+S453</f>
        <v>6.5172545999999993</v>
      </c>
      <c r="T395" s="44">
        <f>+T418+T436+T461+T469+T486+T445+T453</f>
        <v>6.9409588249999992</v>
      </c>
      <c r="U395" s="44">
        <f>+U418+U436+U461+U469+U486+U445+U453</f>
        <v>6.8566164000000001</v>
      </c>
      <c r="V395" s="44">
        <f>+V418+V436+V461+V469+V486+V445+V453</f>
        <v>6.6512159999999998</v>
      </c>
      <c r="W395" s="44">
        <f>+W418+W436+W486+W445+W427</f>
        <v>6.4978952000000003</v>
      </c>
      <c r="X395" s="44">
        <f>+X418+X436+X486+X445+X427+X453+X478</f>
        <v>8.5904995500000005</v>
      </c>
      <c r="Y395" s="44">
        <f>+Y418+Y436+Y486+Y445+Y427+Y453+Y478</f>
        <v>9.3797984999999997</v>
      </c>
      <c r="Z395" s="44">
        <f>+Z418+Z436+Z486+Z445+Z427+Z453+Z478</f>
        <v>9.9424150999999998</v>
      </c>
      <c r="AA395" s="44">
        <f>+AA418+AA436+AA486+AA445+AA427+AA453+AA478</f>
        <v>10.743788924999999</v>
      </c>
      <c r="AB395" s="44">
        <f ca="1">+AB418+AB436+AB486+AB445+AB427+AB453+AB478+AB502+AB410</f>
        <v>12.066500700000001</v>
      </c>
      <c r="AC395" s="44">
        <f t="shared" ref="AC395:AY395" ca="1" si="1379">+AC418+AC436+AC486+AC445+AC427+AC453+AC478+AC502+AC410</f>
        <v>14.931970320034292</v>
      </c>
      <c r="AD395" s="44">
        <f t="shared" ca="1" si="1379"/>
        <v>15.711514012545992</v>
      </c>
      <c r="AE395" s="44">
        <f t="shared" ca="1" si="1379"/>
        <v>16.841576491642506</v>
      </c>
      <c r="AF395" s="44">
        <f t="shared" ca="1" si="1379"/>
        <v>17.75565484836628</v>
      </c>
      <c r="AG395" s="44">
        <f t="shared" ca="1" si="1379"/>
        <v>18.289458479331792</v>
      </c>
      <c r="AH395" s="44">
        <f t="shared" ca="1" si="1379"/>
        <v>18.660953681170849</v>
      </c>
      <c r="AI395" s="44">
        <f t="shared" ca="1" si="1379"/>
        <v>19.041435003508145</v>
      </c>
      <c r="AJ395" s="44">
        <f t="shared" ca="1" si="1379"/>
        <v>19.25179757103778</v>
      </c>
      <c r="AK395" s="44">
        <f t="shared" ca="1" si="1379"/>
        <v>19.569489510345086</v>
      </c>
      <c r="AL395" s="44">
        <f t="shared" ca="1" si="1379"/>
        <v>19.852943433720426</v>
      </c>
      <c r="AM395" s="44">
        <f t="shared" ca="1" si="1379"/>
        <v>20.097150969321209</v>
      </c>
      <c r="AN395" s="44">
        <f t="shared" ca="1" si="1379"/>
        <v>20.020742596423425</v>
      </c>
      <c r="AO395" s="44">
        <f t="shared" ca="1" si="1379"/>
        <v>20.209801876283425</v>
      </c>
      <c r="AP395" s="44">
        <f t="shared" ca="1" si="1379"/>
        <v>20.41396662664901</v>
      </c>
      <c r="AQ395" s="44">
        <f t="shared" ca="1" si="1379"/>
        <v>20.596499770360808</v>
      </c>
      <c r="AR395" s="44">
        <f t="shared" ca="1" si="1379"/>
        <v>20.560212689179494</v>
      </c>
      <c r="AS395" s="44">
        <f t="shared" ca="1" si="1379"/>
        <v>17.964621635726374</v>
      </c>
      <c r="AT395" s="44">
        <f t="shared" ca="1" si="1379"/>
        <v>15.524195161484844</v>
      </c>
      <c r="AU395" s="44">
        <f t="shared" ca="1" si="1379"/>
        <v>15.777734450000001</v>
      </c>
      <c r="AV395" s="44">
        <f t="shared" ca="1" si="1379"/>
        <v>15.777262950000001</v>
      </c>
      <c r="AW395" s="44">
        <f t="shared" ca="1" si="1379"/>
        <v>15.807069950000002</v>
      </c>
      <c r="AX395" s="44">
        <f t="shared" ca="1" si="1379"/>
        <v>15.839029450000002</v>
      </c>
      <c r="AY395" s="44">
        <f t="shared" ca="1" si="1379"/>
        <v>15.86811895</v>
      </c>
      <c r="AZ395" s="70"/>
      <c r="BA395" s="44"/>
      <c r="BB395" s="44"/>
      <c r="BC395" s="44"/>
      <c r="BD395" s="44"/>
      <c r="BE395" s="44">
        <f>+SUM(L395:O395)</f>
        <v>0</v>
      </c>
      <c r="BF395" s="44">
        <f>+SUM(P395:S395)</f>
        <v>12.6545092</v>
      </c>
      <c r="BG395" s="44">
        <f>+SUM(T395:W395)</f>
        <v>26.946686425000003</v>
      </c>
      <c r="BH395" s="44">
        <f>+SUM(X395:AA395)</f>
        <v>38.656502074999999</v>
      </c>
      <c r="BI395" s="44">
        <f ca="1">+SUM(AB395:AE395)</f>
        <v>59.551561524222791</v>
      </c>
      <c r="BJ395" s="44">
        <f ca="1">+SUM(AF395:AI395)</f>
        <v>73.747502012377069</v>
      </c>
      <c r="BK395" s="44">
        <f ca="1">+SUM(AJ395:AM395)</f>
        <v>78.771381484424495</v>
      </c>
      <c r="BL395" s="44">
        <f ca="1">+SUM(AN395:AQ395)</f>
        <v>81.241010869716675</v>
      </c>
      <c r="BM395" s="44">
        <f ca="1">+SUM(AR395:AU395)</f>
        <v>69.826763936390705</v>
      </c>
      <c r="BN395" s="44">
        <f ca="1">+SUM(AV395:AY395)</f>
        <v>63.291481300000001</v>
      </c>
      <c r="BO395" s="53"/>
      <c r="BQ395" s="232"/>
      <c r="BR395"/>
      <c r="BS395"/>
      <c r="BT395"/>
      <c r="BU395"/>
      <c r="BV395"/>
      <c r="BW395"/>
    </row>
    <row r="396" spans="2:75" s="11" customFormat="1">
      <c r="B396" s="329" t="s">
        <v>436</v>
      </c>
      <c r="C396" s="44"/>
      <c r="D396" s="70"/>
      <c r="E396" s="70"/>
      <c r="F396" s="70"/>
      <c r="G396" s="70"/>
      <c r="H396" s="44"/>
      <c r="I396" s="44"/>
      <c r="J396" s="44"/>
      <c r="K396" s="44"/>
      <c r="L396" s="44"/>
      <c r="M396" s="44"/>
      <c r="N396" s="44"/>
      <c r="O396" s="44"/>
      <c r="P396" s="44"/>
      <c r="Q396" s="44"/>
      <c r="R396" s="328">
        <f t="shared" ref="R396:W396" si="1380">+R394/R395</f>
        <v>0.88280515525622805</v>
      </c>
      <c r="S396" s="328">
        <f t="shared" si="1380"/>
        <v>0.8792045656770876</v>
      </c>
      <c r="T396" s="328">
        <f t="shared" si="1380"/>
        <v>0.86169651064022856</v>
      </c>
      <c r="U396" s="328">
        <f t="shared" si="1380"/>
        <v>0.7108462418868875</v>
      </c>
      <c r="V396" s="328">
        <f t="shared" si="1380"/>
        <v>0.92900305748602974</v>
      </c>
      <c r="W396" s="328">
        <f t="shared" si="1380"/>
        <v>0.94261292487450388</v>
      </c>
      <c r="X396" s="328">
        <f>+X394/X395</f>
        <v>0.7996042558433053</v>
      </c>
      <c r="Y396" s="328">
        <f>+Y394/Y395</f>
        <v>0.8152627159314777</v>
      </c>
      <c r="Z396" s="328">
        <f>+Z394/Z395</f>
        <v>0.800409148075099</v>
      </c>
      <c r="AA396" s="328">
        <f>+AA394/AA395</f>
        <v>0.7491770413760247</v>
      </c>
      <c r="AB396" s="45">
        <f t="shared" ref="AB396:AM396" si="1381">+AA396</f>
        <v>0.7491770413760247</v>
      </c>
      <c r="AC396" s="45">
        <f t="shared" si="1381"/>
        <v>0.7491770413760247</v>
      </c>
      <c r="AD396" s="45">
        <f t="shared" si="1381"/>
        <v>0.7491770413760247</v>
      </c>
      <c r="AE396" s="45">
        <f t="shared" si="1381"/>
        <v>0.7491770413760247</v>
      </c>
      <c r="AF396" s="45">
        <f t="shared" si="1381"/>
        <v>0.7491770413760247</v>
      </c>
      <c r="AG396" s="45">
        <f t="shared" si="1381"/>
        <v>0.7491770413760247</v>
      </c>
      <c r="AH396" s="45">
        <f t="shared" si="1381"/>
        <v>0.7491770413760247</v>
      </c>
      <c r="AI396" s="45">
        <f t="shared" si="1381"/>
        <v>0.7491770413760247</v>
      </c>
      <c r="AJ396" s="45">
        <f t="shared" si="1381"/>
        <v>0.7491770413760247</v>
      </c>
      <c r="AK396" s="45">
        <f t="shared" si="1381"/>
        <v>0.7491770413760247</v>
      </c>
      <c r="AL396" s="45">
        <f t="shared" si="1381"/>
        <v>0.7491770413760247</v>
      </c>
      <c r="AM396" s="45">
        <f t="shared" si="1381"/>
        <v>0.7491770413760247</v>
      </c>
      <c r="AN396" s="45">
        <f t="shared" ref="AN396" si="1382">+AM396</f>
        <v>0.7491770413760247</v>
      </c>
      <c r="AO396" s="45">
        <f t="shared" ref="AO396" si="1383">+AN396</f>
        <v>0.7491770413760247</v>
      </c>
      <c r="AP396" s="45">
        <f t="shared" ref="AP396" si="1384">+AO396</f>
        <v>0.7491770413760247</v>
      </c>
      <c r="AQ396" s="45">
        <f t="shared" ref="AQ396" si="1385">+AP396</f>
        <v>0.7491770413760247</v>
      </c>
      <c r="AR396" s="45">
        <f t="shared" ref="AR396" si="1386">+AQ396</f>
        <v>0.7491770413760247</v>
      </c>
      <c r="AS396" s="45">
        <f t="shared" ref="AS396" si="1387">+AR396</f>
        <v>0.7491770413760247</v>
      </c>
      <c r="AT396" s="45">
        <f t="shared" ref="AT396" si="1388">+AS396</f>
        <v>0.7491770413760247</v>
      </c>
      <c r="AU396" s="45">
        <f t="shared" ref="AU396" si="1389">+AT396</f>
        <v>0.7491770413760247</v>
      </c>
      <c r="AV396" s="45">
        <f t="shared" ref="AV396" si="1390">+AU396</f>
        <v>0.7491770413760247</v>
      </c>
      <c r="AW396" s="45">
        <f t="shared" ref="AW396" si="1391">+AV396</f>
        <v>0.7491770413760247</v>
      </c>
      <c r="AX396" s="45">
        <f t="shared" ref="AX396" si="1392">+AW396</f>
        <v>0.7491770413760247</v>
      </c>
      <c r="AY396" s="45">
        <f t="shared" ref="AY396" si="1393">+AX396</f>
        <v>0.7491770413760247</v>
      </c>
      <c r="AZ396" s="70"/>
      <c r="BA396" s="44"/>
      <c r="BB396" s="44"/>
      <c r="BC396" s="44"/>
      <c r="BD396" s="44"/>
      <c r="BE396" s="44"/>
      <c r="BF396" s="44"/>
      <c r="BG396" s="44"/>
      <c r="BH396" s="44"/>
      <c r="BI396" s="44"/>
      <c r="BJ396" s="44"/>
      <c r="BK396" s="44"/>
      <c r="BL396" s="44"/>
      <c r="BM396" s="44"/>
      <c r="BN396" s="44"/>
      <c r="BO396" s="53"/>
      <c r="BQ396" s="232"/>
      <c r="BR396"/>
      <c r="BS396"/>
      <c r="BT396"/>
      <c r="BU396"/>
      <c r="BV396"/>
      <c r="BW396"/>
    </row>
    <row r="397" spans="2:75" s="11" customFormat="1">
      <c r="B397" s="11" t="s">
        <v>140</v>
      </c>
      <c r="C397" s="45">
        <v>0.01</v>
      </c>
      <c r="D397" s="70"/>
      <c r="E397" s="70"/>
      <c r="F397" s="70"/>
      <c r="G397" s="70"/>
      <c r="H397" s="44">
        <f>-H118</f>
        <v>5.9999999999999993E-3</v>
      </c>
      <c r="I397" s="44">
        <f>-I118</f>
        <v>7.0000000000000001E-3</v>
      </c>
      <c r="J397" s="44">
        <f t="shared" ref="J397:AY397" si="1394">+$C397*J268/4</f>
        <v>1.626E-2</v>
      </c>
      <c r="K397" s="44">
        <f t="shared" si="1394"/>
        <v>1.3025E-2</v>
      </c>
      <c r="L397" s="44">
        <f t="shared" si="1394"/>
        <v>1.9820000000000001E-2</v>
      </c>
      <c r="M397" s="44">
        <f t="shared" si="1394"/>
        <v>1.8722500000000017E-2</v>
      </c>
      <c r="N397" s="44">
        <f t="shared" si="1394"/>
        <v>1.2612499999999921E-2</v>
      </c>
      <c r="O397" s="44">
        <f t="shared" si="1394"/>
        <v>2.6969999999999907E-2</v>
      </c>
      <c r="P397" s="44">
        <f t="shared" si="1394"/>
        <v>1.4369999999999945E-2</v>
      </c>
      <c r="Q397" s="44">
        <f t="shared" si="1394"/>
        <v>2.6859999999999978E-2</v>
      </c>
      <c r="R397" s="44">
        <f t="shared" si="1394"/>
        <v>2.6825000000000005E-2</v>
      </c>
      <c r="S397" s="44">
        <f t="shared" si="1394"/>
        <v>2.2010000000000054E-2</v>
      </c>
      <c r="T397" s="44">
        <f t="shared" si="1394"/>
        <v>2.436000000000008E-2</v>
      </c>
      <c r="U397" s="44">
        <f t="shared" si="1394"/>
        <v>3.1940000000000072E-2</v>
      </c>
      <c r="V397" s="44">
        <f t="shared" si="1394"/>
        <v>2.942250000000006E-2</v>
      </c>
      <c r="W397" s="44">
        <f t="shared" si="1394"/>
        <v>2.3950000000000006E-2</v>
      </c>
      <c r="X397" s="44">
        <f t="shared" si="1394"/>
        <v>4.5642500000000051E-2</v>
      </c>
      <c r="Y397" s="44">
        <f t="shared" si="1394"/>
        <v>0.10650999999999997</v>
      </c>
      <c r="Z397" s="44">
        <f t="shared" si="1394"/>
        <v>2.3177499999999931E-2</v>
      </c>
      <c r="AA397" s="44">
        <f t="shared" si="1394"/>
        <v>2.0607499999999845E-2</v>
      </c>
      <c r="AB397" s="44">
        <f t="shared" ca="1" si="1394"/>
        <v>6.033325891849918E-2</v>
      </c>
      <c r="AC397" s="44">
        <f t="shared" ca="1" si="1394"/>
        <v>3.749999999999995E-2</v>
      </c>
      <c r="AD397" s="44">
        <f t="shared" ca="1" si="1394"/>
        <v>3.7500000000000089E-2</v>
      </c>
      <c r="AE397" s="44">
        <f t="shared" ca="1" si="1394"/>
        <v>3.7499999999999895E-2</v>
      </c>
      <c r="AF397" s="44">
        <f t="shared" ca="1" si="1394"/>
        <v>3.7499999999999631E-2</v>
      </c>
      <c r="AG397" s="44">
        <f t="shared" ca="1" si="1394"/>
        <v>3.7500000000000269E-2</v>
      </c>
      <c r="AH397" s="44">
        <f t="shared" ca="1" si="1394"/>
        <v>3.7500000000000033E-2</v>
      </c>
      <c r="AI397" s="44">
        <f t="shared" ca="1" si="1394"/>
        <v>3.7500000000000033E-2</v>
      </c>
      <c r="AJ397" s="44">
        <f t="shared" ca="1" si="1394"/>
        <v>3.7500000000000033E-2</v>
      </c>
      <c r="AK397" s="44">
        <f t="shared" ca="1" si="1394"/>
        <v>3.74999999999997E-2</v>
      </c>
      <c r="AL397" s="44">
        <f t="shared" ca="1" si="1394"/>
        <v>3.7500000000000477E-2</v>
      </c>
      <c r="AM397" s="44">
        <f t="shared" ca="1" si="1394"/>
        <v>3.7499999999999485E-2</v>
      </c>
      <c r="AN397" s="44">
        <f t="shared" ca="1" si="1394"/>
        <v>3.7500000000000554E-2</v>
      </c>
      <c r="AO397" s="44">
        <f t="shared" ca="1" si="1394"/>
        <v>3.749999999999945E-2</v>
      </c>
      <c r="AP397" s="44">
        <f t="shared" ca="1" si="1394"/>
        <v>3.7499999999999985E-2</v>
      </c>
      <c r="AQ397" s="44">
        <f t="shared" ca="1" si="1394"/>
        <v>3.7500000000000693E-2</v>
      </c>
      <c r="AR397" s="44">
        <f t="shared" ca="1" si="1394"/>
        <v>3.7499999999999305E-2</v>
      </c>
      <c r="AS397" s="44">
        <f t="shared" ca="1" si="1394"/>
        <v>-1.1649999999999998</v>
      </c>
      <c r="AT397" s="44">
        <f t="shared" ca="1" si="1394"/>
        <v>3.749999999999986E-2</v>
      </c>
      <c r="AU397" s="44">
        <f t="shared" ca="1" si="1394"/>
        <v>0.63500878506104474</v>
      </c>
      <c r="AV397" s="44">
        <f t="shared" ca="1" si="1394"/>
        <v>0.5976692856400736</v>
      </c>
      <c r="AW397" s="44">
        <f t="shared" ca="1" si="1394"/>
        <v>0.57599394181072816</v>
      </c>
      <c r="AX397" s="44">
        <f t="shared" ca="1" si="1394"/>
        <v>0.55755021987734932</v>
      </c>
      <c r="AY397" s="44">
        <f t="shared" ca="1" si="1394"/>
        <v>0.54760841095914925</v>
      </c>
      <c r="AZ397" s="70"/>
      <c r="BA397" s="44"/>
      <c r="BB397" s="44"/>
      <c r="BC397" s="44"/>
      <c r="BD397" s="44">
        <f>+SUM(H397:K397)</f>
        <v>4.2285000000000003E-2</v>
      </c>
      <c r="BE397" s="44">
        <f>+SUM(L397:O397)</f>
        <v>7.8124999999999847E-2</v>
      </c>
      <c r="BF397" s="44">
        <f>+SUM(P397:S397)</f>
        <v>9.0064999999999978E-2</v>
      </c>
      <c r="BG397" s="44">
        <f>+SUM(T397:W397)</f>
        <v>0.10967250000000023</v>
      </c>
      <c r="BH397" s="44">
        <f>+SUM(X397:AA397)</f>
        <v>0.19593749999999979</v>
      </c>
      <c r="BI397" s="44">
        <f ca="1">+SUM(AB397:AE397)</f>
        <v>0.17283325891849913</v>
      </c>
      <c r="BJ397" s="44">
        <f ca="1">+SUM(AF397:AI397)</f>
        <v>0.14999999999999997</v>
      </c>
      <c r="BK397" s="44">
        <f ca="1">+SUM(AJ397:AM397)</f>
        <v>0.14999999999999969</v>
      </c>
      <c r="BL397" s="44">
        <f ca="1">+SUM(AN397:AQ397)</f>
        <v>0.15000000000000069</v>
      </c>
      <c r="BM397" s="44">
        <f ca="1">+SUM(AR397:AU397)</f>
        <v>-0.454991214938956</v>
      </c>
      <c r="BN397" s="44">
        <f ca="1">+SUM(AV397:AY397)</f>
        <v>2.2788218582873001</v>
      </c>
      <c r="BO397" s="53"/>
      <c r="BQ397" s="232"/>
      <c r="BR397"/>
      <c r="BS397"/>
      <c r="BT397"/>
      <c r="BU397"/>
      <c r="BV397"/>
      <c r="BW397"/>
    </row>
    <row r="398" spans="2:75" s="11" customFormat="1">
      <c r="C398" s="47"/>
      <c r="D398" s="70"/>
      <c r="E398" s="70"/>
      <c r="F398" s="70"/>
      <c r="G398" s="70"/>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70"/>
      <c r="BA398" s="44"/>
      <c r="BB398" s="44"/>
      <c r="BC398" s="44"/>
      <c r="BD398" s="44"/>
      <c r="BE398" s="44"/>
      <c r="BF398" s="44"/>
      <c r="BG398" s="44"/>
      <c r="BH398" s="44"/>
      <c r="BI398" s="44"/>
      <c r="BJ398" s="44"/>
      <c r="BK398" s="44"/>
      <c r="BL398" s="44"/>
      <c r="BM398" s="44"/>
      <c r="BN398" s="44"/>
      <c r="BO398" s="53"/>
      <c r="BQ398" s="232"/>
      <c r="BR398"/>
      <c r="BS398"/>
      <c r="BT398"/>
      <c r="BU398"/>
      <c r="BV398"/>
      <c r="BW398"/>
    </row>
    <row r="399" spans="2:75" s="11" customFormat="1">
      <c r="B399" s="53" t="s">
        <v>309</v>
      </c>
      <c r="C399" s="47"/>
      <c r="D399" s="70"/>
      <c r="E399" s="70"/>
      <c r="F399" s="70"/>
      <c r="G399" s="44">
        <f>+G268</f>
        <v>8.2319999999999993</v>
      </c>
      <c r="H399" s="208"/>
      <c r="I399" s="44">
        <f t="shared" ref="I399:AY399" si="1395">+I268</f>
        <v>4.7</v>
      </c>
      <c r="J399" s="44">
        <f t="shared" si="1395"/>
        <v>6.5039999999999996</v>
      </c>
      <c r="K399" s="44">
        <f t="shared" si="1395"/>
        <v>5.21</v>
      </c>
      <c r="L399" s="44">
        <f t="shared" si="1395"/>
        <v>7.9279999999999999</v>
      </c>
      <c r="M399" s="44">
        <f t="shared" si="1395"/>
        <v>7.4890000000000061</v>
      </c>
      <c r="N399" s="44">
        <f t="shared" si="1395"/>
        <v>5.044999999999968</v>
      </c>
      <c r="O399" s="44">
        <f t="shared" si="1395"/>
        <v>10.787999999999963</v>
      </c>
      <c r="P399" s="44">
        <f t="shared" si="1395"/>
        <v>5.747999999999978</v>
      </c>
      <c r="Q399" s="44">
        <f t="shared" si="1395"/>
        <v>10.743999999999991</v>
      </c>
      <c r="R399" s="44">
        <f t="shared" si="1395"/>
        <v>10.730000000000002</v>
      </c>
      <c r="S399" s="44">
        <f t="shared" si="1395"/>
        <v>8.8040000000000216</v>
      </c>
      <c r="T399" s="44">
        <f t="shared" si="1395"/>
        <v>9.7440000000000317</v>
      </c>
      <c r="U399" s="44">
        <f t="shared" si="1395"/>
        <v>12.776000000000028</v>
      </c>
      <c r="V399" s="44">
        <f t="shared" si="1395"/>
        <v>11.769000000000023</v>
      </c>
      <c r="W399" s="44">
        <f t="shared" si="1395"/>
        <v>9.5800000000000018</v>
      </c>
      <c r="X399" s="44">
        <f t="shared" si="1395"/>
        <v>18.257000000000019</v>
      </c>
      <c r="Y399" s="44">
        <f t="shared" si="1395"/>
        <v>42.603999999999985</v>
      </c>
      <c r="Z399" s="44">
        <f t="shared" si="1395"/>
        <v>9.2709999999999724</v>
      </c>
      <c r="AA399" s="44">
        <f t="shared" si="1395"/>
        <v>8.2429999999999382</v>
      </c>
      <c r="AB399" s="44">
        <f t="shared" ca="1" si="1395"/>
        <v>24.133303567399672</v>
      </c>
      <c r="AC399" s="44">
        <f t="shared" ca="1" si="1395"/>
        <v>14.999999999999979</v>
      </c>
      <c r="AD399" s="44">
        <f t="shared" ca="1" si="1395"/>
        <v>15.000000000000036</v>
      </c>
      <c r="AE399" s="44">
        <f t="shared" ca="1" si="1395"/>
        <v>14.999999999999957</v>
      </c>
      <c r="AF399" s="44">
        <f t="shared" ca="1" si="1395"/>
        <v>14.999999999999851</v>
      </c>
      <c r="AG399" s="44">
        <f t="shared" ca="1" si="1395"/>
        <v>15.000000000000107</v>
      </c>
      <c r="AH399" s="44">
        <f t="shared" ca="1" si="1395"/>
        <v>15.000000000000014</v>
      </c>
      <c r="AI399" s="44">
        <f t="shared" ca="1" si="1395"/>
        <v>15.000000000000014</v>
      </c>
      <c r="AJ399" s="44">
        <f t="shared" ca="1" si="1395"/>
        <v>15.000000000000014</v>
      </c>
      <c r="AK399" s="44">
        <f t="shared" ca="1" si="1395"/>
        <v>14.999999999999879</v>
      </c>
      <c r="AL399" s="44">
        <f t="shared" ca="1" si="1395"/>
        <v>15.000000000000192</v>
      </c>
      <c r="AM399" s="44">
        <f t="shared" ca="1" si="1395"/>
        <v>14.999999999999794</v>
      </c>
      <c r="AN399" s="44">
        <f t="shared" ca="1" si="1395"/>
        <v>15.00000000000022</v>
      </c>
      <c r="AO399" s="44">
        <f t="shared" ca="1" si="1395"/>
        <v>14.99999999999978</v>
      </c>
      <c r="AP399" s="44">
        <f t="shared" ca="1" si="1395"/>
        <v>14.999999999999993</v>
      </c>
      <c r="AQ399" s="44">
        <f t="shared" ca="1" si="1395"/>
        <v>15.000000000000277</v>
      </c>
      <c r="AR399" s="44">
        <f t="shared" ca="1" si="1395"/>
        <v>14.999999999999723</v>
      </c>
      <c r="AS399" s="44">
        <f t="shared" ca="1" si="1395"/>
        <v>-465.99999999999994</v>
      </c>
      <c r="AT399" s="44">
        <f t="shared" ca="1" si="1395"/>
        <v>14.999999999999943</v>
      </c>
      <c r="AU399" s="44">
        <f t="shared" ca="1" si="1395"/>
        <v>254.00351402441791</v>
      </c>
      <c r="AV399" s="44">
        <f t="shared" ca="1" si="1395"/>
        <v>239.06771425602943</v>
      </c>
      <c r="AW399" s="44">
        <f t="shared" ca="1" si="1395"/>
        <v>230.39757672429124</v>
      </c>
      <c r="AX399" s="44">
        <f t="shared" ca="1" si="1395"/>
        <v>223.02008795093971</v>
      </c>
      <c r="AY399" s="44">
        <f t="shared" ca="1" si="1395"/>
        <v>219.04336438365968</v>
      </c>
      <c r="AZ399" s="70"/>
      <c r="BA399" s="44"/>
      <c r="BB399" s="44">
        <f t="shared" ref="BB399:BN399" si="1396">+BB268</f>
        <v>7.3419999999999996</v>
      </c>
      <c r="BC399" s="44">
        <f t="shared" si="1396"/>
        <v>8.2319999999999993</v>
      </c>
      <c r="BD399" s="44">
        <f t="shared" si="1396"/>
        <v>5.21</v>
      </c>
      <c r="BE399" s="44">
        <f t="shared" si="1396"/>
        <v>10.787999999999963</v>
      </c>
      <c r="BF399" s="44">
        <f t="shared" si="1396"/>
        <v>8.8040000000000216</v>
      </c>
      <c r="BG399" s="44">
        <f t="shared" si="1396"/>
        <v>9.5800000000000018</v>
      </c>
      <c r="BH399" s="44">
        <f t="shared" si="1396"/>
        <v>8.2429999999999382</v>
      </c>
      <c r="BI399" s="44">
        <f t="shared" ca="1" si="1396"/>
        <v>14.999999999999957</v>
      </c>
      <c r="BJ399" s="44">
        <f t="shared" ca="1" si="1396"/>
        <v>15.000000000000014</v>
      </c>
      <c r="BK399" s="44">
        <f t="shared" ca="1" si="1396"/>
        <v>14.999999999999794</v>
      </c>
      <c r="BL399" s="44">
        <f t="shared" ca="1" si="1396"/>
        <v>15.000000000000277</v>
      </c>
      <c r="BM399" s="44">
        <f t="shared" ca="1" si="1396"/>
        <v>254.00351402441791</v>
      </c>
      <c r="BN399" s="44">
        <f t="shared" ca="1" si="1396"/>
        <v>219.04336438365968</v>
      </c>
      <c r="BO399" s="53"/>
      <c r="BQ399" s="232"/>
      <c r="BR399"/>
      <c r="BS399"/>
      <c r="BT399"/>
      <c r="BU399"/>
      <c r="BV399"/>
      <c r="BW399"/>
    </row>
    <row r="400" spans="2:75" s="11" customFormat="1">
      <c r="C400" s="47"/>
      <c r="D400" s="70"/>
      <c r="E400" s="70"/>
      <c r="F400" s="70"/>
      <c r="G400" s="70"/>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70"/>
      <c r="BA400" s="44"/>
      <c r="BB400" s="44"/>
      <c r="BC400" s="44"/>
      <c r="BD400" s="44"/>
      <c r="BE400" s="44"/>
      <c r="BF400" s="44"/>
      <c r="BG400" s="44"/>
      <c r="BH400" s="44"/>
      <c r="BI400" s="44"/>
      <c r="BJ400" s="44"/>
      <c r="BK400" s="44"/>
      <c r="BL400" s="44"/>
      <c r="BM400" s="44"/>
      <c r="BN400" s="44"/>
      <c r="BO400" s="53"/>
      <c r="BQ400" s="232"/>
      <c r="BR400"/>
      <c r="BS400"/>
      <c r="BT400"/>
      <c r="BU400"/>
      <c r="BV400"/>
      <c r="BW400"/>
    </row>
    <row r="401" spans="1:75">
      <c r="B401" t="s">
        <v>311</v>
      </c>
      <c r="C401" s="22"/>
      <c r="D401" s="22"/>
      <c r="E401" s="22"/>
      <c r="F401" s="22"/>
      <c r="G401" s="22"/>
      <c r="J401" s="46">
        <f t="shared" ref="J401:AY401" si="1397">+J393/(J113*4)</f>
        <v>7.7608789479029117</v>
      </c>
      <c r="K401" s="46">
        <f t="shared" si="1397"/>
        <v>4.0969120972300734</v>
      </c>
      <c r="L401" s="46">
        <f t="shared" si="1397"/>
        <v>4.6859486942454343</v>
      </c>
      <c r="M401" s="46">
        <f t="shared" si="1397"/>
        <v>5.7035175879396993</v>
      </c>
      <c r="N401" s="46">
        <f t="shared" si="1397"/>
        <v>5.6644043099812089</v>
      </c>
      <c r="O401" s="46">
        <f t="shared" si="1397"/>
        <v>5.4880546369023024</v>
      </c>
      <c r="P401" s="46">
        <f t="shared" si="1397"/>
        <v>4.7905043875294284</v>
      </c>
      <c r="Q401" s="46">
        <f t="shared" si="1397"/>
        <v>5.9229530601985658</v>
      </c>
      <c r="R401" s="46">
        <f t="shared" si="1397"/>
        <v>5.2447995195624957</v>
      </c>
      <c r="S401" s="46">
        <f t="shared" si="1397"/>
        <v>5.309395327307719</v>
      </c>
      <c r="T401" s="46">
        <f t="shared" si="1397"/>
        <v>5.4925309804468627</v>
      </c>
      <c r="U401" s="46">
        <f t="shared" si="1397"/>
        <v>4.5393637778703431</v>
      </c>
      <c r="V401" s="46">
        <f t="shared" si="1397"/>
        <v>4.5610599078341032</v>
      </c>
      <c r="W401" s="46">
        <f t="shared" si="1397"/>
        <v>4.9883584001322205</v>
      </c>
      <c r="X401" s="46">
        <f t="shared" si="1397"/>
        <v>5.3436548538762647</v>
      </c>
      <c r="Y401" s="46">
        <f t="shared" si="1397"/>
        <v>5.4381269544734598</v>
      </c>
      <c r="Z401" s="46">
        <f t="shared" si="1397"/>
        <v>5.190442690135793</v>
      </c>
      <c r="AA401" s="46">
        <f t="shared" si="1397"/>
        <v>5.3477033983790756</v>
      </c>
      <c r="AB401" s="46">
        <f t="shared" ca="1" si="1397"/>
        <v>6.2220116647841719</v>
      </c>
      <c r="AC401" s="46">
        <f t="shared" ca="1" si="1397"/>
        <v>6.4386968926905954</v>
      </c>
      <c r="AD401" s="46">
        <f t="shared" ca="1" si="1397"/>
        <v>6.6370725060318794</v>
      </c>
      <c r="AE401" s="46">
        <f t="shared" ca="1" si="1397"/>
        <v>6.6532439774306491</v>
      </c>
      <c r="AF401" s="46">
        <f t="shared" ca="1" si="1397"/>
        <v>6.6471061021051536</v>
      </c>
      <c r="AG401" s="46">
        <f t="shared" ca="1" si="1397"/>
        <v>6.762741539795659</v>
      </c>
      <c r="AH401" s="46">
        <f t="shared" ca="1" si="1397"/>
        <v>6.6514942086516111</v>
      </c>
      <c r="AI401" s="46">
        <f t="shared" ca="1" si="1397"/>
        <v>6.362498807298774</v>
      </c>
      <c r="AJ401" s="46">
        <f t="shared" ca="1" si="1397"/>
        <v>6.3032331502406818</v>
      </c>
      <c r="AK401" s="46">
        <f t="shared" ca="1" si="1397"/>
        <v>6.3679449182504726</v>
      </c>
      <c r="AL401" s="46">
        <f t="shared" ca="1" si="1397"/>
        <v>6.2107791439014184</v>
      </c>
      <c r="AM401" s="46">
        <f t="shared" ca="1" si="1397"/>
        <v>5.9012939596016345</v>
      </c>
      <c r="AN401" s="46">
        <f t="shared" ca="1" si="1397"/>
        <v>5.8133491948012201</v>
      </c>
      <c r="AO401" s="46">
        <f t="shared" ca="1" si="1397"/>
        <v>5.8582557731740206</v>
      </c>
      <c r="AP401" s="46">
        <f t="shared" ca="1" si="1397"/>
        <v>5.7144032258285868</v>
      </c>
      <c r="AQ401" s="46">
        <f t="shared" ca="1" si="1397"/>
        <v>5.4325929934687034</v>
      </c>
      <c r="AR401" s="46">
        <f t="shared" ca="1" si="1397"/>
        <v>5.3519108127836912</v>
      </c>
      <c r="AS401" s="46">
        <f t="shared" ca="1" si="1397"/>
        <v>3.91865000915279</v>
      </c>
      <c r="AT401" s="46">
        <f t="shared" ca="1" si="1397"/>
        <v>3.9174098918029046</v>
      </c>
      <c r="AU401" s="46">
        <f t="shared" ca="1" si="1397"/>
        <v>3.7128581978244646</v>
      </c>
      <c r="AV401" s="46">
        <f t="shared" ca="1" si="1397"/>
        <v>3.6455318408613691</v>
      </c>
      <c r="AW401" s="46">
        <f t="shared" ca="1" si="1397"/>
        <v>3.6501763626067949</v>
      </c>
      <c r="AX401" s="46">
        <f t="shared" ca="1" si="1397"/>
        <v>3.5441657529540223</v>
      </c>
      <c r="AY401" s="46">
        <f t="shared" ca="1" si="1397"/>
        <v>3.363005880938875</v>
      </c>
      <c r="AZ401" s="71"/>
      <c r="BA401" s="46"/>
      <c r="BB401" s="46"/>
      <c r="BC401" s="46"/>
      <c r="BD401" s="46">
        <f t="shared" ref="BD401:BN401" si="1398">+BD393/(BD113)</f>
        <v>4.4232710720052903</v>
      </c>
      <c r="BE401" s="46">
        <f t="shared" si="1398"/>
        <v>6.3706973256685844</v>
      </c>
      <c r="BF401" s="46">
        <f t="shared" si="1398"/>
        <v>6.2249285918309063</v>
      </c>
      <c r="BG401" s="46">
        <f t="shared" si="1398"/>
        <v>5.2395434374559198</v>
      </c>
      <c r="BH401" s="46">
        <f t="shared" si="1398"/>
        <v>5.913859424735783</v>
      </c>
      <c r="BI401" s="46">
        <f t="shared" ca="1" si="1398"/>
        <v>7.0107506963981807</v>
      </c>
      <c r="BJ401" s="46">
        <f t="shared" ca="1" si="1398"/>
        <v>6.7419331486961545</v>
      </c>
      <c r="BK401" s="46">
        <f t="shared" ca="1" si="1398"/>
        <v>6.2410094794837292</v>
      </c>
      <c r="BL401" s="46">
        <f t="shared" ca="1" si="1398"/>
        <v>5.7415054891448003</v>
      </c>
      <c r="BM401" s="46">
        <f t="shared" ca="1" si="1398"/>
        <v>3.9203345964570069</v>
      </c>
      <c r="BN401" s="46">
        <f t="shared" ca="1" si="1398"/>
        <v>3.5468078863835939</v>
      </c>
    </row>
    <row r="402" spans="1:75">
      <c r="B402" t="s">
        <v>310</v>
      </c>
      <c r="C402" s="22"/>
      <c r="D402" s="22"/>
      <c r="E402" s="22"/>
      <c r="F402" s="22"/>
      <c r="G402" s="22"/>
      <c r="J402" s="46">
        <f t="shared" ref="J402:AY402" si="1399">+(J393-J399)/(J113*4)</f>
        <v>7.6783157306793921</v>
      </c>
      <c r="K402" s="46">
        <f t="shared" si="1399"/>
        <v>4.0355544563783683</v>
      </c>
      <c r="L402" s="46">
        <f t="shared" si="1399"/>
        <v>4.5943378784377158</v>
      </c>
      <c r="M402" s="46">
        <f t="shared" si="1399"/>
        <v>5.6231048404415249</v>
      </c>
      <c r="N402" s="46">
        <f t="shared" si="1399"/>
        <v>5.6160416427010222</v>
      </c>
      <c r="O402" s="46">
        <f t="shared" si="1399"/>
        <v>5.3951443433925874</v>
      </c>
      <c r="P402" s="46">
        <f t="shared" si="1399"/>
        <v>4.7392452022544056</v>
      </c>
      <c r="Q402" s="46">
        <f t="shared" si="1399"/>
        <v>5.8385619580243793</v>
      </c>
      <c r="R402" s="46">
        <f t="shared" si="1399"/>
        <v>5.1762477319772051</v>
      </c>
      <c r="S402" s="46">
        <f t="shared" si="1399"/>
        <v>5.2557738689794613</v>
      </c>
      <c r="T402" s="46">
        <f t="shared" si="1399"/>
        <v>5.4358943061077394</v>
      </c>
      <c r="U402" s="46">
        <f t="shared" si="1399"/>
        <v>4.4693398811742258</v>
      </c>
      <c r="V402" s="46">
        <f t="shared" si="1399"/>
        <v>4.4988637804929619</v>
      </c>
      <c r="W402" s="46">
        <f t="shared" si="1399"/>
        <v>4.9388790182629529</v>
      </c>
      <c r="X402" s="46">
        <f t="shared" si="1399"/>
        <v>5.2491197365423234</v>
      </c>
      <c r="Y402" s="46">
        <f t="shared" si="1399"/>
        <v>5.2218454290703811</v>
      </c>
      <c r="Z402" s="46">
        <f t="shared" si="1399"/>
        <v>5.1466694366277004</v>
      </c>
      <c r="AA402" s="46">
        <f t="shared" si="1399"/>
        <v>5.3118630213224822</v>
      </c>
      <c r="AB402" s="46">
        <f t="shared" ca="1" si="1399"/>
        <v>6.1091051139035324</v>
      </c>
      <c r="AC402" s="46">
        <f t="shared" ca="1" si="1399"/>
        <v>6.3696207835650043</v>
      </c>
      <c r="AD402" s="46">
        <f t="shared" ca="1" si="1399"/>
        <v>6.5696504794803001</v>
      </c>
      <c r="AE402" s="46">
        <f t="shared" ca="1" si="1399"/>
        <v>6.5890538282922453</v>
      </c>
      <c r="AF402" s="46">
        <f t="shared" ca="1" si="1399"/>
        <v>6.5841907081823523</v>
      </c>
      <c r="AG402" s="46">
        <f t="shared" ca="1" si="1399"/>
        <v>6.6998677744885811</v>
      </c>
      <c r="AH402" s="46">
        <f t="shared" ca="1" si="1399"/>
        <v>6.5906052763760687</v>
      </c>
      <c r="AI402" s="46">
        <f t="shared" ca="1" si="1399"/>
        <v>6.3049556338445072</v>
      </c>
      <c r="AJ402" s="46">
        <f t="shared" ca="1" si="1399"/>
        <v>6.2467883925390542</v>
      </c>
      <c r="AK402" s="46">
        <f t="shared" ca="1" si="1399"/>
        <v>6.3114016599578884</v>
      </c>
      <c r="AL402" s="46">
        <f t="shared" ca="1" si="1399"/>
        <v>6.1559522443467456</v>
      </c>
      <c r="AM402" s="46">
        <f t="shared" ca="1" si="1399"/>
        <v>5.849425859693766</v>
      </c>
      <c r="AN402" s="46">
        <f t="shared" ca="1" si="1399"/>
        <v>5.7624659831640166</v>
      </c>
      <c r="AO402" s="46">
        <f t="shared" ca="1" si="1399"/>
        <v>5.8073000002623845</v>
      </c>
      <c r="AP402" s="46">
        <f t="shared" ca="1" si="1399"/>
        <v>5.6649806149109079</v>
      </c>
      <c r="AQ402" s="46">
        <f t="shared" ca="1" si="1399"/>
        <v>5.3857987970570083</v>
      </c>
      <c r="AR402" s="46">
        <f t="shared" ca="1" si="1399"/>
        <v>5.3059899895338738</v>
      </c>
      <c r="AS402" s="46">
        <f t="shared" ca="1" si="1399"/>
        <v>5.3470457897679218</v>
      </c>
      <c r="AT402" s="46">
        <f t="shared" ca="1" si="1399"/>
        <v>3.8727946012837391</v>
      </c>
      <c r="AU402" s="46">
        <f t="shared" ca="1" si="1399"/>
        <v>2.9968111831244988</v>
      </c>
      <c r="AV402" s="46">
        <f t="shared" ca="1" si="1399"/>
        <v>2.9838102949350902</v>
      </c>
      <c r="AW402" s="46">
        <f t="shared" ca="1" si="1399"/>
        <v>3.0116406292661018</v>
      </c>
      <c r="AX402" s="46">
        <f t="shared" ca="1" si="1399"/>
        <v>2.9440272949330204</v>
      </c>
      <c r="AY402" s="46">
        <f t="shared" ca="1" si="1399"/>
        <v>2.8036976909715881</v>
      </c>
      <c r="AZ402" s="71"/>
      <c r="BA402" s="46"/>
      <c r="BB402" s="46"/>
      <c r="BC402" s="46"/>
      <c r="BD402" s="46"/>
      <c r="BE402" s="46"/>
      <c r="BF402" s="46"/>
      <c r="BG402" s="46"/>
      <c r="BH402" s="46"/>
      <c r="BI402" s="46"/>
      <c r="BJ402" s="46"/>
      <c r="BK402" s="46"/>
      <c r="BL402" s="46"/>
      <c r="BM402" s="46"/>
      <c r="BN402" s="46"/>
    </row>
    <row r="403" spans="1:75">
      <c r="C403" s="22"/>
      <c r="D403" s="22"/>
      <c r="E403" s="22"/>
      <c r="F403" s="22"/>
      <c r="G403" s="22"/>
      <c r="J403" s="46"/>
      <c r="K403" s="46"/>
      <c r="L403" s="46"/>
      <c r="M403" s="46"/>
      <c r="N403" s="46"/>
      <c r="O403" s="46"/>
      <c r="P403" s="46"/>
      <c r="Q403" s="46"/>
      <c r="R403" s="46"/>
      <c r="S403" s="46"/>
      <c r="T403" s="46"/>
      <c r="U403" s="46"/>
      <c r="V403" s="46"/>
      <c r="W403" s="46"/>
      <c r="X403" s="46"/>
      <c r="Y403" s="46"/>
      <c r="Z403" s="46"/>
      <c r="AA403" s="46"/>
      <c r="AB403" s="46"/>
      <c r="AC403" s="46"/>
      <c r="AD403" s="46"/>
      <c r="AE403" s="46"/>
      <c r="AF403" s="46"/>
      <c r="AG403" s="46"/>
      <c r="AH403" s="46"/>
      <c r="AI403" s="46"/>
      <c r="AJ403" s="46"/>
      <c r="AK403" s="46"/>
      <c r="AL403" s="46"/>
      <c r="AM403" s="46"/>
      <c r="AN403" s="46"/>
      <c r="AO403" s="46"/>
      <c r="AP403" s="46"/>
      <c r="AQ403" s="46"/>
      <c r="AR403" s="46"/>
      <c r="AS403" s="46"/>
      <c r="AT403" s="46"/>
      <c r="AU403" s="46"/>
      <c r="AV403" s="46"/>
      <c r="AW403" s="46"/>
      <c r="AX403" s="46"/>
      <c r="AY403" s="46"/>
      <c r="AZ403" s="71"/>
      <c r="BA403" s="46"/>
      <c r="BB403" s="46"/>
      <c r="BC403" s="46"/>
      <c r="BD403" s="46"/>
      <c r="BE403" s="46"/>
      <c r="BF403" s="46"/>
      <c r="BG403" s="46"/>
      <c r="BH403" s="46"/>
      <c r="BI403" s="46"/>
      <c r="BJ403" s="46"/>
      <c r="BK403" s="46"/>
      <c r="BL403" s="46"/>
      <c r="BM403" s="46"/>
      <c r="BN403" s="46"/>
    </row>
    <row r="404" spans="1:75" s="11" customFormat="1">
      <c r="A404" s="53"/>
      <c r="B404" s="11" t="s">
        <v>133</v>
      </c>
      <c r="D404" s="47"/>
      <c r="E404" s="47"/>
      <c r="F404" s="47"/>
      <c r="G404" s="47"/>
      <c r="I404" s="42">
        <v>2E-3</v>
      </c>
      <c r="J404" s="43">
        <f>+I404+0.0001</f>
        <v>2.0999999999999999E-3</v>
      </c>
      <c r="K404" s="43">
        <f t="shared" ref="K404:W404" si="1400">+J404+0.0001</f>
        <v>2.1999999999999997E-3</v>
      </c>
      <c r="L404" s="43">
        <f t="shared" si="1400"/>
        <v>2.2999999999999995E-3</v>
      </c>
      <c r="M404" s="43">
        <f t="shared" si="1400"/>
        <v>2.3999999999999994E-3</v>
      </c>
      <c r="N404" s="43">
        <f t="shared" si="1400"/>
        <v>2.4999999999999992E-3</v>
      </c>
      <c r="O404" s="43">
        <f t="shared" si="1400"/>
        <v>2.599999999999999E-3</v>
      </c>
      <c r="P404" s="43">
        <f t="shared" si="1400"/>
        <v>2.6999999999999988E-3</v>
      </c>
      <c r="Q404" s="43">
        <f t="shared" si="1400"/>
        <v>2.7999999999999987E-3</v>
      </c>
      <c r="R404" s="43">
        <f t="shared" si="1400"/>
        <v>2.8999999999999985E-3</v>
      </c>
      <c r="S404" s="43">
        <f t="shared" si="1400"/>
        <v>2.9999999999999983E-3</v>
      </c>
      <c r="T404" s="43">
        <f t="shared" si="1400"/>
        <v>3.0999999999999982E-3</v>
      </c>
      <c r="U404" s="43">
        <f t="shared" si="1400"/>
        <v>3.199999999999998E-3</v>
      </c>
      <c r="V404" s="43">
        <f t="shared" si="1400"/>
        <v>3.2999999999999978E-3</v>
      </c>
      <c r="W404" s="43">
        <f t="shared" si="1400"/>
        <v>3.3999999999999976E-3</v>
      </c>
      <c r="X404" s="358">
        <v>9.9243999999999999E-3</v>
      </c>
      <c r="Y404" s="358">
        <v>1.23E-2</v>
      </c>
      <c r="Z404" s="358">
        <v>1.4E-2</v>
      </c>
      <c r="AA404" s="358">
        <v>1.4E-2</v>
      </c>
      <c r="AB404" s="43">
        <v>1.7017000000000001E-2</v>
      </c>
      <c r="AC404" s="43">
        <v>2.0688300000000003E-2</v>
      </c>
      <c r="AD404" s="43">
        <v>2.10656E-2</v>
      </c>
      <c r="AE404" s="43">
        <v>2.2580700000000002E-2</v>
      </c>
      <c r="AF404" s="43">
        <v>2.3996200000000002E-2</v>
      </c>
      <c r="AG404" s="43">
        <v>2.4843799999999999E-2</v>
      </c>
      <c r="AH404" s="43">
        <v>2.5163099999999997E-2</v>
      </c>
      <c r="AI404" s="43">
        <v>2.5659399999999999E-2</v>
      </c>
      <c r="AJ404" s="43">
        <v>2.5713900000000001E-2</v>
      </c>
      <c r="AK404" s="43">
        <v>2.6232399999999999E-2</v>
      </c>
      <c r="AL404" s="43">
        <v>2.6744500000000004E-2</v>
      </c>
      <c r="AM404" s="43">
        <v>2.7241300000000003E-2</v>
      </c>
      <c r="AN404" s="43">
        <v>2.6723499999999997E-2</v>
      </c>
      <c r="AO404" s="43">
        <v>2.70228E-2</v>
      </c>
      <c r="AP404" s="43">
        <v>2.73177E-2</v>
      </c>
      <c r="AQ404" s="43">
        <v>2.7604400000000001E-2</v>
      </c>
      <c r="AR404" s="43">
        <v>2.7240000000000004E-2</v>
      </c>
      <c r="AS404" s="43">
        <v>2.7430200000000002E-2</v>
      </c>
      <c r="AT404" s="43">
        <v>2.7616900000000003E-2</v>
      </c>
      <c r="AU404" s="43">
        <v>2.7802400000000001E-2</v>
      </c>
      <c r="AV404" s="43">
        <v>2.7800099999999998E-2</v>
      </c>
      <c r="AW404" s="43">
        <v>2.7945500000000002E-2</v>
      </c>
      <c r="AX404" s="43">
        <v>2.8101400000000002E-2</v>
      </c>
      <c r="AY404" s="43">
        <v>2.8243299999999999E-2</v>
      </c>
      <c r="AZ404" s="57"/>
      <c r="BA404" s="43"/>
      <c r="BB404" s="43"/>
      <c r="BC404" s="43"/>
      <c r="BD404" s="43"/>
      <c r="BE404" s="43"/>
      <c r="BF404" s="43"/>
      <c r="BG404" s="43"/>
      <c r="BH404" s="43"/>
      <c r="BI404" s="43"/>
      <c r="BJ404" s="43"/>
      <c r="BK404" s="43"/>
      <c r="BL404" s="43"/>
      <c r="BM404" s="43"/>
      <c r="BN404" s="43"/>
      <c r="BO404" s="53"/>
      <c r="BQ404" s="232"/>
      <c r="BR404"/>
      <c r="BS404"/>
      <c r="BT404"/>
      <c r="BU404"/>
      <c r="BV404"/>
      <c r="BW404"/>
    </row>
    <row r="405" spans="1:75" s="11" customFormat="1">
      <c r="A405" s="53"/>
      <c r="D405" s="47"/>
      <c r="E405" s="47"/>
      <c r="F405" s="47"/>
      <c r="G405" s="47"/>
      <c r="I405" s="42"/>
      <c r="J405" s="43"/>
      <c r="K405" s="43"/>
      <c r="L405" s="43"/>
      <c r="M405" s="43"/>
      <c r="N405" s="43"/>
      <c r="O405" s="43"/>
      <c r="P405" s="43"/>
      <c r="Q405" s="43"/>
      <c r="R405" s="43"/>
      <c r="S405" s="43"/>
      <c r="T405" s="43"/>
      <c r="U405" s="43"/>
      <c r="V405" s="43"/>
      <c r="W405" s="43"/>
      <c r="X405" s="43"/>
      <c r="Y405" s="43"/>
      <c r="Z405" s="43"/>
      <c r="AA405" s="43"/>
      <c r="AB405" s="43"/>
      <c r="AC405" s="43"/>
      <c r="AD405" s="43"/>
      <c r="AE405" s="43"/>
      <c r="AF405" s="43"/>
      <c r="AG405" s="43"/>
      <c r="AH405" s="43"/>
      <c r="AI405" s="43"/>
      <c r="AJ405" s="43"/>
      <c r="AK405" s="43"/>
      <c r="AL405" s="43"/>
      <c r="AM405" s="43"/>
      <c r="AN405" s="43"/>
      <c r="AO405" s="43"/>
      <c r="AP405" s="43"/>
      <c r="AQ405" s="43"/>
      <c r="AR405" s="43"/>
      <c r="AS405" s="43"/>
      <c r="AT405" s="43"/>
      <c r="AU405" s="43"/>
      <c r="AV405" s="43"/>
      <c r="AW405" s="43"/>
      <c r="AX405" s="43"/>
      <c r="AY405" s="43"/>
      <c r="AZ405" s="57"/>
      <c r="BA405" s="43"/>
      <c r="BB405" s="43"/>
      <c r="BC405" s="43"/>
      <c r="BD405" s="43"/>
      <c r="BE405" s="43"/>
      <c r="BF405" s="43"/>
      <c r="BG405" s="43"/>
      <c r="BH405" s="43"/>
      <c r="BI405" s="43"/>
      <c r="BJ405" s="43"/>
      <c r="BK405" s="43"/>
      <c r="BL405" s="43"/>
      <c r="BM405" s="43"/>
      <c r="BN405" s="43"/>
      <c r="BO405" s="53"/>
      <c r="BQ405" s="232"/>
      <c r="BR405"/>
      <c r="BS405"/>
      <c r="BT405"/>
      <c r="BU405"/>
      <c r="BV405"/>
      <c r="BW405"/>
    </row>
    <row r="406" spans="1:75" s="11" customFormat="1">
      <c r="A406" s="53"/>
      <c r="B406" s="355" t="s">
        <v>488</v>
      </c>
      <c r="D406" s="47"/>
      <c r="E406" s="47"/>
      <c r="F406" s="47"/>
      <c r="G406" s="47"/>
      <c r="I406" s="42"/>
      <c r="J406" s="43"/>
      <c r="K406" s="43"/>
      <c r="L406" s="43"/>
      <c r="M406" s="43"/>
      <c r="N406" s="43"/>
      <c r="O406" s="43"/>
      <c r="P406" s="43"/>
      <c r="Q406" s="43"/>
      <c r="R406" s="43"/>
      <c r="S406" s="43"/>
      <c r="T406" s="356">
        <f t="shared" ref="T406:AA406" si="1401">+T393-T278-T279-T280-T281</f>
        <v>-1.1368683772161603E-13</v>
      </c>
      <c r="U406" s="356">
        <f t="shared" si="1401"/>
        <v>1.1368683772161603E-13</v>
      </c>
      <c r="V406" s="356">
        <f t="shared" si="1401"/>
        <v>1.5631940186722204E-13</v>
      </c>
      <c r="W406" s="356">
        <f t="shared" si="1401"/>
        <v>8.5265128291212022E-14</v>
      </c>
      <c r="X406" s="356">
        <f t="shared" si="1401"/>
        <v>6.3948846218409017E-14</v>
      </c>
      <c r="Y406" s="356">
        <f t="shared" si="1401"/>
        <v>-8.5265128291212022E-14</v>
      </c>
      <c r="Z406" s="356">
        <f t="shared" si="1401"/>
        <v>0</v>
      </c>
      <c r="AA406" s="356">
        <f t="shared" si="1401"/>
        <v>5.5067062021407764E-14</v>
      </c>
      <c r="AB406" s="356">
        <f t="shared" ref="AB406:AY406" ca="1" si="1402">+AB393-AB278-AB279-AB280-AB281-AB291</f>
        <v>1.2789769243681803E-13</v>
      </c>
      <c r="AC406" s="356">
        <f t="shared" ca="1" si="1402"/>
        <v>0</v>
      </c>
      <c r="AD406" s="356">
        <f t="shared" ca="1" si="1402"/>
        <v>0</v>
      </c>
      <c r="AE406" s="356">
        <f t="shared" ca="1" si="1402"/>
        <v>0</v>
      </c>
      <c r="AF406" s="356">
        <f t="shared" ca="1" si="1402"/>
        <v>1.2789769243681803E-13</v>
      </c>
      <c r="AG406" s="356">
        <f t="shared" ca="1" si="1402"/>
        <v>0</v>
      </c>
      <c r="AH406" s="356">
        <f t="shared" ca="1" si="1402"/>
        <v>0</v>
      </c>
      <c r="AI406" s="356">
        <f t="shared" ca="1" si="1402"/>
        <v>0</v>
      </c>
      <c r="AJ406" s="356">
        <f t="shared" ca="1" si="1402"/>
        <v>0</v>
      </c>
      <c r="AK406" s="356">
        <f t="shared" ca="1" si="1402"/>
        <v>1.2789769243681803E-13</v>
      </c>
      <c r="AL406" s="356">
        <f t="shared" ca="1" si="1402"/>
        <v>0</v>
      </c>
      <c r="AM406" s="356">
        <f t="shared" ca="1" si="1402"/>
        <v>1.2789769243681803E-13</v>
      </c>
      <c r="AN406" s="356">
        <f t="shared" ca="1" si="1402"/>
        <v>0</v>
      </c>
      <c r="AO406" s="356">
        <f t="shared" ca="1" si="1402"/>
        <v>1.2789769243681803E-13</v>
      </c>
      <c r="AP406" s="356">
        <f t="shared" ca="1" si="1402"/>
        <v>1.2789769243681803E-13</v>
      </c>
      <c r="AQ406" s="356">
        <f t="shared" ca="1" si="1402"/>
        <v>0</v>
      </c>
      <c r="AR406" s="356">
        <f t="shared" ca="1" si="1402"/>
        <v>1.2789769243681803E-13</v>
      </c>
      <c r="AS406" s="356">
        <f t="shared" ca="1" si="1402"/>
        <v>0</v>
      </c>
      <c r="AT406" s="356">
        <f t="shared" ca="1" si="1402"/>
        <v>0</v>
      </c>
      <c r="AU406" s="356">
        <f t="shared" ca="1" si="1402"/>
        <v>0</v>
      </c>
      <c r="AV406" s="356">
        <f t="shared" ca="1" si="1402"/>
        <v>0</v>
      </c>
      <c r="AW406" s="356">
        <f t="shared" ca="1" si="1402"/>
        <v>0</v>
      </c>
      <c r="AX406" s="356">
        <f t="shared" ca="1" si="1402"/>
        <v>0</v>
      </c>
      <c r="AY406" s="356">
        <f t="shared" ca="1" si="1402"/>
        <v>0</v>
      </c>
      <c r="AZ406" s="57"/>
      <c r="BA406" s="43"/>
      <c r="BB406" s="43"/>
      <c r="BC406" s="43"/>
      <c r="BD406" s="43"/>
      <c r="BE406" s="43"/>
      <c r="BF406" s="43"/>
      <c r="BG406" s="43"/>
      <c r="BH406" s="43"/>
      <c r="BI406" s="43"/>
      <c r="BJ406" s="43"/>
      <c r="BK406" s="43"/>
      <c r="BL406" s="43"/>
      <c r="BM406" s="43"/>
      <c r="BN406" s="43"/>
      <c r="BO406" s="53"/>
      <c r="BQ406" s="232"/>
      <c r="BR406"/>
      <c r="BS406"/>
      <c r="BT406"/>
      <c r="BU406"/>
      <c r="BV406"/>
      <c r="BW406"/>
    </row>
    <row r="407" spans="1:75" s="11" customFormat="1">
      <c r="C407" s="47"/>
      <c r="D407" s="70"/>
      <c r="E407" s="70"/>
      <c r="F407" s="70"/>
      <c r="G407" s="70"/>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70"/>
      <c r="BA407" s="44"/>
      <c r="BB407" s="44"/>
      <c r="BC407" s="44"/>
      <c r="BD407" s="44"/>
      <c r="BE407" s="44"/>
      <c r="BF407" s="44"/>
      <c r="BG407" s="44"/>
      <c r="BH407" s="44"/>
      <c r="BI407" s="44"/>
      <c r="BJ407" s="44"/>
      <c r="BK407" s="44"/>
      <c r="BL407" s="44"/>
      <c r="BM407" s="44"/>
      <c r="BN407" s="44"/>
      <c r="BO407" s="53"/>
      <c r="BQ407" s="232"/>
      <c r="BR407"/>
      <c r="BS407"/>
      <c r="BT407"/>
      <c r="BU407"/>
      <c r="BV407"/>
      <c r="BW407"/>
    </row>
    <row r="408" spans="1:75">
      <c r="A408" s="375"/>
      <c r="B408" s="294" t="s">
        <v>534</v>
      </c>
      <c r="C408" s="37">
        <v>47484</v>
      </c>
      <c r="D408" s="34"/>
      <c r="E408" s="34"/>
      <c r="F408" s="34"/>
      <c r="G408" s="34"/>
      <c r="H408" s="33"/>
      <c r="I408" s="34"/>
      <c r="J408" s="33"/>
      <c r="K408" s="33"/>
      <c r="L408" s="33"/>
      <c r="M408" s="34"/>
      <c r="N408" s="33"/>
      <c r="O408" s="33"/>
      <c r="P408" s="33"/>
      <c r="Q408" s="33"/>
      <c r="R408" s="33"/>
      <c r="S408" s="33"/>
      <c r="T408" s="33"/>
      <c r="U408" s="33"/>
      <c r="V408" s="33"/>
      <c r="W408" s="33"/>
      <c r="X408" s="33"/>
      <c r="Y408" s="33"/>
      <c r="Z408" s="33"/>
      <c r="AA408" s="33"/>
      <c r="AB408" s="34">
        <v>100</v>
      </c>
      <c r="AC408" s="33">
        <f t="shared" ref="AC408" si="1403">+IF($C408&gt;AC$1,AB408+AC413,AB408-AB408)</f>
        <v>100</v>
      </c>
      <c r="AD408" s="33">
        <f t="shared" ref="AD408" si="1404">+IF($C408&gt;AD$1,AC408+AD413,AC408-AC408)</f>
        <v>100</v>
      </c>
      <c r="AE408" s="33">
        <f t="shared" ref="AE408" si="1405">+IF($C408&gt;AE$1,AD408+AE413,AD408-AD408)</f>
        <v>100</v>
      </c>
      <c r="AF408" s="33">
        <f t="shared" ref="AF408" si="1406">+IF($C408&gt;AF$1,AE408+AF413,AE408-AE408)</f>
        <v>100</v>
      </c>
      <c r="AG408" s="33">
        <f t="shared" ref="AG408" si="1407">+IF($C408&gt;AG$1,AF408+AG413,AF408-AF408)</f>
        <v>100</v>
      </c>
      <c r="AH408" s="33">
        <f t="shared" ref="AH408" si="1408">+IF($C408&gt;AH$1,AG408+AH413,AG408-AG408)</f>
        <v>100</v>
      </c>
      <c r="AI408" s="33">
        <f t="shared" ref="AI408" si="1409">+IF($C408&gt;AI$1,AH408+AI413,AH408-AH408)</f>
        <v>100</v>
      </c>
      <c r="AJ408" s="33">
        <f t="shared" ref="AJ408" si="1410">+IF($C408&gt;AJ$1,AI408+AJ413,AI408-AI408)</f>
        <v>100</v>
      </c>
      <c r="AK408" s="33">
        <f t="shared" ref="AK408" si="1411">+IF($C408&gt;AK$1,AJ408+AK413,AJ408-AJ408)</f>
        <v>100</v>
      </c>
      <c r="AL408" s="33">
        <f t="shared" ref="AL408" si="1412">+IF($C408&gt;AL$1,AK408+AL413,AK408-AK408)</f>
        <v>100</v>
      </c>
      <c r="AM408" s="33">
        <f t="shared" ref="AM408" si="1413">+IF($C408&gt;AM$1,AL408+AM413,AL408-AL408)</f>
        <v>100</v>
      </c>
      <c r="AN408" s="33">
        <f t="shared" ref="AN408" si="1414">+IF($C408&gt;AN$1,AM408+AN413,AM408-AM408)</f>
        <v>100</v>
      </c>
      <c r="AO408" s="33">
        <f t="shared" ref="AO408" si="1415">+IF($C408&gt;AO$1,AN408+AO413,AN408-AN408)</f>
        <v>100</v>
      </c>
      <c r="AP408" s="33">
        <f t="shared" ref="AP408" si="1416">+IF($C408&gt;AP$1,AO408+AP413,AO408-AO408)</f>
        <v>100</v>
      </c>
      <c r="AQ408" s="33">
        <f t="shared" ref="AQ408" si="1417">+IF($C408&gt;AQ$1,AP408+AQ413,AP408-AP408)</f>
        <v>100</v>
      </c>
      <c r="AR408" s="33">
        <f t="shared" ref="AR408" si="1418">+IF($C408&gt;AR$1,AQ408+AR413,AQ408-AQ408)</f>
        <v>100</v>
      </c>
      <c r="AS408" s="33">
        <f t="shared" ref="AS408" si="1419">+IF($C408&gt;AS$1,AR408+AS413,AR408-AR408)</f>
        <v>100</v>
      </c>
      <c r="AT408" s="33">
        <f t="shared" ref="AT408" si="1420">+IF($C408&gt;AT$1,AS408+AT413,AS408-AS408)</f>
        <v>100</v>
      </c>
      <c r="AU408" s="33">
        <f t="shared" ref="AU408" si="1421">+IF($C408&gt;AU$1,AT408+AU413,AT408-AT408)</f>
        <v>100</v>
      </c>
      <c r="AV408" s="33">
        <f t="shared" ref="AV408" si="1422">+IF($C408&gt;AV$1,AU408+AV413,AU408-AU408)</f>
        <v>100</v>
      </c>
      <c r="AW408" s="33">
        <f t="shared" ref="AW408" si="1423">+IF($C408&gt;AW$1,AV408+AW413,AV408-AV408)</f>
        <v>100</v>
      </c>
      <c r="AX408" s="33">
        <f t="shared" ref="AX408" si="1424">+IF($C408&gt;AX$1,AW408+AX413,AW408-AW408)</f>
        <v>100</v>
      </c>
      <c r="AY408" s="33">
        <f t="shared" ref="AY408" si="1425">+IF($C408&gt;AY$1,AX408+AY413,AX408-AX408)</f>
        <v>100</v>
      </c>
      <c r="AZ408" s="24"/>
      <c r="BA408" s="33"/>
      <c r="BB408" s="33"/>
      <c r="BC408" s="33"/>
      <c r="BD408" s="33"/>
      <c r="BE408" s="33"/>
      <c r="BF408" s="33"/>
      <c r="BG408" s="33"/>
      <c r="BH408" s="33"/>
      <c r="BI408" s="33"/>
      <c r="BJ408" s="33"/>
      <c r="BK408" s="33"/>
      <c r="BL408" s="33"/>
      <c r="BM408" s="33"/>
      <c r="BN408" s="33"/>
    </row>
    <row r="409" spans="1:75">
      <c r="A409" s="375"/>
      <c r="B409" t="s">
        <v>126</v>
      </c>
      <c r="C409" s="17">
        <v>7.1249999999999994E-2</v>
      </c>
      <c r="D409" s="24"/>
      <c r="E409" s="24"/>
      <c r="F409" s="24"/>
      <c r="G409" s="24"/>
      <c r="H409" s="4"/>
      <c r="I409" s="4"/>
      <c r="J409" s="4"/>
      <c r="K409" s="4"/>
      <c r="L409" s="4"/>
      <c r="M409" s="4"/>
      <c r="N409" s="4"/>
      <c r="O409" s="4"/>
      <c r="P409" s="4"/>
      <c r="Q409" s="4"/>
      <c r="R409" s="4"/>
      <c r="S409" s="4"/>
      <c r="T409" s="4"/>
      <c r="U409" s="4"/>
      <c r="V409" s="4"/>
      <c r="W409" s="4"/>
      <c r="X409" s="4"/>
      <c r="Y409" s="4"/>
      <c r="Z409" s="4"/>
      <c r="AA409" s="4"/>
      <c r="AB409" s="4"/>
      <c r="AC409" s="4">
        <f t="shared" ref="AC409" si="1426">AVERAGE(AB408:AC408)*($C409/4)</f>
        <v>1.7812499999999998</v>
      </c>
      <c r="AD409" s="4">
        <f t="shared" ref="AD409" si="1427">AVERAGE(AC408:AD408)*($C409/4)</f>
        <v>1.7812499999999998</v>
      </c>
      <c r="AE409" s="4">
        <f t="shared" ref="AE409" si="1428">AVERAGE(AD408:AE408)*($C409/4)</f>
        <v>1.7812499999999998</v>
      </c>
      <c r="AF409" s="4">
        <f t="shared" ref="AF409" si="1429">AVERAGE(AE408:AF408)*($C409/4)</f>
        <v>1.7812499999999998</v>
      </c>
      <c r="AG409" s="4">
        <f t="shared" ref="AG409" si="1430">AVERAGE(AF408:AG408)*($C409/4)</f>
        <v>1.7812499999999998</v>
      </c>
      <c r="AH409" s="4">
        <f t="shared" ref="AH409" si="1431">AVERAGE(AG408:AH408)*($C409/4)</f>
        <v>1.7812499999999998</v>
      </c>
      <c r="AI409" s="4">
        <f t="shared" ref="AI409" si="1432">AVERAGE(AH408:AI408)*($C409/4)</f>
        <v>1.7812499999999998</v>
      </c>
      <c r="AJ409" s="4">
        <f t="shared" ref="AJ409" si="1433">AVERAGE(AI408:AJ408)*($C409/4)</f>
        <v>1.7812499999999998</v>
      </c>
      <c r="AK409" s="4">
        <f t="shared" ref="AK409" si="1434">AVERAGE(AJ408:AK408)*($C409/4)</f>
        <v>1.7812499999999998</v>
      </c>
      <c r="AL409" s="4">
        <f t="shared" ref="AL409" si="1435">AVERAGE(AK408:AL408)*($C409/4)</f>
        <v>1.7812499999999998</v>
      </c>
      <c r="AM409" s="4">
        <f t="shared" ref="AM409" si="1436">AVERAGE(AL408:AM408)*($C409/4)</f>
        <v>1.7812499999999998</v>
      </c>
      <c r="AN409" s="4">
        <f t="shared" ref="AN409" si="1437">AVERAGE(AM408:AN408)*($C409/4)</f>
        <v>1.7812499999999998</v>
      </c>
      <c r="AO409" s="4">
        <f t="shared" ref="AO409" si="1438">AVERAGE(AN408:AO408)*($C409/4)</f>
        <v>1.7812499999999998</v>
      </c>
      <c r="AP409" s="4">
        <f t="shared" ref="AP409" si="1439">AVERAGE(AO408:AP408)*($C409/4)</f>
        <v>1.7812499999999998</v>
      </c>
      <c r="AQ409" s="4">
        <f t="shared" ref="AQ409" si="1440">AVERAGE(AP408:AQ408)*($C409/4)</f>
        <v>1.7812499999999998</v>
      </c>
      <c r="AR409" s="4">
        <f t="shared" ref="AR409" si="1441">AVERAGE(AQ408:AR408)*($C409/4)</f>
        <v>1.7812499999999998</v>
      </c>
      <c r="AS409" s="4">
        <f t="shared" ref="AS409" si="1442">AVERAGE(AR408:AS408)*($C409/4)</f>
        <v>1.7812499999999998</v>
      </c>
      <c r="AT409" s="4">
        <f t="shared" ref="AT409" si="1443">AVERAGE(AS408:AT408)*($C409/4)</f>
        <v>1.7812499999999998</v>
      </c>
      <c r="AU409" s="4">
        <f t="shared" ref="AU409" si="1444">AVERAGE(AT408:AU408)*($C409/4)</f>
        <v>1.7812499999999998</v>
      </c>
      <c r="AV409" s="4">
        <f t="shared" ref="AV409" si="1445">AVERAGE(AU408:AV408)*($C409/4)</f>
        <v>1.7812499999999998</v>
      </c>
      <c r="AW409" s="4">
        <f t="shared" ref="AW409" si="1446">AVERAGE(AV408:AW408)*($C409/4)</f>
        <v>1.7812499999999998</v>
      </c>
      <c r="AX409" s="4">
        <f t="shared" ref="AX409" si="1447">AVERAGE(AW408:AX408)*($C409/4)</f>
        <v>1.7812499999999998</v>
      </c>
      <c r="AY409" s="4">
        <f t="shared" ref="AY409" si="1448">AVERAGE(AX408:AY408)*($C409/4)</f>
        <v>1.7812499999999998</v>
      </c>
      <c r="AZ409" s="24"/>
      <c r="BA409" s="4"/>
      <c r="BB409" s="4"/>
      <c r="BC409" s="4"/>
      <c r="BD409" s="4"/>
      <c r="BE409" s="4"/>
      <c r="BF409" s="4"/>
      <c r="BG409" s="4"/>
      <c r="BH409" s="4"/>
      <c r="BI409" s="4"/>
      <c r="BJ409" s="4"/>
      <c r="BK409" s="4"/>
      <c r="BL409" s="4"/>
      <c r="BM409" s="4"/>
      <c r="BN409" s="4"/>
    </row>
    <row r="410" spans="1:75">
      <c r="A410" s="375"/>
      <c r="B410" t="s">
        <v>1</v>
      </c>
      <c r="C410" s="17">
        <v>7.1249999999999994E-2</v>
      </c>
      <c r="D410" s="24"/>
      <c r="E410" s="24"/>
      <c r="F410" s="24"/>
      <c r="G410" s="24"/>
      <c r="H410" s="4"/>
      <c r="I410" s="4"/>
      <c r="J410" s="4"/>
      <c r="K410" s="4"/>
      <c r="L410" s="4"/>
      <c r="M410" s="4"/>
      <c r="N410" s="4"/>
      <c r="O410" s="4"/>
      <c r="P410" s="4"/>
      <c r="Q410" s="4"/>
      <c r="R410" s="4"/>
      <c r="S410" s="4"/>
      <c r="T410" s="4"/>
      <c r="U410" s="4"/>
      <c r="V410" s="4"/>
      <c r="W410" s="4"/>
      <c r="X410" s="4"/>
      <c r="Y410" s="4"/>
      <c r="Z410" s="4"/>
      <c r="AA410" s="4"/>
      <c r="AB410" s="4"/>
      <c r="AC410" s="4">
        <f t="shared" ref="AC410" si="1449">AVERAGE(AB408:AC408)*($C410/4)</f>
        <v>1.7812499999999998</v>
      </c>
      <c r="AD410" s="4">
        <f t="shared" ref="AD410" si="1450">AVERAGE(AC408:AD408)*($C410/4)</f>
        <v>1.7812499999999998</v>
      </c>
      <c r="AE410" s="4">
        <f t="shared" ref="AE410" si="1451">AVERAGE(AD408:AE408)*($C410/4)</f>
        <v>1.7812499999999998</v>
      </c>
      <c r="AF410" s="4">
        <f t="shared" ref="AF410" si="1452">AVERAGE(AE408:AF408)*($C410/4)</f>
        <v>1.7812499999999998</v>
      </c>
      <c r="AG410" s="4">
        <f t="shared" ref="AG410" si="1453">AVERAGE(AF408:AG408)*($C410/4)</f>
        <v>1.7812499999999998</v>
      </c>
      <c r="AH410" s="4">
        <f t="shared" ref="AH410" si="1454">AVERAGE(AG408:AH408)*($C410/4)</f>
        <v>1.7812499999999998</v>
      </c>
      <c r="AI410" s="4">
        <f t="shared" ref="AI410" si="1455">AVERAGE(AH408:AI408)*($C410/4)</f>
        <v>1.7812499999999998</v>
      </c>
      <c r="AJ410" s="4">
        <f t="shared" ref="AJ410" si="1456">AVERAGE(AI408:AJ408)*($C410/4)</f>
        <v>1.7812499999999998</v>
      </c>
      <c r="AK410" s="4">
        <f t="shared" ref="AK410" si="1457">AVERAGE(AJ408:AK408)*($C410/4)</f>
        <v>1.7812499999999998</v>
      </c>
      <c r="AL410" s="4">
        <f t="shared" ref="AL410" si="1458">AVERAGE(AK408:AL408)*($C410/4)</f>
        <v>1.7812499999999998</v>
      </c>
      <c r="AM410" s="4">
        <f t="shared" ref="AM410" si="1459">AVERAGE(AL408:AM408)*($C410/4)</f>
        <v>1.7812499999999998</v>
      </c>
      <c r="AN410" s="4">
        <f t="shared" ref="AN410" si="1460">AVERAGE(AM408:AN408)*($C410/4)</f>
        <v>1.7812499999999998</v>
      </c>
      <c r="AO410" s="4">
        <f t="shared" ref="AO410" si="1461">AVERAGE(AN408:AO408)*($C410/4)</f>
        <v>1.7812499999999998</v>
      </c>
      <c r="AP410" s="4">
        <f t="shared" ref="AP410" si="1462">AVERAGE(AO408:AP408)*($C410/4)</f>
        <v>1.7812499999999998</v>
      </c>
      <c r="AQ410" s="4">
        <f t="shared" ref="AQ410" si="1463">AVERAGE(AP408:AQ408)*($C410/4)</f>
        <v>1.7812499999999998</v>
      </c>
      <c r="AR410" s="4">
        <f t="shared" ref="AR410" si="1464">AVERAGE(AQ408:AR408)*($C410/4)</f>
        <v>1.7812499999999998</v>
      </c>
      <c r="AS410" s="4">
        <f t="shared" ref="AS410" si="1465">AVERAGE(AR408:AS408)*($C410/4)</f>
        <v>1.7812499999999998</v>
      </c>
      <c r="AT410" s="4">
        <f t="shared" ref="AT410" si="1466">AVERAGE(AS408:AT408)*($C410/4)</f>
        <v>1.7812499999999998</v>
      </c>
      <c r="AU410" s="4">
        <f t="shared" ref="AU410" si="1467">AVERAGE(AT408:AU408)*($C410/4)</f>
        <v>1.7812499999999998</v>
      </c>
      <c r="AV410" s="4">
        <f t="shared" ref="AV410" si="1468">AVERAGE(AU408:AV408)*($C410/4)</f>
        <v>1.7812499999999998</v>
      </c>
      <c r="AW410" s="4">
        <f t="shared" ref="AW410" si="1469">AVERAGE(AV408:AW408)*($C410/4)</f>
        <v>1.7812499999999998</v>
      </c>
      <c r="AX410" s="4">
        <f t="shared" ref="AX410" si="1470">AVERAGE(AW408:AX408)*($C410/4)</f>
        <v>1.7812499999999998</v>
      </c>
      <c r="AY410" s="4">
        <f t="shared" ref="AY410" si="1471">AVERAGE(AX408:AY408)*($C410/4)</f>
        <v>1.7812499999999998</v>
      </c>
      <c r="AZ410" s="24"/>
      <c r="BA410" s="4"/>
      <c r="BB410" s="4"/>
      <c r="BC410" s="4"/>
      <c r="BD410" s="4"/>
      <c r="BE410" s="4"/>
      <c r="BF410" s="4"/>
      <c r="BG410" s="4"/>
      <c r="BH410" s="4"/>
      <c r="BI410" s="4"/>
      <c r="BJ410" s="4"/>
      <c r="BK410" s="4"/>
      <c r="BL410" s="4"/>
      <c r="BM410" s="4"/>
      <c r="BN410" s="4"/>
    </row>
    <row r="411" spans="1:75">
      <c r="A411" s="375"/>
      <c r="B411" t="s">
        <v>127</v>
      </c>
      <c r="C411" s="4"/>
      <c r="D411" s="24"/>
      <c r="E411" s="24"/>
      <c r="F411" s="24"/>
      <c r="G411" s="24"/>
      <c r="H411" s="4"/>
      <c r="I411" s="4"/>
      <c r="J411" s="4"/>
      <c r="K411" s="4"/>
      <c r="L411" s="4"/>
      <c r="M411" s="4"/>
      <c r="N411" s="4"/>
      <c r="O411" s="4"/>
      <c r="P411" s="4"/>
      <c r="Q411" s="4"/>
      <c r="R411" s="4"/>
      <c r="S411" s="4"/>
      <c r="T411" s="4"/>
      <c r="U411" s="4"/>
      <c r="V411" s="4"/>
      <c r="W411" s="4"/>
      <c r="X411" s="4"/>
      <c r="Y411" s="4"/>
      <c r="Z411" s="4"/>
      <c r="AA411" s="4"/>
      <c r="AB411" s="4"/>
      <c r="AC411" s="4">
        <f t="shared" ref="AC411" si="1472">+AB414</f>
        <v>100</v>
      </c>
      <c r="AD411" s="4">
        <f t="shared" ref="AD411" si="1473">+AC414</f>
        <v>100</v>
      </c>
      <c r="AE411" s="4">
        <f t="shared" ref="AE411" si="1474">+AD414</f>
        <v>100</v>
      </c>
      <c r="AF411" s="4">
        <f t="shared" ref="AF411" si="1475">+AE414</f>
        <v>100</v>
      </c>
      <c r="AG411" s="4">
        <f t="shared" ref="AG411" si="1476">+AF414</f>
        <v>100</v>
      </c>
      <c r="AH411" s="4">
        <f t="shared" ref="AH411" si="1477">+AG414</f>
        <v>100</v>
      </c>
      <c r="AI411" s="4">
        <f t="shared" ref="AI411" si="1478">+AH414</f>
        <v>100</v>
      </c>
      <c r="AJ411" s="4">
        <f t="shared" ref="AJ411" si="1479">+AI414</f>
        <v>100</v>
      </c>
      <c r="AK411" s="4">
        <f t="shared" ref="AK411" si="1480">+AJ414</f>
        <v>100</v>
      </c>
      <c r="AL411" s="4">
        <f t="shared" ref="AL411" si="1481">+AK414</f>
        <v>100</v>
      </c>
      <c r="AM411" s="4">
        <f t="shared" ref="AM411" si="1482">+AL414</f>
        <v>100</v>
      </c>
      <c r="AN411" s="4">
        <f t="shared" ref="AN411" si="1483">+AM414</f>
        <v>100</v>
      </c>
      <c r="AO411" s="4">
        <f t="shared" ref="AO411" si="1484">+AN414</f>
        <v>100</v>
      </c>
      <c r="AP411" s="4">
        <f t="shared" ref="AP411" si="1485">+AO414</f>
        <v>100</v>
      </c>
      <c r="AQ411" s="4">
        <f t="shared" ref="AQ411" si="1486">+AP414</f>
        <v>100</v>
      </c>
      <c r="AR411" s="4">
        <f t="shared" ref="AR411" si="1487">+AQ414</f>
        <v>100</v>
      </c>
      <c r="AS411" s="4">
        <f t="shared" ref="AS411" si="1488">+AR414</f>
        <v>100</v>
      </c>
      <c r="AT411" s="4">
        <f t="shared" ref="AT411" si="1489">+AS414</f>
        <v>100</v>
      </c>
      <c r="AU411" s="4">
        <f t="shared" ref="AU411" si="1490">+AT414</f>
        <v>100</v>
      </c>
      <c r="AV411" s="4">
        <f t="shared" ref="AV411" si="1491">+AU414</f>
        <v>100</v>
      </c>
      <c r="AW411" s="4">
        <f t="shared" ref="AW411" si="1492">+AV414</f>
        <v>100</v>
      </c>
      <c r="AX411" s="4">
        <f t="shared" ref="AX411" si="1493">+AW414</f>
        <v>100</v>
      </c>
      <c r="AY411" s="4">
        <f t="shared" ref="AY411" si="1494">+AX414</f>
        <v>100</v>
      </c>
      <c r="AZ411" s="24"/>
      <c r="BA411" s="4"/>
      <c r="BB411" s="4"/>
      <c r="BC411" s="4"/>
      <c r="BD411" s="4"/>
      <c r="BE411" s="4"/>
      <c r="BF411" s="4"/>
      <c r="BG411" s="4"/>
      <c r="BH411" s="4"/>
      <c r="BI411" s="4"/>
      <c r="BJ411" s="4"/>
      <c r="BK411" s="4"/>
      <c r="BL411" s="4"/>
      <c r="BM411" s="4"/>
      <c r="BN411" s="4"/>
    </row>
    <row r="412" spans="1:75">
      <c r="A412" s="375"/>
      <c r="B412" t="s">
        <v>128</v>
      </c>
      <c r="C412" s="4"/>
      <c r="D412" s="24"/>
      <c r="E412" s="24"/>
      <c r="F412" s="24"/>
      <c r="G412" s="24"/>
      <c r="H412" s="4"/>
      <c r="I412" s="4"/>
      <c r="J412" s="4"/>
      <c r="K412" s="4"/>
      <c r="L412" s="4"/>
      <c r="M412" s="4"/>
      <c r="N412" s="292"/>
      <c r="O412" s="292"/>
      <c r="P412" s="292"/>
      <c r="Q412" s="292"/>
      <c r="R412" s="292"/>
      <c r="S412" s="292"/>
      <c r="T412" s="292"/>
      <c r="U412" s="292"/>
      <c r="V412" s="292"/>
      <c r="W412" s="292"/>
      <c r="X412" s="292"/>
      <c r="Y412" s="291"/>
      <c r="Z412" s="291"/>
      <c r="AA412" s="4"/>
      <c r="AB412" s="4"/>
      <c r="AC412" s="4">
        <f t="shared" ref="AC412:AY412" si="1495">+AC410-AC409</f>
        <v>0</v>
      </c>
      <c r="AD412" s="4">
        <f t="shared" si="1495"/>
        <v>0</v>
      </c>
      <c r="AE412" s="4">
        <f t="shared" si="1495"/>
        <v>0</v>
      </c>
      <c r="AF412" s="4">
        <f t="shared" si="1495"/>
        <v>0</v>
      </c>
      <c r="AG412" s="4">
        <f t="shared" si="1495"/>
        <v>0</v>
      </c>
      <c r="AH412" s="4">
        <f t="shared" si="1495"/>
        <v>0</v>
      </c>
      <c r="AI412" s="4">
        <f t="shared" si="1495"/>
        <v>0</v>
      </c>
      <c r="AJ412" s="4">
        <f t="shared" si="1495"/>
        <v>0</v>
      </c>
      <c r="AK412" s="4">
        <f t="shared" si="1495"/>
        <v>0</v>
      </c>
      <c r="AL412" s="4">
        <f t="shared" si="1495"/>
        <v>0</v>
      </c>
      <c r="AM412" s="4">
        <f t="shared" si="1495"/>
        <v>0</v>
      </c>
      <c r="AN412" s="4">
        <f t="shared" si="1495"/>
        <v>0</v>
      </c>
      <c r="AO412" s="4">
        <f t="shared" si="1495"/>
        <v>0</v>
      </c>
      <c r="AP412" s="4">
        <f t="shared" si="1495"/>
        <v>0</v>
      </c>
      <c r="AQ412" s="4">
        <f t="shared" si="1495"/>
        <v>0</v>
      </c>
      <c r="AR412" s="4">
        <f t="shared" si="1495"/>
        <v>0</v>
      </c>
      <c r="AS412" s="4">
        <f t="shared" si="1495"/>
        <v>0</v>
      </c>
      <c r="AT412" s="4">
        <f t="shared" si="1495"/>
        <v>0</v>
      </c>
      <c r="AU412" s="4">
        <f t="shared" si="1495"/>
        <v>0</v>
      </c>
      <c r="AV412" s="4">
        <f t="shared" si="1495"/>
        <v>0</v>
      </c>
      <c r="AW412" s="4">
        <f t="shared" si="1495"/>
        <v>0</v>
      </c>
      <c r="AX412" s="4">
        <f t="shared" si="1495"/>
        <v>0</v>
      </c>
      <c r="AY412" s="4">
        <f t="shared" si="1495"/>
        <v>0</v>
      </c>
      <c r="AZ412" s="24"/>
      <c r="BA412" s="4"/>
      <c r="BB412" s="4"/>
      <c r="BC412" s="4"/>
      <c r="BD412" s="4"/>
      <c r="BE412" s="4"/>
      <c r="BF412" s="4"/>
      <c r="BG412" s="4"/>
      <c r="BH412" s="4"/>
      <c r="BI412" s="4"/>
      <c r="BJ412" s="4"/>
      <c r="BK412" s="4"/>
      <c r="BL412" s="4"/>
      <c r="BM412" s="4"/>
      <c r="BN412" s="4"/>
    </row>
    <row r="413" spans="1:75">
      <c r="A413" s="375"/>
      <c r="B413" t="s">
        <v>129</v>
      </c>
      <c r="C413" s="4"/>
      <c r="D413" s="24"/>
      <c r="E413" s="24"/>
      <c r="F413" s="24"/>
      <c r="G413" s="24"/>
      <c r="H413" s="4"/>
      <c r="M413" s="4"/>
      <c r="N413" s="4"/>
      <c r="O413" s="4"/>
      <c r="P413" s="4"/>
      <c r="Q413" s="4"/>
      <c r="R413" s="4"/>
      <c r="S413" s="4"/>
      <c r="T413" s="4"/>
      <c r="U413" s="4"/>
      <c r="V413" s="4"/>
      <c r="W413" s="4"/>
      <c r="X413" s="4"/>
      <c r="Y413" s="4"/>
      <c r="Z413" s="4"/>
      <c r="AA413" s="291"/>
      <c r="AB413" s="4"/>
      <c r="AC413" s="4">
        <f t="shared" ref="AC413:AY413" si="1496">+IF($C408&lt;AC$1,-(AC411+AC412),0)</f>
        <v>0</v>
      </c>
      <c r="AD413" s="4">
        <f t="shared" si="1496"/>
        <v>0</v>
      </c>
      <c r="AE413" s="4">
        <f t="shared" si="1496"/>
        <v>0</v>
      </c>
      <c r="AF413" s="4">
        <f t="shared" si="1496"/>
        <v>0</v>
      </c>
      <c r="AG413" s="4">
        <f t="shared" si="1496"/>
        <v>0</v>
      </c>
      <c r="AH413" s="4">
        <f t="shared" si="1496"/>
        <v>0</v>
      </c>
      <c r="AI413" s="4">
        <f t="shared" si="1496"/>
        <v>0</v>
      </c>
      <c r="AJ413" s="4">
        <f t="shared" si="1496"/>
        <v>0</v>
      </c>
      <c r="AK413" s="4">
        <f t="shared" si="1496"/>
        <v>0</v>
      </c>
      <c r="AL413" s="4">
        <f t="shared" si="1496"/>
        <v>0</v>
      </c>
      <c r="AM413" s="4">
        <f t="shared" si="1496"/>
        <v>0</v>
      </c>
      <c r="AN413" s="4">
        <f t="shared" si="1496"/>
        <v>0</v>
      </c>
      <c r="AO413" s="4">
        <f t="shared" si="1496"/>
        <v>0</v>
      </c>
      <c r="AP413" s="4">
        <f t="shared" si="1496"/>
        <v>0</v>
      </c>
      <c r="AQ413" s="4">
        <f t="shared" si="1496"/>
        <v>0</v>
      </c>
      <c r="AR413" s="4">
        <f t="shared" si="1496"/>
        <v>0</v>
      </c>
      <c r="AS413" s="4">
        <f t="shared" si="1496"/>
        <v>0</v>
      </c>
      <c r="AT413" s="4">
        <f t="shared" si="1496"/>
        <v>0</v>
      </c>
      <c r="AU413" s="4">
        <f t="shared" si="1496"/>
        <v>0</v>
      </c>
      <c r="AV413" s="4">
        <f t="shared" si="1496"/>
        <v>0</v>
      </c>
      <c r="AW413" s="4">
        <f t="shared" si="1496"/>
        <v>0</v>
      </c>
      <c r="AX413" s="4">
        <f t="shared" si="1496"/>
        <v>0</v>
      </c>
      <c r="AY413" s="4">
        <f t="shared" si="1496"/>
        <v>0</v>
      </c>
      <c r="AZ413" s="24"/>
      <c r="BA413" s="4"/>
      <c r="BB413" s="4"/>
      <c r="BC413" s="4"/>
      <c r="BD413" s="4"/>
      <c r="BE413" s="4"/>
      <c r="BF413" s="4"/>
      <c r="BG413" s="4"/>
      <c r="BH413" s="4"/>
      <c r="BI413" s="4"/>
      <c r="BJ413" s="4"/>
      <c r="BK413" s="4"/>
      <c r="BL413" s="4"/>
      <c r="BM413" s="4"/>
      <c r="BN413" s="4"/>
    </row>
    <row r="414" spans="1:75">
      <c r="A414" s="375"/>
      <c r="B414" t="s">
        <v>130</v>
      </c>
      <c r="C414" s="4"/>
      <c r="D414" s="28"/>
      <c r="E414" s="28"/>
      <c r="F414" s="28"/>
      <c r="G414" s="28"/>
      <c r="H414" s="4"/>
      <c r="I414" s="7"/>
      <c r="J414" s="4"/>
      <c r="K414" s="4"/>
      <c r="L414" s="4"/>
      <c r="M414" s="7"/>
      <c r="N414" s="4"/>
      <c r="O414" s="4"/>
      <c r="P414" s="4"/>
      <c r="Q414" s="4"/>
      <c r="R414" s="4"/>
      <c r="S414" s="4"/>
      <c r="T414" s="4"/>
      <c r="U414" s="4"/>
      <c r="V414" s="4"/>
      <c r="W414" s="4"/>
      <c r="X414" s="4"/>
      <c r="Y414" s="4"/>
      <c r="Z414" s="4"/>
      <c r="AA414" s="4"/>
      <c r="AB414" s="7">
        <v>100</v>
      </c>
      <c r="AC414" s="4">
        <f t="shared" ref="AC414:AY414" si="1497">+SUM(AC411:AC413)</f>
        <v>100</v>
      </c>
      <c r="AD414" s="4">
        <f t="shared" si="1497"/>
        <v>100</v>
      </c>
      <c r="AE414" s="4">
        <f t="shared" si="1497"/>
        <v>100</v>
      </c>
      <c r="AF414" s="4">
        <f t="shared" si="1497"/>
        <v>100</v>
      </c>
      <c r="AG414" s="4">
        <f t="shared" si="1497"/>
        <v>100</v>
      </c>
      <c r="AH414" s="4">
        <f t="shared" si="1497"/>
        <v>100</v>
      </c>
      <c r="AI414" s="4">
        <f t="shared" si="1497"/>
        <v>100</v>
      </c>
      <c r="AJ414" s="4">
        <f t="shared" si="1497"/>
        <v>100</v>
      </c>
      <c r="AK414" s="4">
        <f t="shared" si="1497"/>
        <v>100</v>
      </c>
      <c r="AL414" s="4">
        <f t="shared" si="1497"/>
        <v>100</v>
      </c>
      <c r="AM414" s="4">
        <f t="shared" si="1497"/>
        <v>100</v>
      </c>
      <c r="AN414" s="4">
        <f t="shared" si="1497"/>
        <v>100</v>
      </c>
      <c r="AO414" s="4">
        <f t="shared" si="1497"/>
        <v>100</v>
      </c>
      <c r="AP414" s="4">
        <f t="shared" si="1497"/>
        <v>100</v>
      </c>
      <c r="AQ414" s="4">
        <f t="shared" si="1497"/>
        <v>100</v>
      </c>
      <c r="AR414" s="4">
        <f t="shared" si="1497"/>
        <v>100</v>
      </c>
      <c r="AS414" s="4">
        <f t="shared" si="1497"/>
        <v>100</v>
      </c>
      <c r="AT414" s="4">
        <f t="shared" si="1497"/>
        <v>100</v>
      </c>
      <c r="AU414" s="4">
        <f t="shared" si="1497"/>
        <v>100</v>
      </c>
      <c r="AV414" s="4">
        <f t="shared" si="1497"/>
        <v>100</v>
      </c>
      <c r="AW414" s="4">
        <f t="shared" si="1497"/>
        <v>100</v>
      </c>
      <c r="AX414" s="4">
        <f t="shared" si="1497"/>
        <v>100</v>
      </c>
      <c r="AY414" s="4">
        <f t="shared" si="1497"/>
        <v>100</v>
      </c>
      <c r="AZ414" s="24"/>
      <c r="BA414" s="4"/>
      <c r="BB414" s="4"/>
      <c r="BC414" s="4"/>
      <c r="BD414" s="4"/>
      <c r="BE414" s="4"/>
      <c r="BF414" s="4"/>
      <c r="BG414" s="4"/>
      <c r="BH414" s="4"/>
      <c r="BI414" s="4"/>
      <c r="BJ414" s="4"/>
      <c r="BK414" s="4"/>
      <c r="BL414" s="4"/>
      <c r="BM414" s="4"/>
      <c r="BN414" s="4"/>
    </row>
    <row r="415" spans="1:75" s="11" customFormat="1">
      <c r="C415" s="47"/>
      <c r="D415" s="70"/>
      <c r="E415" s="70"/>
      <c r="F415" s="70"/>
      <c r="G415" s="70"/>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70"/>
      <c r="BA415" s="44"/>
      <c r="BB415" s="44"/>
      <c r="BC415" s="44"/>
      <c r="BD415" s="44"/>
      <c r="BE415" s="44"/>
      <c r="BF415" s="44"/>
      <c r="BG415" s="44"/>
      <c r="BH415" s="44"/>
      <c r="BI415" s="44"/>
      <c r="BJ415" s="44"/>
      <c r="BK415" s="44"/>
      <c r="BL415" s="44"/>
      <c r="BM415" s="44"/>
      <c r="BN415" s="44"/>
      <c r="BO415" s="53"/>
      <c r="BQ415" s="232"/>
      <c r="BR415"/>
      <c r="BS415"/>
      <c r="BT415"/>
      <c r="BU415"/>
      <c r="BV415"/>
      <c r="BW415"/>
    </row>
    <row r="416" spans="1:75">
      <c r="B416" s="294" t="s">
        <v>487</v>
      </c>
      <c r="C416" s="37">
        <v>44678</v>
      </c>
      <c r="D416" s="34"/>
      <c r="E416" s="34"/>
      <c r="F416" s="34"/>
      <c r="G416" s="34"/>
      <c r="H416" s="33"/>
      <c r="I416" s="34">
        <v>225</v>
      </c>
      <c r="J416" s="33">
        <f t="shared" ref="J416:W416" si="1498">+IF($C416&gt;J$1,I416+J421,I416-I416)</f>
        <v>225</v>
      </c>
      <c r="K416" s="33">
        <f t="shared" si="1498"/>
        <v>225</v>
      </c>
      <c r="L416" s="33">
        <f t="shared" si="1498"/>
        <v>225</v>
      </c>
      <c r="M416" s="33">
        <f t="shared" si="1498"/>
        <v>225</v>
      </c>
      <c r="N416" s="33">
        <f t="shared" si="1498"/>
        <v>150</v>
      </c>
      <c r="O416" s="33">
        <f t="shared" si="1498"/>
        <v>100</v>
      </c>
      <c r="P416" s="33">
        <f t="shared" si="1498"/>
        <v>100</v>
      </c>
      <c r="Q416" s="33">
        <f t="shared" si="1498"/>
        <v>100</v>
      </c>
      <c r="R416" s="33">
        <f t="shared" si="1498"/>
        <v>100</v>
      </c>
      <c r="S416" s="33">
        <f t="shared" si="1498"/>
        <v>300</v>
      </c>
      <c r="T416" s="33">
        <f t="shared" si="1498"/>
        <v>300</v>
      </c>
      <c r="U416" s="33">
        <f t="shared" si="1498"/>
        <v>300</v>
      </c>
      <c r="V416" s="33">
        <f t="shared" si="1498"/>
        <v>300</v>
      </c>
      <c r="W416" s="33">
        <f t="shared" si="1498"/>
        <v>300</v>
      </c>
      <c r="X416" s="33">
        <f t="shared" ref="X416:AM416" si="1499">+IF($C416&gt;X$1,W416+X421,W416-W416)</f>
        <v>300</v>
      </c>
      <c r="Y416" s="33">
        <f t="shared" si="1499"/>
        <v>300</v>
      </c>
      <c r="Z416" s="33">
        <f t="shared" si="1499"/>
        <v>300</v>
      </c>
      <c r="AA416" s="33">
        <f t="shared" si="1499"/>
        <v>131</v>
      </c>
      <c r="AB416" s="33">
        <f t="shared" si="1499"/>
        <v>131</v>
      </c>
      <c r="AC416" s="33">
        <f t="shared" si="1499"/>
        <v>131</v>
      </c>
      <c r="AD416" s="33">
        <f t="shared" si="1499"/>
        <v>131</v>
      </c>
      <c r="AE416" s="33">
        <f t="shared" si="1499"/>
        <v>131</v>
      </c>
      <c r="AF416" s="33">
        <f t="shared" si="1499"/>
        <v>131</v>
      </c>
      <c r="AG416" s="33">
        <f t="shared" si="1499"/>
        <v>131</v>
      </c>
      <c r="AH416" s="33">
        <f t="shared" si="1499"/>
        <v>131</v>
      </c>
      <c r="AI416" s="33">
        <f t="shared" si="1499"/>
        <v>131</v>
      </c>
      <c r="AJ416" s="33">
        <f t="shared" si="1499"/>
        <v>131</v>
      </c>
      <c r="AK416" s="33">
        <f t="shared" si="1499"/>
        <v>131</v>
      </c>
      <c r="AL416" s="33">
        <f t="shared" si="1499"/>
        <v>131</v>
      </c>
      <c r="AM416" s="33">
        <f t="shared" si="1499"/>
        <v>131</v>
      </c>
      <c r="AN416" s="33">
        <f t="shared" ref="AN416" si="1500">+IF($C416&gt;AN$1,AM416+AN421,AM416-AM416)</f>
        <v>131</v>
      </c>
      <c r="AO416" s="33">
        <f t="shared" ref="AO416" si="1501">+IF($C416&gt;AO$1,AN416+AO421,AN416-AN416)</f>
        <v>131</v>
      </c>
      <c r="AP416" s="33">
        <f t="shared" ref="AP416" si="1502">+IF($C416&gt;AP$1,AO416+AP421,AO416-AO416)</f>
        <v>131</v>
      </c>
      <c r="AQ416" s="33">
        <f t="shared" ref="AQ416" si="1503">+IF($C416&gt;AQ$1,AP416+AQ421,AP416-AP416)</f>
        <v>131</v>
      </c>
      <c r="AR416" s="33">
        <f t="shared" ref="AR416" si="1504">+IF($C416&gt;AR$1,AQ416+AR421,AQ416-AQ416)</f>
        <v>131</v>
      </c>
      <c r="AS416" s="33">
        <f t="shared" ref="AS416" si="1505">+IF($C416&gt;AS$1,AR416+AS421,AR416-AR416)</f>
        <v>0</v>
      </c>
      <c r="AT416" s="33">
        <f t="shared" ref="AT416" si="1506">+IF($C416&gt;AT$1,AS416+AT421,AS416-AS416)</f>
        <v>0</v>
      </c>
      <c r="AU416" s="33">
        <f t="shared" ref="AU416" si="1507">+IF($C416&gt;AU$1,AT416+AU421,AT416-AT416)</f>
        <v>0</v>
      </c>
      <c r="AV416" s="33">
        <f t="shared" ref="AV416" si="1508">+IF($C416&gt;AV$1,AU416+AV421,AU416-AU416)</f>
        <v>0</v>
      </c>
      <c r="AW416" s="33">
        <f t="shared" ref="AW416" si="1509">+IF($C416&gt;AW$1,AV416+AW421,AV416-AV416)</f>
        <v>0</v>
      </c>
      <c r="AX416" s="33">
        <f t="shared" ref="AX416" si="1510">+IF($C416&gt;AX$1,AW416+AX421,AW416-AW416)</f>
        <v>0</v>
      </c>
      <c r="AY416" s="33">
        <f t="shared" ref="AY416" si="1511">+IF($C416&gt;AY$1,AX416+AY421,AX416-AX416)</f>
        <v>0</v>
      </c>
      <c r="AZ416" s="24"/>
      <c r="BA416" s="33"/>
      <c r="BB416" s="33"/>
      <c r="BC416" s="33"/>
      <c r="BD416" s="33"/>
      <c r="BE416" s="33"/>
      <c r="BF416" s="33"/>
      <c r="BG416" s="33"/>
      <c r="BH416" s="33"/>
      <c r="BI416" s="33"/>
      <c r="BJ416" s="33"/>
      <c r="BK416" s="33"/>
      <c r="BL416" s="33"/>
      <c r="BM416" s="33"/>
      <c r="BN416" s="33"/>
    </row>
    <row r="417" spans="2:66">
      <c r="B417" t="s">
        <v>126</v>
      </c>
      <c r="C417" s="17">
        <v>1.84E-2</v>
      </c>
      <c r="D417" s="24"/>
      <c r="E417" s="24"/>
      <c r="F417" s="24"/>
      <c r="G417" s="24"/>
      <c r="H417" s="4"/>
      <c r="I417" s="4"/>
      <c r="J417" s="4">
        <f t="shared" ref="J417:W417" si="1512">+IF(J$404&gt;$C423,AVERAGE(I416:J416)*((J$404+$C417)/4),AVERAGE(I416:J416)*(($C423+$C417)/4))</f>
        <v>1.153125</v>
      </c>
      <c r="K417" s="4">
        <f t="shared" si="1512"/>
        <v>1.1587499999999999</v>
      </c>
      <c r="L417" s="4">
        <f t="shared" si="1512"/>
        <v>1.1643749999999999</v>
      </c>
      <c r="M417" s="4">
        <f t="shared" si="1512"/>
        <v>1.17</v>
      </c>
      <c r="N417" s="4">
        <f t="shared" si="1512"/>
        <v>0.97968749999999993</v>
      </c>
      <c r="O417" s="4">
        <f t="shared" si="1512"/>
        <v>0.65624999999999989</v>
      </c>
      <c r="P417" s="4">
        <f t="shared" si="1512"/>
        <v>0.52749999999999997</v>
      </c>
      <c r="Q417" s="4">
        <f t="shared" si="1512"/>
        <v>0.52999999999999992</v>
      </c>
      <c r="R417" s="4">
        <f t="shared" si="1512"/>
        <v>0.53249999999999997</v>
      </c>
      <c r="S417" s="4">
        <f t="shared" si="1512"/>
        <v>1.0699999999999998</v>
      </c>
      <c r="T417" s="4">
        <f t="shared" si="1512"/>
        <v>1.6124999999999998</v>
      </c>
      <c r="U417" s="4">
        <f t="shared" si="1512"/>
        <v>1.6199999999999999</v>
      </c>
      <c r="V417" s="4">
        <f t="shared" si="1512"/>
        <v>1.6274999999999997</v>
      </c>
      <c r="W417" s="4">
        <f t="shared" si="1512"/>
        <v>1.6349999999999998</v>
      </c>
      <c r="X417" s="4">
        <f t="shared" ref="X417:AM417" si="1513">+IF(X$404&gt;$C423,AVERAGE(W416:X416)*((X$404+$C417)/4),AVERAGE(W416:X416)*(($C423+$C417)/4))</f>
        <v>2.1243300000000001</v>
      </c>
      <c r="Y417" s="4">
        <f t="shared" si="1513"/>
        <v>2.3024999999999998</v>
      </c>
      <c r="Z417" s="4">
        <f t="shared" si="1513"/>
        <v>2.4299999999999997</v>
      </c>
      <c r="AA417" s="4">
        <f t="shared" si="1513"/>
        <v>1.7455499999999999</v>
      </c>
      <c r="AB417" s="4">
        <f t="shared" si="1513"/>
        <v>1.1599067500000002</v>
      </c>
      <c r="AC417" s="4">
        <f t="shared" si="1513"/>
        <v>1.2801418250000003</v>
      </c>
      <c r="AD417" s="4">
        <f t="shared" si="1513"/>
        <v>1.2924984000000002</v>
      </c>
      <c r="AE417" s="4">
        <f t="shared" si="1513"/>
        <v>1.3421179250000002</v>
      </c>
      <c r="AF417" s="4">
        <f t="shared" si="1513"/>
        <v>1.3884755500000001</v>
      </c>
      <c r="AG417" s="4">
        <f t="shared" si="1513"/>
        <v>1.4162344499999999</v>
      </c>
      <c r="AH417" s="4">
        <f t="shared" si="1513"/>
        <v>1.4266915249999998</v>
      </c>
      <c r="AI417" s="4">
        <f t="shared" si="1513"/>
        <v>1.44294535</v>
      </c>
      <c r="AJ417" s="4">
        <f t="shared" si="1513"/>
        <v>1.4447302249999998</v>
      </c>
      <c r="AK417" s="4">
        <f t="shared" si="1513"/>
        <v>1.4617111</v>
      </c>
      <c r="AL417" s="4">
        <f t="shared" si="1513"/>
        <v>1.4784823750000002</v>
      </c>
      <c r="AM417" s="4">
        <f t="shared" si="1513"/>
        <v>1.4947525750000001</v>
      </c>
      <c r="AN417" s="4">
        <f t="shared" ref="AN417" si="1514">+IF(AN$404&gt;$C423,AVERAGE(AM416:AN416)*((AN$404+$C417)/4),AVERAGE(AM416:AN416)*(($C423+$C417)/4))</f>
        <v>1.4777946249999998</v>
      </c>
      <c r="AO417" s="4">
        <f t="shared" ref="AO417" si="1515">+IF(AO$404&gt;$C423,AVERAGE(AN416:AO416)*((AO$404+$C417)/4),AVERAGE(AN416:AO416)*(($C423+$C417)/4))</f>
        <v>1.4875966999999999</v>
      </c>
      <c r="AP417" s="4">
        <f t="shared" ref="AP417" si="1516">+IF(AP$404&gt;$C423,AVERAGE(AO416:AP416)*((AP$404+$C417)/4),AVERAGE(AO416:AP416)*(($C423+$C417)/4))</f>
        <v>1.497254675</v>
      </c>
      <c r="AQ417" s="4">
        <f t="shared" ref="AQ417" si="1517">+IF(AQ$404&gt;$C423,AVERAGE(AP416:AQ416)*((AQ$404+$C417)/4),AVERAGE(AP416:AQ416)*(($C423+$C417)/4))</f>
        <v>1.5066440999999999</v>
      </c>
      <c r="AR417" s="4">
        <f t="shared" ref="AR417" si="1518">+IF(AR$404&gt;$C423,AVERAGE(AQ416:AR416)*((AR$404+$C417)/4),AVERAGE(AQ416:AR416)*(($C423+$C417)/4))</f>
        <v>1.49471</v>
      </c>
      <c r="AS417" s="4">
        <f t="shared" ref="AS417" si="1519">+IF(AS$404&gt;$C423,AVERAGE(AR416:AS416)*((AS$404+$C417)/4),AVERAGE(AR416:AS416)*(($C423+$C417)/4))</f>
        <v>0.75046952499999997</v>
      </c>
      <c r="AT417" s="4">
        <f t="shared" ref="AT417" si="1520">+IF(AT$404&gt;$C423,AVERAGE(AS416:AT416)*((AT$404+$C417)/4),AVERAGE(AS416:AT416)*(($C423+$C417)/4))</f>
        <v>0</v>
      </c>
      <c r="AU417" s="4">
        <f t="shared" ref="AU417" si="1521">+IF(AU$404&gt;$C423,AVERAGE(AT416:AU416)*((AU$404+$C417)/4),AVERAGE(AT416:AU416)*(($C423+$C417)/4))</f>
        <v>0</v>
      </c>
      <c r="AV417" s="4">
        <f t="shared" ref="AV417" si="1522">+IF(AV$404&gt;$C423,AVERAGE(AU416:AV416)*((AV$404+$C417)/4),AVERAGE(AU416:AV416)*(($C423+$C417)/4))</f>
        <v>0</v>
      </c>
      <c r="AW417" s="4">
        <f t="shared" ref="AW417" si="1523">+IF(AW$404&gt;$C423,AVERAGE(AV416:AW416)*((AW$404+$C417)/4),AVERAGE(AV416:AW416)*(($C423+$C417)/4))</f>
        <v>0</v>
      </c>
      <c r="AX417" s="4">
        <f t="shared" ref="AX417" si="1524">+IF(AX$404&gt;$C423,AVERAGE(AW416:AX416)*((AX$404+$C417)/4),AVERAGE(AW416:AX416)*(($C423+$C417)/4))</f>
        <v>0</v>
      </c>
      <c r="AY417" s="4">
        <f t="shared" ref="AY417" si="1525">+IF(AY$404&gt;$C423,AVERAGE(AX416:AY416)*((AY$404+$C417)/4),AVERAGE(AX416:AY416)*(($C423+$C417)/4))</f>
        <v>0</v>
      </c>
      <c r="AZ417" s="24"/>
      <c r="BA417" s="4"/>
      <c r="BB417" s="4"/>
      <c r="BC417" s="4"/>
      <c r="BD417" s="4"/>
      <c r="BE417" s="4"/>
      <c r="BF417" s="4"/>
      <c r="BG417" s="4"/>
      <c r="BH417" s="4"/>
      <c r="BI417" s="4"/>
      <c r="BJ417" s="4"/>
      <c r="BK417" s="4"/>
      <c r="BL417" s="4"/>
      <c r="BM417" s="4"/>
      <c r="BN417" s="4"/>
    </row>
    <row r="418" spans="2:66">
      <c r="B418" t="s">
        <v>1</v>
      </c>
      <c r="C418" s="17">
        <v>1.84E-2</v>
      </c>
      <c r="D418" s="24"/>
      <c r="E418" s="24"/>
      <c r="F418" s="24"/>
      <c r="G418" s="24"/>
      <c r="H418" s="4"/>
      <c r="I418" s="4"/>
      <c r="J418" s="4">
        <f t="shared" ref="J418:W418" si="1526">+IF(J$404&gt;$C423,AVERAGE(I416:J416)*((J$404+$C418)/4),AVERAGE(I416:J416)*(($C423+$C418)/4))</f>
        <v>1.153125</v>
      </c>
      <c r="K418" s="4">
        <f t="shared" si="1526"/>
        <v>1.1587499999999999</v>
      </c>
      <c r="L418" s="4">
        <f t="shared" si="1526"/>
        <v>1.1643749999999999</v>
      </c>
      <c r="M418" s="4">
        <f t="shared" si="1526"/>
        <v>1.17</v>
      </c>
      <c r="N418" s="4">
        <f t="shared" si="1526"/>
        <v>0.97968749999999993</v>
      </c>
      <c r="O418" s="4">
        <f t="shared" si="1526"/>
        <v>0.65624999999999989</v>
      </c>
      <c r="P418" s="4">
        <f t="shared" si="1526"/>
        <v>0.52749999999999997</v>
      </c>
      <c r="Q418" s="4">
        <f t="shared" si="1526"/>
        <v>0.52999999999999992</v>
      </c>
      <c r="R418" s="4">
        <f t="shared" si="1526"/>
        <v>0.53249999999999997</v>
      </c>
      <c r="S418" s="4">
        <f t="shared" si="1526"/>
        <v>1.0699999999999998</v>
      </c>
      <c r="T418" s="4">
        <f t="shared" si="1526"/>
        <v>1.6124999999999998</v>
      </c>
      <c r="U418" s="4">
        <f t="shared" si="1526"/>
        <v>1.6199999999999999</v>
      </c>
      <c r="V418" s="4">
        <f t="shared" si="1526"/>
        <v>1.6274999999999997</v>
      </c>
      <c r="W418" s="4">
        <f t="shared" si="1526"/>
        <v>1.6349999999999998</v>
      </c>
      <c r="X418" s="4">
        <f t="shared" ref="X418:AM418" si="1527">+IF(X$404&gt;$C423,AVERAGE(W416:X416)*((X$404+$C418)/4),AVERAGE(W416:X416)*(($C423+$C418)/4))</f>
        <v>2.1243300000000001</v>
      </c>
      <c r="Y418" s="4">
        <f t="shared" si="1527"/>
        <v>2.3024999999999998</v>
      </c>
      <c r="Z418" s="4">
        <f t="shared" si="1527"/>
        <v>2.4299999999999997</v>
      </c>
      <c r="AA418" s="4">
        <f t="shared" si="1527"/>
        <v>1.7455499999999999</v>
      </c>
      <c r="AB418" s="4">
        <f t="shared" si="1527"/>
        <v>1.1599067500000002</v>
      </c>
      <c r="AC418" s="4">
        <f t="shared" si="1527"/>
        <v>1.2801418250000003</v>
      </c>
      <c r="AD418" s="4">
        <f t="shared" si="1527"/>
        <v>1.2924984000000002</v>
      </c>
      <c r="AE418" s="4">
        <f t="shared" si="1527"/>
        <v>1.3421179250000002</v>
      </c>
      <c r="AF418" s="4">
        <f t="shared" si="1527"/>
        <v>1.3884755500000001</v>
      </c>
      <c r="AG418" s="4">
        <f t="shared" si="1527"/>
        <v>1.4162344499999999</v>
      </c>
      <c r="AH418" s="4">
        <f t="shared" si="1527"/>
        <v>1.4266915249999998</v>
      </c>
      <c r="AI418" s="4">
        <f t="shared" si="1527"/>
        <v>1.44294535</v>
      </c>
      <c r="AJ418" s="4">
        <f t="shared" si="1527"/>
        <v>1.4447302249999998</v>
      </c>
      <c r="AK418" s="4">
        <f t="shared" si="1527"/>
        <v>1.4617111</v>
      </c>
      <c r="AL418" s="4">
        <f t="shared" si="1527"/>
        <v>1.4784823750000002</v>
      </c>
      <c r="AM418" s="4">
        <f t="shared" si="1527"/>
        <v>1.4947525750000001</v>
      </c>
      <c r="AN418" s="4">
        <f t="shared" ref="AN418" si="1528">+IF(AN$404&gt;$C423,AVERAGE(AM416:AN416)*((AN$404+$C418)/4),AVERAGE(AM416:AN416)*(($C423+$C418)/4))</f>
        <v>1.4777946249999998</v>
      </c>
      <c r="AO418" s="4">
        <f t="shared" ref="AO418" si="1529">+IF(AO$404&gt;$C423,AVERAGE(AN416:AO416)*((AO$404+$C418)/4),AVERAGE(AN416:AO416)*(($C423+$C418)/4))</f>
        <v>1.4875966999999999</v>
      </c>
      <c r="AP418" s="4">
        <f t="shared" ref="AP418" si="1530">+IF(AP$404&gt;$C423,AVERAGE(AO416:AP416)*((AP$404+$C418)/4),AVERAGE(AO416:AP416)*(($C423+$C418)/4))</f>
        <v>1.497254675</v>
      </c>
      <c r="AQ418" s="4">
        <f t="shared" ref="AQ418" si="1531">+IF(AQ$404&gt;$C423,AVERAGE(AP416:AQ416)*((AQ$404+$C418)/4),AVERAGE(AP416:AQ416)*(($C423+$C418)/4))</f>
        <v>1.5066440999999999</v>
      </c>
      <c r="AR418" s="4">
        <f t="shared" ref="AR418" si="1532">+IF(AR$404&gt;$C423,AVERAGE(AQ416:AR416)*((AR$404+$C418)/4),AVERAGE(AQ416:AR416)*(($C423+$C418)/4))</f>
        <v>1.49471</v>
      </c>
      <c r="AS418" s="4">
        <f t="shared" ref="AS418" si="1533">+IF(AS$404&gt;$C423,AVERAGE(AR416:AS416)*((AS$404+$C418)/4),AVERAGE(AR416:AS416)*(($C423+$C418)/4))</f>
        <v>0.75046952499999997</v>
      </c>
      <c r="AT418" s="4">
        <f t="shared" ref="AT418" si="1534">+IF(AT$404&gt;$C423,AVERAGE(AS416:AT416)*((AT$404+$C418)/4),AVERAGE(AS416:AT416)*(($C423+$C418)/4))</f>
        <v>0</v>
      </c>
      <c r="AU418" s="4">
        <f t="shared" ref="AU418" si="1535">+IF(AU$404&gt;$C423,AVERAGE(AT416:AU416)*((AU$404+$C418)/4),AVERAGE(AT416:AU416)*(($C423+$C418)/4))</f>
        <v>0</v>
      </c>
      <c r="AV418" s="4">
        <f t="shared" ref="AV418" si="1536">+IF(AV$404&gt;$C423,AVERAGE(AU416:AV416)*((AV$404+$C418)/4),AVERAGE(AU416:AV416)*(($C423+$C418)/4))</f>
        <v>0</v>
      </c>
      <c r="AW418" s="4">
        <f t="shared" ref="AW418" si="1537">+IF(AW$404&gt;$C423,AVERAGE(AV416:AW416)*((AW$404+$C418)/4),AVERAGE(AV416:AW416)*(($C423+$C418)/4))</f>
        <v>0</v>
      </c>
      <c r="AX418" s="4">
        <f t="shared" ref="AX418" si="1538">+IF(AX$404&gt;$C423,AVERAGE(AW416:AX416)*((AX$404+$C418)/4),AVERAGE(AW416:AX416)*(($C423+$C418)/4))</f>
        <v>0</v>
      </c>
      <c r="AY418" s="4">
        <f t="shared" ref="AY418" si="1539">+IF(AY$404&gt;$C423,AVERAGE(AX416:AY416)*((AY$404+$C418)/4),AVERAGE(AX416:AY416)*(($C423+$C418)/4))</f>
        <v>0</v>
      </c>
      <c r="AZ418" s="24"/>
      <c r="BA418" s="4"/>
      <c r="BB418" s="4"/>
      <c r="BC418" s="4"/>
      <c r="BD418" s="4"/>
      <c r="BE418" s="4"/>
      <c r="BF418" s="4"/>
      <c r="BG418" s="4"/>
      <c r="BH418" s="4"/>
      <c r="BI418" s="4"/>
      <c r="BJ418" s="4"/>
      <c r="BK418" s="4"/>
      <c r="BL418" s="4"/>
      <c r="BM418" s="4"/>
      <c r="BN418" s="4"/>
    </row>
    <row r="419" spans="2:66">
      <c r="B419" t="s">
        <v>127</v>
      </c>
      <c r="C419" s="4"/>
      <c r="D419" s="24"/>
      <c r="E419" s="24"/>
      <c r="F419" s="24"/>
      <c r="G419" s="24"/>
      <c r="H419" s="4"/>
      <c r="I419" s="4"/>
      <c r="J419" s="4">
        <f t="shared" ref="J419:W419" si="1540">+I422</f>
        <v>225</v>
      </c>
      <c r="K419" s="4">
        <f t="shared" si="1540"/>
        <v>225</v>
      </c>
      <c r="L419" s="4">
        <f t="shared" si="1540"/>
        <v>225</v>
      </c>
      <c r="M419" s="4">
        <f t="shared" si="1540"/>
        <v>225</v>
      </c>
      <c r="N419" s="4">
        <f t="shared" si="1540"/>
        <v>225</v>
      </c>
      <c r="O419" s="4">
        <f t="shared" si="1540"/>
        <v>150</v>
      </c>
      <c r="P419" s="4">
        <f t="shared" si="1540"/>
        <v>100</v>
      </c>
      <c r="Q419" s="4">
        <f t="shared" si="1540"/>
        <v>100</v>
      </c>
      <c r="R419" s="4">
        <f t="shared" si="1540"/>
        <v>100</v>
      </c>
      <c r="S419" s="4">
        <f t="shared" si="1540"/>
        <v>100</v>
      </c>
      <c r="T419" s="4">
        <f t="shared" si="1540"/>
        <v>300</v>
      </c>
      <c r="U419" s="4">
        <f t="shared" si="1540"/>
        <v>300</v>
      </c>
      <c r="V419" s="4">
        <f t="shared" si="1540"/>
        <v>300</v>
      </c>
      <c r="W419" s="4">
        <f t="shared" si="1540"/>
        <v>300</v>
      </c>
      <c r="X419" s="4">
        <f t="shared" ref="X419:AM419" si="1541">+W422</f>
        <v>300</v>
      </c>
      <c r="Y419" s="4">
        <f t="shared" si="1541"/>
        <v>300</v>
      </c>
      <c r="Z419" s="4">
        <f t="shared" si="1541"/>
        <v>300</v>
      </c>
      <c r="AA419" s="4">
        <f t="shared" si="1541"/>
        <v>300</v>
      </c>
      <c r="AB419" s="4">
        <f t="shared" si="1541"/>
        <v>131</v>
      </c>
      <c r="AC419" s="4">
        <f t="shared" si="1541"/>
        <v>131</v>
      </c>
      <c r="AD419" s="4">
        <f t="shared" si="1541"/>
        <v>131</v>
      </c>
      <c r="AE419" s="4">
        <f t="shared" si="1541"/>
        <v>131</v>
      </c>
      <c r="AF419" s="4">
        <f t="shared" si="1541"/>
        <v>131</v>
      </c>
      <c r="AG419" s="4">
        <f t="shared" si="1541"/>
        <v>131</v>
      </c>
      <c r="AH419" s="4">
        <f t="shared" si="1541"/>
        <v>131</v>
      </c>
      <c r="AI419" s="4">
        <f t="shared" si="1541"/>
        <v>131</v>
      </c>
      <c r="AJ419" s="4">
        <f t="shared" si="1541"/>
        <v>131</v>
      </c>
      <c r="AK419" s="4">
        <f t="shared" si="1541"/>
        <v>131</v>
      </c>
      <c r="AL419" s="4">
        <f t="shared" si="1541"/>
        <v>131</v>
      </c>
      <c r="AM419" s="4">
        <f t="shared" si="1541"/>
        <v>131</v>
      </c>
      <c r="AN419" s="4">
        <f t="shared" ref="AN419" si="1542">+AM422</f>
        <v>131</v>
      </c>
      <c r="AO419" s="4">
        <f t="shared" ref="AO419" si="1543">+AN422</f>
        <v>131</v>
      </c>
      <c r="AP419" s="4">
        <f t="shared" ref="AP419" si="1544">+AO422</f>
        <v>131</v>
      </c>
      <c r="AQ419" s="4">
        <f t="shared" ref="AQ419" si="1545">+AP422</f>
        <v>131</v>
      </c>
      <c r="AR419" s="4">
        <f t="shared" ref="AR419" si="1546">+AQ422</f>
        <v>131</v>
      </c>
      <c r="AS419" s="4">
        <f t="shared" ref="AS419" si="1547">+AR422</f>
        <v>131</v>
      </c>
      <c r="AT419" s="4">
        <f t="shared" ref="AT419" si="1548">+AS422</f>
        <v>0</v>
      </c>
      <c r="AU419" s="4">
        <f t="shared" ref="AU419" si="1549">+AT422</f>
        <v>0</v>
      </c>
      <c r="AV419" s="4">
        <f t="shared" ref="AV419" si="1550">+AU422</f>
        <v>0</v>
      </c>
      <c r="AW419" s="4">
        <f t="shared" ref="AW419" si="1551">+AV422</f>
        <v>0</v>
      </c>
      <c r="AX419" s="4">
        <f t="shared" ref="AX419" si="1552">+AW422</f>
        <v>0</v>
      </c>
      <c r="AY419" s="4">
        <f t="shared" ref="AY419" si="1553">+AX422</f>
        <v>0</v>
      </c>
      <c r="AZ419" s="24"/>
      <c r="BA419" s="4"/>
      <c r="BB419" s="4"/>
      <c r="BC419" s="4"/>
      <c r="BD419" s="4"/>
      <c r="BE419" s="4"/>
      <c r="BF419" s="4"/>
      <c r="BG419" s="4"/>
      <c r="BH419" s="4"/>
      <c r="BI419" s="4"/>
      <c r="BJ419" s="4"/>
      <c r="BK419" s="4"/>
      <c r="BL419" s="4"/>
      <c r="BM419" s="4"/>
      <c r="BN419" s="4"/>
    </row>
    <row r="420" spans="2:66">
      <c r="B420" t="s">
        <v>128</v>
      </c>
      <c r="C420" s="4"/>
      <c r="D420" s="24"/>
      <c r="E420" s="24"/>
      <c r="F420" s="24"/>
      <c r="G420" s="24"/>
      <c r="H420" s="4"/>
      <c r="I420" s="4"/>
      <c r="J420" s="4">
        <f t="shared" ref="J420:O420" si="1554">+J418-J417</f>
        <v>0</v>
      </c>
      <c r="K420" s="4">
        <f t="shared" si="1554"/>
        <v>0</v>
      </c>
      <c r="L420" s="4">
        <f t="shared" si="1554"/>
        <v>0</v>
      </c>
      <c r="M420" s="4">
        <f t="shared" si="1554"/>
        <v>0</v>
      </c>
      <c r="N420" s="4">
        <f t="shared" si="1554"/>
        <v>0</v>
      </c>
      <c r="O420" s="4">
        <f t="shared" si="1554"/>
        <v>0</v>
      </c>
      <c r="P420" s="4">
        <f t="shared" ref="P420:W420" si="1555">+P418-P417</f>
        <v>0</v>
      </c>
      <c r="Q420" s="4">
        <f t="shared" si="1555"/>
        <v>0</v>
      </c>
      <c r="R420" s="4">
        <f t="shared" si="1555"/>
        <v>0</v>
      </c>
      <c r="S420" s="4">
        <f t="shared" si="1555"/>
        <v>0</v>
      </c>
      <c r="T420" s="4">
        <f t="shared" si="1555"/>
        <v>0</v>
      </c>
      <c r="U420" s="4">
        <f t="shared" si="1555"/>
        <v>0</v>
      </c>
      <c r="V420" s="4">
        <f t="shared" si="1555"/>
        <v>0</v>
      </c>
      <c r="W420" s="4">
        <f t="shared" si="1555"/>
        <v>0</v>
      </c>
      <c r="X420" s="4">
        <f t="shared" ref="X420:AM420" si="1556">+X418-X417</f>
        <v>0</v>
      </c>
      <c r="Y420" s="4">
        <f t="shared" si="1556"/>
        <v>0</v>
      </c>
      <c r="Z420" s="4">
        <f t="shared" si="1556"/>
        <v>0</v>
      </c>
      <c r="AA420" s="4">
        <f t="shared" si="1556"/>
        <v>0</v>
      </c>
      <c r="AB420" s="4">
        <f t="shared" si="1556"/>
        <v>0</v>
      </c>
      <c r="AC420" s="4">
        <f t="shared" si="1556"/>
        <v>0</v>
      </c>
      <c r="AD420" s="4">
        <f t="shared" si="1556"/>
        <v>0</v>
      </c>
      <c r="AE420" s="4">
        <f t="shared" si="1556"/>
        <v>0</v>
      </c>
      <c r="AF420" s="4">
        <f t="shared" si="1556"/>
        <v>0</v>
      </c>
      <c r="AG420" s="4">
        <f t="shared" si="1556"/>
        <v>0</v>
      </c>
      <c r="AH420" s="4">
        <f t="shared" si="1556"/>
        <v>0</v>
      </c>
      <c r="AI420" s="4">
        <f t="shared" si="1556"/>
        <v>0</v>
      </c>
      <c r="AJ420" s="4">
        <f t="shared" si="1556"/>
        <v>0</v>
      </c>
      <c r="AK420" s="4">
        <f t="shared" si="1556"/>
        <v>0</v>
      </c>
      <c r="AL420" s="4">
        <f t="shared" si="1556"/>
        <v>0</v>
      </c>
      <c r="AM420" s="4">
        <f t="shared" si="1556"/>
        <v>0</v>
      </c>
      <c r="AN420" s="4">
        <f t="shared" ref="AN420:AY420" si="1557">+AN418-AN417</f>
        <v>0</v>
      </c>
      <c r="AO420" s="4">
        <f t="shared" si="1557"/>
        <v>0</v>
      </c>
      <c r="AP420" s="4">
        <f t="shared" si="1557"/>
        <v>0</v>
      </c>
      <c r="AQ420" s="4">
        <f t="shared" si="1557"/>
        <v>0</v>
      </c>
      <c r="AR420" s="4">
        <f t="shared" si="1557"/>
        <v>0</v>
      </c>
      <c r="AS420" s="4">
        <f t="shared" si="1557"/>
        <v>0</v>
      </c>
      <c r="AT420" s="4">
        <f t="shared" si="1557"/>
        <v>0</v>
      </c>
      <c r="AU420" s="4">
        <f t="shared" si="1557"/>
        <v>0</v>
      </c>
      <c r="AV420" s="4">
        <f t="shared" si="1557"/>
        <v>0</v>
      </c>
      <c r="AW420" s="4">
        <f t="shared" si="1557"/>
        <v>0</v>
      </c>
      <c r="AX420" s="4">
        <f t="shared" si="1557"/>
        <v>0</v>
      </c>
      <c r="AY420" s="4">
        <f t="shared" si="1557"/>
        <v>0</v>
      </c>
      <c r="AZ420" s="24"/>
      <c r="BA420" s="4"/>
      <c r="BB420" s="4"/>
      <c r="BC420" s="4"/>
      <c r="BD420" s="4"/>
      <c r="BE420" s="4"/>
      <c r="BF420" s="4"/>
      <c r="BG420" s="4"/>
      <c r="BH420" s="4"/>
      <c r="BI420" s="4"/>
      <c r="BJ420" s="4"/>
      <c r="BK420" s="4"/>
      <c r="BL420" s="4"/>
      <c r="BM420" s="4"/>
      <c r="BN420" s="4"/>
    </row>
    <row r="421" spans="2:66">
      <c r="B421" t="s">
        <v>129</v>
      </c>
      <c r="C421" s="4"/>
      <c r="D421" s="24"/>
      <c r="E421" s="24"/>
      <c r="F421" s="24"/>
      <c r="G421" s="24"/>
      <c r="H421" s="4"/>
      <c r="I421" s="4"/>
      <c r="J421" s="4">
        <f t="shared" ref="J421:P421" si="1558">+IF($C416&lt;J$1,-(J419+J420),0)</f>
        <v>0</v>
      </c>
      <c r="K421" s="4">
        <f t="shared" si="1558"/>
        <v>0</v>
      </c>
      <c r="L421" s="4">
        <f t="shared" si="1558"/>
        <v>0</v>
      </c>
      <c r="M421" s="4">
        <f>+IF($C416&lt;M$1,-(M419+M420),0)</f>
        <v>0</v>
      </c>
      <c r="N421" s="291">
        <v>-75</v>
      </c>
      <c r="O421" s="291">
        <v>-50</v>
      </c>
      <c r="P421" s="4">
        <f t="shared" si="1558"/>
        <v>0</v>
      </c>
      <c r="Q421" s="4">
        <f>+IF($C416&lt;Q$1,-(Q419+Q420),0)</f>
        <v>0</v>
      </c>
      <c r="R421" s="4">
        <f>+IF($C416&lt;R$1,-(R419+R420),0)</f>
        <v>0</v>
      </c>
      <c r="S421" s="28">
        <v>200</v>
      </c>
      <c r="T421" s="4">
        <f>+IF($C416&lt;T$1,-(T419+T420),0)</f>
        <v>0</v>
      </c>
      <c r="U421" s="4">
        <f>+IF($C416&lt;U$1,-(U419+U420),0)</f>
        <v>0</v>
      </c>
      <c r="V421" s="4">
        <f>+IF($C416&lt;V$1,-(V419+V420),0)</f>
        <v>0</v>
      </c>
      <c r="W421" s="4">
        <f>+IF($C416&lt;W$1,-(W419+W420),0)</f>
        <v>0</v>
      </c>
      <c r="X421" s="4">
        <f t="shared" ref="X421:AM421" si="1559">+IF($C416&lt;X$1,-(X419+X420),0)</f>
        <v>0</v>
      </c>
      <c r="Y421" s="4">
        <f t="shared" si="1559"/>
        <v>0</v>
      </c>
      <c r="Z421" s="4">
        <f t="shared" si="1559"/>
        <v>0</v>
      </c>
      <c r="AA421" s="28">
        <f>131-AA419</f>
        <v>-169</v>
      </c>
      <c r="AB421" s="4">
        <f t="shared" si="1559"/>
        <v>0</v>
      </c>
      <c r="AC421" s="4">
        <f t="shared" si="1559"/>
        <v>0</v>
      </c>
      <c r="AD421" s="4">
        <f t="shared" si="1559"/>
        <v>0</v>
      </c>
      <c r="AE421" s="4">
        <f t="shared" si="1559"/>
        <v>0</v>
      </c>
      <c r="AF421" s="4">
        <f t="shared" si="1559"/>
        <v>0</v>
      </c>
      <c r="AG421" s="4">
        <f t="shared" si="1559"/>
        <v>0</v>
      </c>
      <c r="AH421" s="4">
        <f t="shared" si="1559"/>
        <v>0</v>
      </c>
      <c r="AI421" s="4">
        <f t="shared" si="1559"/>
        <v>0</v>
      </c>
      <c r="AJ421" s="4">
        <f t="shared" si="1559"/>
        <v>0</v>
      </c>
      <c r="AK421" s="4">
        <f t="shared" si="1559"/>
        <v>0</v>
      </c>
      <c r="AL421" s="4">
        <f t="shared" si="1559"/>
        <v>0</v>
      </c>
      <c r="AM421" s="4">
        <f t="shared" si="1559"/>
        <v>0</v>
      </c>
      <c r="AN421" s="4">
        <f t="shared" ref="AN421:AY421" si="1560">+IF($C416&lt;AN$1,-(AN419+AN420),0)</f>
        <v>0</v>
      </c>
      <c r="AO421" s="4">
        <f t="shared" si="1560"/>
        <v>0</v>
      </c>
      <c r="AP421" s="4">
        <f t="shared" si="1560"/>
        <v>0</v>
      </c>
      <c r="AQ421" s="4">
        <f t="shared" si="1560"/>
        <v>0</v>
      </c>
      <c r="AR421" s="4">
        <f t="shared" si="1560"/>
        <v>0</v>
      </c>
      <c r="AS421" s="4">
        <f t="shared" si="1560"/>
        <v>-131</v>
      </c>
      <c r="AT421" s="4">
        <f t="shared" si="1560"/>
        <v>0</v>
      </c>
      <c r="AU421" s="4">
        <f t="shared" si="1560"/>
        <v>0</v>
      </c>
      <c r="AV421" s="4">
        <f t="shared" si="1560"/>
        <v>0</v>
      </c>
      <c r="AW421" s="4">
        <f t="shared" si="1560"/>
        <v>0</v>
      </c>
      <c r="AX421" s="4">
        <f t="shared" si="1560"/>
        <v>0</v>
      </c>
      <c r="AY421" s="4">
        <f t="shared" si="1560"/>
        <v>0</v>
      </c>
      <c r="AZ421" s="24"/>
      <c r="BA421" s="4"/>
      <c r="BB421" s="4"/>
      <c r="BC421" s="4"/>
      <c r="BD421" s="4"/>
      <c r="BE421" s="4"/>
      <c r="BF421" s="4"/>
      <c r="BG421" s="4"/>
      <c r="BH421" s="4"/>
      <c r="BI421" s="4"/>
      <c r="BJ421" s="4"/>
      <c r="BK421" s="4"/>
      <c r="BL421" s="4"/>
      <c r="BM421" s="4"/>
      <c r="BN421" s="4"/>
    </row>
    <row r="422" spans="2:66">
      <c r="B422" t="s">
        <v>130</v>
      </c>
      <c r="C422" s="4"/>
      <c r="D422" s="28"/>
      <c r="E422" s="28"/>
      <c r="F422" s="28"/>
      <c r="G422" s="28"/>
      <c r="H422" s="4"/>
      <c r="I422" s="7">
        <v>225</v>
      </c>
      <c r="J422" s="4">
        <f t="shared" ref="J422:R422" si="1561">+SUM(J419:J421)</f>
        <v>225</v>
      </c>
      <c r="K422" s="4">
        <f t="shared" si="1561"/>
        <v>225</v>
      </c>
      <c r="L422" s="4">
        <f t="shared" si="1561"/>
        <v>225</v>
      </c>
      <c r="M422" s="4">
        <f t="shared" si="1561"/>
        <v>225</v>
      </c>
      <c r="N422" s="4">
        <f t="shared" si="1561"/>
        <v>150</v>
      </c>
      <c r="O422" s="4">
        <f t="shared" si="1561"/>
        <v>100</v>
      </c>
      <c r="P422" s="4">
        <f t="shared" si="1561"/>
        <v>100</v>
      </c>
      <c r="Q422" s="4">
        <f t="shared" si="1561"/>
        <v>100</v>
      </c>
      <c r="R422" s="4">
        <f t="shared" si="1561"/>
        <v>100</v>
      </c>
      <c r="S422" s="4">
        <f>+SUM(S419:S421)</f>
        <v>300</v>
      </c>
      <c r="T422" s="4">
        <f>+SUM(T419:T421)</f>
        <v>300</v>
      </c>
      <c r="U422" s="4">
        <f>+SUM(U419:U421)</f>
        <v>300</v>
      </c>
      <c r="V422" s="4">
        <f>+SUM(V419:V421)</f>
        <v>300</v>
      </c>
      <c r="W422" s="4">
        <f>+SUM(W419:W421)</f>
        <v>300</v>
      </c>
      <c r="X422" s="4">
        <f t="shared" ref="X422:AM422" si="1562">+SUM(X419:X421)</f>
        <v>300</v>
      </c>
      <c r="Y422" s="4">
        <f t="shared" si="1562"/>
        <v>300</v>
      </c>
      <c r="Z422" s="4">
        <f t="shared" si="1562"/>
        <v>300</v>
      </c>
      <c r="AA422" s="4">
        <f t="shared" si="1562"/>
        <v>131</v>
      </c>
      <c r="AB422" s="4">
        <f t="shared" si="1562"/>
        <v>131</v>
      </c>
      <c r="AC422" s="4">
        <f t="shared" si="1562"/>
        <v>131</v>
      </c>
      <c r="AD422" s="4">
        <f t="shared" si="1562"/>
        <v>131</v>
      </c>
      <c r="AE422" s="4">
        <f t="shared" si="1562"/>
        <v>131</v>
      </c>
      <c r="AF422" s="4">
        <f t="shared" si="1562"/>
        <v>131</v>
      </c>
      <c r="AG422" s="4">
        <f t="shared" si="1562"/>
        <v>131</v>
      </c>
      <c r="AH422" s="4">
        <f t="shared" si="1562"/>
        <v>131</v>
      </c>
      <c r="AI422" s="4">
        <f t="shared" si="1562"/>
        <v>131</v>
      </c>
      <c r="AJ422" s="4">
        <f t="shared" si="1562"/>
        <v>131</v>
      </c>
      <c r="AK422" s="4">
        <f t="shared" si="1562"/>
        <v>131</v>
      </c>
      <c r="AL422" s="4">
        <f t="shared" si="1562"/>
        <v>131</v>
      </c>
      <c r="AM422" s="4">
        <f t="shared" si="1562"/>
        <v>131</v>
      </c>
      <c r="AN422" s="4">
        <f t="shared" ref="AN422:AY422" si="1563">+SUM(AN419:AN421)</f>
        <v>131</v>
      </c>
      <c r="AO422" s="4">
        <f t="shared" si="1563"/>
        <v>131</v>
      </c>
      <c r="AP422" s="4">
        <f t="shared" si="1563"/>
        <v>131</v>
      </c>
      <c r="AQ422" s="4">
        <f t="shared" si="1563"/>
        <v>131</v>
      </c>
      <c r="AR422" s="4">
        <f t="shared" si="1563"/>
        <v>131</v>
      </c>
      <c r="AS422" s="4">
        <f t="shared" si="1563"/>
        <v>0</v>
      </c>
      <c r="AT422" s="4">
        <f t="shared" si="1563"/>
        <v>0</v>
      </c>
      <c r="AU422" s="4">
        <f t="shared" si="1563"/>
        <v>0</v>
      </c>
      <c r="AV422" s="4">
        <f t="shared" si="1563"/>
        <v>0</v>
      </c>
      <c r="AW422" s="4">
        <f t="shared" si="1563"/>
        <v>0</v>
      </c>
      <c r="AX422" s="4">
        <f t="shared" si="1563"/>
        <v>0</v>
      </c>
      <c r="AY422" s="4">
        <f t="shared" si="1563"/>
        <v>0</v>
      </c>
      <c r="AZ422" s="24"/>
      <c r="BA422" s="4"/>
      <c r="BB422" s="4"/>
      <c r="BC422" s="4"/>
      <c r="BD422" s="4"/>
      <c r="BE422" s="4"/>
      <c r="BF422" s="4"/>
      <c r="BG422" s="4"/>
      <c r="BH422" s="4"/>
      <c r="BI422" s="4"/>
      <c r="BJ422" s="4"/>
      <c r="BK422" s="4"/>
      <c r="BL422" s="4"/>
      <c r="BM422" s="4"/>
      <c r="BN422" s="4"/>
    </row>
    <row r="423" spans="2:66">
      <c r="B423" t="s">
        <v>131</v>
      </c>
      <c r="C423" s="17">
        <v>0</v>
      </c>
      <c r="D423" s="24"/>
      <c r="E423" s="24"/>
      <c r="F423" s="24"/>
      <c r="G423" s="2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24"/>
      <c r="BA423" s="4"/>
      <c r="BB423" s="4"/>
      <c r="BC423" s="4"/>
      <c r="BD423" s="4"/>
      <c r="BE423" s="4"/>
      <c r="BF423" s="4"/>
      <c r="BG423" s="4"/>
      <c r="BH423" s="4"/>
      <c r="BI423" s="4"/>
      <c r="BJ423" s="4"/>
      <c r="BK423" s="4"/>
      <c r="BL423" s="4"/>
      <c r="BM423" s="4"/>
      <c r="BN423" s="4"/>
    </row>
    <row r="424" spans="2:66">
      <c r="C424" s="4"/>
      <c r="D424" s="24"/>
      <c r="E424" s="24"/>
      <c r="F424" s="24"/>
      <c r="G424" s="2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24"/>
      <c r="BA424" s="4"/>
      <c r="BB424" s="4"/>
      <c r="BC424" s="4"/>
      <c r="BD424" s="4"/>
      <c r="BE424" s="4"/>
      <c r="BF424" s="4"/>
      <c r="BG424" s="4"/>
      <c r="BH424" s="4"/>
      <c r="BI424" s="4"/>
      <c r="BJ424" s="4"/>
      <c r="BK424" s="4"/>
      <c r="BL424" s="4"/>
      <c r="BM424" s="4"/>
      <c r="BN424" s="4"/>
    </row>
    <row r="425" spans="2:66">
      <c r="B425" s="294" t="s">
        <v>487</v>
      </c>
      <c r="C425" s="37">
        <v>44678</v>
      </c>
      <c r="D425" s="34"/>
      <c r="E425" s="34"/>
      <c r="F425" s="34"/>
      <c r="G425" s="34"/>
      <c r="H425" s="33"/>
      <c r="I425" s="34"/>
      <c r="J425" s="33"/>
      <c r="K425" s="33"/>
      <c r="L425" s="33"/>
      <c r="M425" s="33"/>
      <c r="N425" s="33"/>
      <c r="O425" s="33"/>
      <c r="P425" s="33"/>
      <c r="Q425" s="33"/>
      <c r="R425" s="33"/>
      <c r="S425" s="33"/>
      <c r="T425" s="33"/>
      <c r="U425" s="33"/>
      <c r="V425" s="33"/>
      <c r="W425" s="34">
        <v>200</v>
      </c>
      <c r="X425" s="33">
        <f t="shared" ref="X425:AM425" si="1564">+IF($C425&gt;X$1,W425+X430,W425-W425)</f>
        <v>200</v>
      </c>
      <c r="Y425" s="33">
        <f t="shared" si="1564"/>
        <v>200</v>
      </c>
      <c r="Z425" s="33">
        <f t="shared" si="1564"/>
        <v>200</v>
      </c>
      <c r="AA425" s="33">
        <f t="shared" si="1564"/>
        <v>350</v>
      </c>
      <c r="AB425" s="33">
        <f t="shared" si="1564"/>
        <v>350</v>
      </c>
      <c r="AC425" s="33">
        <f t="shared" si="1564"/>
        <v>350</v>
      </c>
      <c r="AD425" s="33">
        <f t="shared" si="1564"/>
        <v>350</v>
      </c>
      <c r="AE425" s="33">
        <f t="shared" si="1564"/>
        <v>350</v>
      </c>
      <c r="AF425" s="33">
        <f t="shared" si="1564"/>
        <v>350</v>
      </c>
      <c r="AG425" s="33">
        <f t="shared" si="1564"/>
        <v>350</v>
      </c>
      <c r="AH425" s="33">
        <f t="shared" si="1564"/>
        <v>350</v>
      </c>
      <c r="AI425" s="33">
        <f t="shared" si="1564"/>
        <v>350</v>
      </c>
      <c r="AJ425" s="33">
        <f t="shared" si="1564"/>
        <v>350</v>
      </c>
      <c r="AK425" s="33">
        <f t="shared" si="1564"/>
        <v>350</v>
      </c>
      <c r="AL425" s="33">
        <f t="shared" si="1564"/>
        <v>350</v>
      </c>
      <c r="AM425" s="33">
        <f t="shared" si="1564"/>
        <v>350</v>
      </c>
      <c r="AN425" s="33">
        <f t="shared" ref="AN425" si="1565">+IF($C425&gt;AN$1,AM425+AN430,AM425-AM425)</f>
        <v>350</v>
      </c>
      <c r="AO425" s="33">
        <f t="shared" ref="AO425" si="1566">+IF($C425&gt;AO$1,AN425+AO430,AN425-AN425)</f>
        <v>350</v>
      </c>
      <c r="AP425" s="33">
        <f t="shared" ref="AP425" si="1567">+IF($C425&gt;AP$1,AO425+AP430,AO425-AO425)</f>
        <v>350</v>
      </c>
      <c r="AQ425" s="33">
        <f t="shared" ref="AQ425" si="1568">+IF($C425&gt;AQ$1,AP425+AQ430,AP425-AP425)</f>
        <v>350</v>
      </c>
      <c r="AR425" s="33">
        <f t="shared" ref="AR425" si="1569">+IF($C425&gt;AR$1,AQ425+AR430,AQ425-AQ425)</f>
        <v>350</v>
      </c>
      <c r="AS425" s="33">
        <f t="shared" ref="AS425" si="1570">+IF($C425&gt;AS$1,AR425+AS430,AR425-AR425)</f>
        <v>0</v>
      </c>
      <c r="AT425" s="33">
        <f t="shared" ref="AT425" si="1571">+IF($C425&gt;AT$1,AS425+AT430,AS425-AS425)</f>
        <v>0</v>
      </c>
      <c r="AU425" s="33">
        <f t="shared" ref="AU425" si="1572">+IF($C425&gt;AU$1,AT425+AU430,AT425-AT425)</f>
        <v>0</v>
      </c>
      <c r="AV425" s="33">
        <f t="shared" ref="AV425" si="1573">+IF($C425&gt;AV$1,AU425+AV430,AU425-AU425)</f>
        <v>0</v>
      </c>
      <c r="AW425" s="33">
        <f t="shared" ref="AW425" si="1574">+IF($C425&gt;AW$1,AV425+AW430,AV425-AV425)</f>
        <v>0</v>
      </c>
      <c r="AX425" s="33">
        <f t="shared" ref="AX425" si="1575">+IF($C425&gt;AX$1,AW425+AX430,AW425-AW425)</f>
        <v>0</v>
      </c>
      <c r="AY425" s="33">
        <f t="shared" ref="AY425" si="1576">+IF($C425&gt;AY$1,AX425+AY430,AX425-AX425)</f>
        <v>0</v>
      </c>
      <c r="AZ425" s="24"/>
      <c r="BA425" s="33"/>
      <c r="BB425" s="33"/>
      <c r="BC425" s="33"/>
      <c r="BD425" s="33"/>
      <c r="BE425" s="33"/>
      <c r="BF425" s="33"/>
      <c r="BG425" s="33"/>
      <c r="BH425" s="33"/>
      <c r="BI425" s="33"/>
      <c r="BJ425" s="33"/>
      <c r="BK425" s="33"/>
      <c r="BL425" s="33"/>
      <c r="BM425" s="33"/>
      <c r="BN425" s="33"/>
    </row>
    <row r="426" spans="2:66">
      <c r="B426" t="s">
        <v>126</v>
      </c>
      <c r="C426" s="17">
        <v>1.84E-2</v>
      </c>
      <c r="D426" s="24"/>
      <c r="E426" s="24"/>
      <c r="F426" s="24"/>
      <c r="G426" s="24"/>
      <c r="H426" s="4"/>
      <c r="I426" s="4"/>
      <c r="J426" s="4"/>
      <c r="K426" s="4"/>
      <c r="L426" s="4"/>
      <c r="M426" s="4"/>
      <c r="N426" s="4"/>
      <c r="O426" s="4"/>
      <c r="P426" s="4"/>
      <c r="Q426" s="4"/>
      <c r="R426" s="4"/>
      <c r="S426" s="4"/>
      <c r="T426" s="4"/>
      <c r="U426" s="4"/>
      <c r="V426" s="4"/>
      <c r="W426" s="4"/>
      <c r="X426" s="4">
        <f t="shared" ref="X426:AM426" si="1577">+IF(X$404&gt;$C432,AVERAGE(W425:X425)*((X$404+$C426)/4),AVERAGE(W425:X425)*(($C432+$C426)/4))</f>
        <v>1.41622</v>
      </c>
      <c r="Y426" s="4">
        <f t="shared" si="1577"/>
        <v>1.5349999999999999</v>
      </c>
      <c r="Z426" s="4">
        <f t="shared" si="1577"/>
        <v>1.6199999999999999</v>
      </c>
      <c r="AA426" s="4">
        <f t="shared" si="1577"/>
        <v>2.2275</v>
      </c>
      <c r="AB426" s="4">
        <f t="shared" si="1577"/>
        <v>3.0989875000000002</v>
      </c>
      <c r="AC426" s="4">
        <f t="shared" si="1577"/>
        <v>3.4202262500000007</v>
      </c>
      <c r="AD426" s="4">
        <f t="shared" si="1577"/>
        <v>3.4532400000000001</v>
      </c>
      <c r="AE426" s="4">
        <f t="shared" si="1577"/>
        <v>3.5858112500000003</v>
      </c>
      <c r="AF426" s="4">
        <f t="shared" si="1577"/>
        <v>3.7096675000000001</v>
      </c>
      <c r="AG426" s="4">
        <f t="shared" si="1577"/>
        <v>3.7838324999999999</v>
      </c>
      <c r="AH426" s="4">
        <f t="shared" si="1577"/>
        <v>3.8117712499999996</v>
      </c>
      <c r="AI426" s="4">
        <f t="shared" si="1577"/>
        <v>3.8551975000000001</v>
      </c>
      <c r="AJ426" s="4">
        <f t="shared" si="1577"/>
        <v>3.8599662499999998</v>
      </c>
      <c r="AK426" s="4">
        <f t="shared" si="1577"/>
        <v>3.9053350000000004</v>
      </c>
      <c r="AL426" s="4">
        <f t="shared" si="1577"/>
        <v>3.9501437500000005</v>
      </c>
      <c r="AM426" s="4">
        <f t="shared" si="1577"/>
        <v>3.9936137500000002</v>
      </c>
      <c r="AN426" s="4">
        <f t="shared" ref="AN426" si="1578">+IF(AN$404&gt;$C432,AVERAGE(AM425:AN425)*((AN$404+$C426)/4),AVERAGE(AM425:AN425)*(($C432+$C426)/4))</f>
        <v>3.9483062499999999</v>
      </c>
      <c r="AO426" s="4">
        <f t="shared" ref="AO426" si="1579">+IF(AO$404&gt;$C432,AVERAGE(AN425:AO425)*((AO$404+$C426)/4),AVERAGE(AN425:AO425)*(($C432+$C426)/4))</f>
        <v>3.9744950000000001</v>
      </c>
      <c r="AP426" s="4">
        <f t="shared" ref="AP426" si="1580">+IF(AP$404&gt;$C432,AVERAGE(AO425:AP425)*((AP$404+$C426)/4),AVERAGE(AO425:AP425)*(($C432+$C426)/4))</f>
        <v>4.0002987499999998</v>
      </c>
      <c r="AQ426" s="4">
        <f t="shared" ref="AQ426" si="1581">+IF(AQ$404&gt;$C432,AVERAGE(AP425:AQ425)*((AQ$404+$C426)/4),AVERAGE(AP425:AQ425)*(($C432+$C426)/4))</f>
        <v>4.025385</v>
      </c>
      <c r="AR426" s="4">
        <f t="shared" ref="AR426" si="1582">+IF(AR$404&gt;$C432,AVERAGE(AQ425:AR425)*((AR$404+$C426)/4),AVERAGE(AQ425:AR425)*(($C432+$C426)/4))</f>
        <v>3.9935</v>
      </c>
      <c r="AS426" s="4">
        <f t="shared" ref="AS426" si="1583">+IF(AS$404&gt;$C432,AVERAGE(AR425:AS425)*((AS$404+$C426)/4),AVERAGE(AR425:AS425)*(($C432+$C426)/4))</f>
        <v>2.0050712499999999</v>
      </c>
      <c r="AT426" s="4">
        <f t="shared" ref="AT426" si="1584">+IF(AT$404&gt;$C432,AVERAGE(AS425:AT425)*((AT$404+$C426)/4),AVERAGE(AS425:AT425)*(($C432+$C426)/4))</f>
        <v>0</v>
      </c>
      <c r="AU426" s="4">
        <f t="shared" ref="AU426" si="1585">+IF(AU$404&gt;$C432,AVERAGE(AT425:AU425)*((AU$404+$C426)/4),AVERAGE(AT425:AU425)*(($C432+$C426)/4))</f>
        <v>0</v>
      </c>
      <c r="AV426" s="4">
        <f t="shared" ref="AV426" si="1586">+IF(AV$404&gt;$C432,AVERAGE(AU425:AV425)*((AV$404+$C426)/4),AVERAGE(AU425:AV425)*(($C432+$C426)/4))</f>
        <v>0</v>
      </c>
      <c r="AW426" s="4">
        <f t="shared" ref="AW426" si="1587">+IF(AW$404&gt;$C432,AVERAGE(AV425:AW425)*((AW$404+$C426)/4),AVERAGE(AV425:AW425)*(($C432+$C426)/4))</f>
        <v>0</v>
      </c>
      <c r="AX426" s="4">
        <f t="shared" ref="AX426" si="1588">+IF(AX$404&gt;$C432,AVERAGE(AW425:AX425)*((AX$404+$C426)/4),AVERAGE(AW425:AX425)*(($C432+$C426)/4))</f>
        <v>0</v>
      </c>
      <c r="AY426" s="4">
        <f t="shared" ref="AY426" si="1589">+IF(AY$404&gt;$C432,AVERAGE(AX425:AY425)*((AY$404+$C426)/4),AVERAGE(AX425:AY425)*(($C432+$C426)/4))</f>
        <v>0</v>
      </c>
      <c r="AZ426" s="24"/>
      <c r="BA426" s="4"/>
      <c r="BB426" s="4"/>
      <c r="BC426" s="4"/>
      <c r="BD426" s="4"/>
      <c r="BE426" s="4"/>
      <c r="BF426" s="4"/>
      <c r="BG426" s="4"/>
      <c r="BH426" s="4"/>
      <c r="BI426" s="4"/>
      <c r="BJ426" s="4"/>
      <c r="BK426" s="4"/>
      <c r="BL426" s="4"/>
      <c r="BM426" s="4"/>
      <c r="BN426" s="4"/>
    </row>
    <row r="427" spans="2:66">
      <c r="B427" t="s">
        <v>1</v>
      </c>
      <c r="C427" s="17">
        <v>1.84E-2</v>
      </c>
      <c r="D427" s="24"/>
      <c r="E427" s="24"/>
      <c r="F427" s="24"/>
      <c r="G427" s="24"/>
      <c r="H427" s="4"/>
      <c r="I427" s="4"/>
      <c r="J427" s="4"/>
      <c r="K427" s="4"/>
      <c r="L427" s="4"/>
      <c r="M427" s="4"/>
      <c r="N427" s="4"/>
      <c r="O427" s="4"/>
      <c r="P427" s="4"/>
      <c r="Q427" s="4"/>
      <c r="R427" s="4"/>
      <c r="S427" s="4"/>
      <c r="T427" s="4"/>
      <c r="U427" s="4"/>
      <c r="V427" s="4"/>
      <c r="W427" s="4"/>
      <c r="X427" s="4">
        <f t="shared" ref="X427:AM427" si="1590">+IF(X$404&gt;$C432,AVERAGE(W425:X425)*((X$404+$C427)/4),AVERAGE(W425:X425)*(($C432+$C427)/4))</f>
        <v>1.41622</v>
      </c>
      <c r="Y427" s="4">
        <f t="shared" si="1590"/>
        <v>1.5349999999999999</v>
      </c>
      <c r="Z427" s="4">
        <f t="shared" si="1590"/>
        <v>1.6199999999999999</v>
      </c>
      <c r="AA427" s="4">
        <f t="shared" si="1590"/>
        <v>2.2275</v>
      </c>
      <c r="AB427" s="4">
        <f t="shared" si="1590"/>
        <v>3.0989875000000002</v>
      </c>
      <c r="AC427" s="4">
        <f t="shared" si="1590"/>
        <v>3.4202262500000007</v>
      </c>
      <c r="AD427" s="4">
        <f t="shared" si="1590"/>
        <v>3.4532400000000001</v>
      </c>
      <c r="AE427" s="4">
        <f t="shared" si="1590"/>
        <v>3.5858112500000003</v>
      </c>
      <c r="AF427" s="4">
        <f t="shared" si="1590"/>
        <v>3.7096675000000001</v>
      </c>
      <c r="AG427" s="4">
        <f t="shared" si="1590"/>
        <v>3.7838324999999999</v>
      </c>
      <c r="AH427" s="4">
        <f t="shared" si="1590"/>
        <v>3.8117712499999996</v>
      </c>
      <c r="AI427" s="4">
        <f t="shared" si="1590"/>
        <v>3.8551975000000001</v>
      </c>
      <c r="AJ427" s="4">
        <f t="shared" si="1590"/>
        <v>3.8599662499999998</v>
      </c>
      <c r="AK427" s="4">
        <f t="shared" si="1590"/>
        <v>3.9053350000000004</v>
      </c>
      <c r="AL427" s="4">
        <f t="shared" si="1590"/>
        <v>3.9501437500000005</v>
      </c>
      <c r="AM427" s="4">
        <f t="shared" si="1590"/>
        <v>3.9936137500000002</v>
      </c>
      <c r="AN427" s="4">
        <f t="shared" ref="AN427" si="1591">+IF(AN$404&gt;$C432,AVERAGE(AM425:AN425)*((AN$404+$C427)/4),AVERAGE(AM425:AN425)*(($C432+$C427)/4))</f>
        <v>3.9483062499999999</v>
      </c>
      <c r="AO427" s="4">
        <f t="shared" ref="AO427" si="1592">+IF(AO$404&gt;$C432,AVERAGE(AN425:AO425)*((AO$404+$C427)/4),AVERAGE(AN425:AO425)*(($C432+$C427)/4))</f>
        <v>3.9744950000000001</v>
      </c>
      <c r="AP427" s="4">
        <f t="shared" ref="AP427" si="1593">+IF(AP$404&gt;$C432,AVERAGE(AO425:AP425)*((AP$404+$C427)/4),AVERAGE(AO425:AP425)*(($C432+$C427)/4))</f>
        <v>4.0002987499999998</v>
      </c>
      <c r="AQ427" s="4">
        <f t="shared" ref="AQ427" si="1594">+IF(AQ$404&gt;$C432,AVERAGE(AP425:AQ425)*((AQ$404+$C427)/4),AVERAGE(AP425:AQ425)*(($C432+$C427)/4))</f>
        <v>4.025385</v>
      </c>
      <c r="AR427" s="4">
        <f t="shared" ref="AR427" si="1595">+IF(AR$404&gt;$C432,AVERAGE(AQ425:AR425)*((AR$404+$C427)/4),AVERAGE(AQ425:AR425)*(($C432+$C427)/4))</f>
        <v>3.9935</v>
      </c>
      <c r="AS427" s="4">
        <f t="shared" ref="AS427" si="1596">+IF(AS$404&gt;$C432,AVERAGE(AR425:AS425)*((AS$404+$C427)/4),AVERAGE(AR425:AS425)*(($C432+$C427)/4))</f>
        <v>2.0050712499999999</v>
      </c>
      <c r="AT427" s="4">
        <f t="shared" ref="AT427" si="1597">+IF(AT$404&gt;$C432,AVERAGE(AS425:AT425)*((AT$404+$C427)/4),AVERAGE(AS425:AT425)*(($C432+$C427)/4))</f>
        <v>0</v>
      </c>
      <c r="AU427" s="4">
        <f t="shared" ref="AU427" si="1598">+IF(AU$404&gt;$C432,AVERAGE(AT425:AU425)*((AU$404+$C427)/4),AVERAGE(AT425:AU425)*(($C432+$C427)/4))</f>
        <v>0</v>
      </c>
      <c r="AV427" s="4">
        <f t="shared" ref="AV427" si="1599">+IF(AV$404&gt;$C432,AVERAGE(AU425:AV425)*((AV$404+$C427)/4),AVERAGE(AU425:AV425)*(($C432+$C427)/4))</f>
        <v>0</v>
      </c>
      <c r="AW427" s="4">
        <f t="shared" ref="AW427" si="1600">+IF(AW$404&gt;$C432,AVERAGE(AV425:AW425)*((AW$404+$C427)/4),AVERAGE(AV425:AW425)*(($C432+$C427)/4))</f>
        <v>0</v>
      </c>
      <c r="AX427" s="4">
        <f t="shared" ref="AX427" si="1601">+IF(AX$404&gt;$C432,AVERAGE(AW425:AX425)*((AX$404+$C427)/4),AVERAGE(AW425:AX425)*(($C432+$C427)/4))</f>
        <v>0</v>
      </c>
      <c r="AY427" s="4">
        <f t="shared" ref="AY427" si="1602">+IF(AY$404&gt;$C432,AVERAGE(AX425:AY425)*((AY$404+$C427)/4),AVERAGE(AX425:AY425)*(($C432+$C427)/4))</f>
        <v>0</v>
      </c>
      <c r="AZ427" s="24"/>
      <c r="BA427" s="4"/>
      <c r="BB427" s="4"/>
      <c r="BC427" s="4"/>
      <c r="BD427" s="4"/>
      <c r="BE427" s="4"/>
      <c r="BF427" s="4"/>
      <c r="BG427" s="4"/>
      <c r="BH427" s="4"/>
      <c r="BI427" s="4"/>
      <c r="BJ427" s="4"/>
      <c r="BK427" s="4"/>
      <c r="BL427" s="4"/>
      <c r="BM427" s="4"/>
      <c r="BN427" s="4"/>
    </row>
    <row r="428" spans="2:66">
      <c r="B428" t="s">
        <v>127</v>
      </c>
      <c r="C428" s="4"/>
      <c r="D428" s="24"/>
      <c r="E428" s="24"/>
      <c r="F428" s="24"/>
      <c r="G428" s="24"/>
      <c r="H428" s="4"/>
      <c r="I428" s="4"/>
      <c r="J428" s="4"/>
      <c r="K428" s="4"/>
      <c r="L428" s="4"/>
      <c r="M428" s="4"/>
      <c r="N428" s="4"/>
      <c r="O428" s="4"/>
      <c r="P428" s="4"/>
      <c r="Q428" s="4"/>
      <c r="R428" s="4"/>
      <c r="S428" s="4"/>
      <c r="T428" s="4"/>
      <c r="U428" s="4"/>
      <c r="V428" s="4"/>
      <c r="W428" s="4"/>
      <c r="X428" s="4">
        <f t="shared" ref="X428:AM428" si="1603">+W431</f>
        <v>200</v>
      </c>
      <c r="Y428" s="4">
        <f t="shared" si="1603"/>
        <v>200</v>
      </c>
      <c r="Z428" s="4">
        <f t="shared" si="1603"/>
        <v>200</v>
      </c>
      <c r="AA428" s="4">
        <f t="shared" si="1603"/>
        <v>200</v>
      </c>
      <c r="AB428" s="4">
        <f t="shared" si="1603"/>
        <v>350</v>
      </c>
      <c r="AC428" s="4">
        <f t="shared" si="1603"/>
        <v>350</v>
      </c>
      <c r="AD428" s="4">
        <f t="shared" si="1603"/>
        <v>350</v>
      </c>
      <c r="AE428" s="4">
        <f t="shared" si="1603"/>
        <v>350</v>
      </c>
      <c r="AF428" s="4">
        <f t="shared" si="1603"/>
        <v>350</v>
      </c>
      <c r="AG428" s="4">
        <f t="shared" si="1603"/>
        <v>350</v>
      </c>
      <c r="AH428" s="4">
        <f t="shared" si="1603"/>
        <v>350</v>
      </c>
      <c r="AI428" s="4">
        <f t="shared" si="1603"/>
        <v>350</v>
      </c>
      <c r="AJ428" s="4">
        <f t="shared" si="1603"/>
        <v>350</v>
      </c>
      <c r="AK428" s="4">
        <f t="shared" si="1603"/>
        <v>350</v>
      </c>
      <c r="AL428" s="4">
        <f t="shared" si="1603"/>
        <v>350</v>
      </c>
      <c r="AM428" s="4">
        <f t="shared" si="1603"/>
        <v>350</v>
      </c>
      <c r="AN428" s="4">
        <f t="shared" ref="AN428" si="1604">+AM431</f>
        <v>350</v>
      </c>
      <c r="AO428" s="4">
        <f t="shared" ref="AO428" si="1605">+AN431</f>
        <v>350</v>
      </c>
      <c r="AP428" s="4">
        <f t="shared" ref="AP428" si="1606">+AO431</f>
        <v>350</v>
      </c>
      <c r="AQ428" s="4">
        <f t="shared" ref="AQ428" si="1607">+AP431</f>
        <v>350</v>
      </c>
      <c r="AR428" s="4">
        <f t="shared" ref="AR428" si="1608">+AQ431</f>
        <v>350</v>
      </c>
      <c r="AS428" s="4">
        <f t="shared" ref="AS428" si="1609">+AR431</f>
        <v>350</v>
      </c>
      <c r="AT428" s="4">
        <f t="shared" ref="AT428" si="1610">+AS431</f>
        <v>0</v>
      </c>
      <c r="AU428" s="4">
        <f t="shared" ref="AU428" si="1611">+AT431</f>
        <v>0</v>
      </c>
      <c r="AV428" s="4">
        <f t="shared" ref="AV428" si="1612">+AU431</f>
        <v>0</v>
      </c>
      <c r="AW428" s="4">
        <f t="shared" ref="AW428" si="1613">+AV431</f>
        <v>0</v>
      </c>
      <c r="AX428" s="4">
        <f t="shared" ref="AX428" si="1614">+AW431</f>
        <v>0</v>
      </c>
      <c r="AY428" s="4">
        <f t="shared" ref="AY428" si="1615">+AX431</f>
        <v>0</v>
      </c>
      <c r="AZ428" s="24"/>
      <c r="BA428" s="4"/>
      <c r="BB428" s="4"/>
      <c r="BC428" s="4"/>
      <c r="BD428" s="4"/>
      <c r="BE428" s="4"/>
      <c r="BF428" s="4"/>
      <c r="BG428" s="4"/>
      <c r="BH428" s="4"/>
      <c r="BI428" s="4"/>
      <c r="BJ428" s="4"/>
      <c r="BK428" s="4"/>
      <c r="BL428" s="4"/>
      <c r="BM428" s="4"/>
      <c r="BN428" s="4"/>
    </row>
    <row r="429" spans="2:66">
      <c r="B429" t="s">
        <v>128</v>
      </c>
      <c r="C429" s="4"/>
      <c r="D429" s="24"/>
      <c r="E429" s="24"/>
      <c r="F429" s="24"/>
      <c r="G429" s="24"/>
      <c r="H429" s="4"/>
      <c r="I429" s="4"/>
      <c r="J429" s="4"/>
      <c r="K429" s="4"/>
      <c r="L429" s="4"/>
      <c r="M429" s="4"/>
      <c r="N429" s="4"/>
      <c r="O429" s="4"/>
      <c r="P429" s="4"/>
      <c r="Q429" s="4"/>
      <c r="R429" s="4"/>
      <c r="S429" s="4"/>
      <c r="T429" s="4"/>
      <c r="U429" s="4"/>
      <c r="V429" s="4"/>
      <c r="W429" s="4"/>
      <c r="X429" s="4">
        <f t="shared" ref="X429:AM429" si="1616">+X427-X426</f>
        <v>0</v>
      </c>
      <c r="Y429" s="4">
        <f t="shared" si="1616"/>
        <v>0</v>
      </c>
      <c r="Z429" s="4">
        <f t="shared" si="1616"/>
        <v>0</v>
      </c>
      <c r="AA429" s="4">
        <f t="shared" si="1616"/>
        <v>0</v>
      </c>
      <c r="AB429" s="4">
        <f t="shared" si="1616"/>
        <v>0</v>
      </c>
      <c r="AC429" s="4">
        <f t="shared" si="1616"/>
        <v>0</v>
      </c>
      <c r="AD429" s="4">
        <f t="shared" si="1616"/>
        <v>0</v>
      </c>
      <c r="AE429" s="4">
        <f t="shared" si="1616"/>
        <v>0</v>
      </c>
      <c r="AF429" s="4">
        <f t="shared" si="1616"/>
        <v>0</v>
      </c>
      <c r="AG429" s="4">
        <f t="shared" si="1616"/>
        <v>0</v>
      </c>
      <c r="AH429" s="4">
        <f t="shared" si="1616"/>
        <v>0</v>
      </c>
      <c r="AI429" s="4">
        <f t="shared" si="1616"/>
        <v>0</v>
      </c>
      <c r="AJ429" s="4">
        <f t="shared" si="1616"/>
        <v>0</v>
      </c>
      <c r="AK429" s="4">
        <f t="shared" si="1616"/>
        <v>0</v>
      </c>
      <c r="AL429" s="4">
        <f t="shared" si="1616"/>
        <v>0</v>
      </c>
      <c r="AM429" s="4">
        <f t="shared" si="1616"/>
        <v>0</v>
      </c>
      <c r="AN429" s="4">
        <f t="shared" ref="AN429:AY429" si="1617">+AN427-AN426</f>
        <v>0</v>
      </c>
      <c r="AO429" s="4">
        <f t="shared" si="1617"/>
        <v>0</v>
      </c>
      <c r="AP429" s="4">
        <f t="shared" si="1617"/>
        <v>0</v>
      </c>
      <c r="AQ429" s="4">
        <f t="shared" si="1617"/>
        <v>0</v>
      </c>
      <c r="AR429" s="4">
        <f t="shared" si="1617"/>
        <v>0</v>
      </c>
      <c r="AS429" s="4">
        <f t="shared" si="1617"/>
        <v>0</v>
      </c>
      <c r="AT429" s="4">
        <f t="shared" si="1617"/>
        <v>0</v>
      </c>
      <c r="AU429" s="4">
        <f t="shared" si="1617"/>
        <v>0</v>
      </c>
      <c r="AV429" s="4">
        <f t="shared" si="1617"/>
        <v>0</v>
      </c>
      <c r="AW429" s="4">
        <f t="shared" si="1617"/>
        <v>0</v>
      </c>
      <c r="AX429" s="4">
        <f t="shared" si="1617"/>
        <v>0</v>
      </c>
      <c r="AY429" s="4">
        <f t="shared" si="1617"/>
        <v>0</v>
      </c>
      <c r="AZ429" s="24"/>
      <c r="BA429" s="4"/>
      <c r="BB429" s="4"/>
      <c r="BC429" s="4"/>
      <c r="BD429" s="4"/>
      <c r="BE429" s="4"/>
      <c r="BF429" s="4"/>
      <c r="BG429" s="4"/>
      <c r="BH429" s="4"/>
      <c r="BI429" s="4"/>
      <c r="BJ429" s="4"/>
      <c r="BK429" s="4"/>
      <c r="BL429" s="4"/>
      <c r="BM429" s="4"/>
      <c r="BN429" s="4"/>
    </row>
    <row r="430" spans="2:66">
      <c r="B430" t="s">
        <v>129</v>
      </c>
      <c r="C430" s="4"/>
      <c r="D430" s="24"/>
      <c r="E430" s="24"/>
      <c r="F430" s="24"/>
      <c r="G430" s="24"/>
      <c r="H430" s="4"/>
      <c r="I430" s="4"/>
      <c r="J430" s="4"/>
      <c r="K430" s="4"/>
      <c r="L430" s="4"/>
      <c r="M430" s="4"/>
      <c r="N430" s="291"/>
      <c r="O430" s="291"/>
      <c r="P430" s="4"/>
      <c r="Q430" s="4"/>
      <c r="R430" s="4"/>
      <c r="S430" s="28"/>
      <c r="T430" s="4"/>
      <c r="U430" s="4"/>
      <c r="V430" s="4"/>
      <c r="W430" s="4"/>
      <c r="X430" s="4">
        <f t="shared" ref="X430:AM430" si="1618">+IF($C425&lt;X$1,-(X428+X429),0)</f>
        <v>0</v>
      </c>
      <c r="Y430" s="4">
        <f t="shared" si="1618"/>
        <v>0</v>
      </c>
      <c r="Z430" s="4">
        <f t="shared" si="1618"/>
        <v>0</v>
      </c>
      <c r="AA430" s="28">
        <f>350-AA428</f>
        <v>150</v>
      </c>
      <c r="AB430" s="4">
        <f t="shared" si="1618"/>
        <v>0</v>
      </c>
      <c r="AC430" s="4">
        <f t="shared" si="1618"/>
        <v>0</v>
      </c>
      <c r="AD430" s="4">
        <f t="shared" si="1618"/>
        <v>0</v>
      </c>
      <c r="AE430" s="4">
        <f t="shared" si="1618"/>
        <v>0</v>
      </c>
      <c r="AF430" s="4">
        <f t="shared" si="1618"/>
        <v>0</v>
      </c>
      <c r="AG430" s="4">
        <f t="shared" si="1618"/>
        <v>0</v>
      </c>
      <c r="AH430" s="4">
        <f t="shared" si="1618"/>
        <v>0</v>
      </c>
      <c r="AI430" s="4">
        <f t="shared" si="1618"/>
        <v>0</v>
      </c>
      <c r="AJ430" s="4">
        <f t="shared" si="1618"/>
        <v>0</v>
      </c>
      <c r="AK430" s="4">
        <f t="shared" si="1618"/>
        <v>0</v>
      </c>
      <c r="AL430" s="4">
        <f t="shared" si="1618"/>
        <v>0</v>
      </c>
      <c r="AM430" s="4">
        <f t="shared" si="1618"/>
        <v>0</v>
      </c>
      <c r="AN430" s="4">
        <f t="shared" ref="AN430:AY430" si="1619">+IF($C425&lt;AN$1,-(AN428+AN429),0)</f>
        <v>0</v>
      </c>
      <c r="AO430" s="4">
        <f t="shared" si="1619"/>
        <v>0</v>
      </c>
      <c r="AP430" s="4">
        <f t="shared" si="1619"/>
        <v>0</v>
      </c>
      <c r="AQ430" s="4">
        <f t="shared" si="1619"/>
        <v>0</v>
      </c>
      <c r="AR430" s="4">
        <f t="shared" si="1619"/>
        <v>0</v>
      </c>
      <c r="AS430" s="4">
        <f t="shared" si="1619"/>
        <v>-350</v>
      </c>
      <c r="AT430" s="4">
        <f t="shared" si="1619"/>
        <v>0</v>
      </c>
      <c r="AU430" s="4">
        <f t="shared" si="1619"/>
        <v>0</v>
      </c>
      <c r="AV430" s="4">
        <f t="shared" si="1619"/>
        <v>0</v>
      </c>
      <c r="AW430" s="4">
        <f t="shared" si="1619"/>
        <v>0</v>
      </c>
      <c r="AX430" s="4">
        <f t="shared" si="1619"/>
        <v>0</v>
      </c>
      <c r="AY430" s="4">
        <f t="shared" si="1619"/>
        <v>0</v>
      </c>
      <c r="AZ430" s="24"/>
      <c r="BA430" s="4"/>
      <c r="BB430" s="4"/>
      <c r="BC430" s="4"/>
      <c r="BD430" s="4"/>
      <c r="BE430" s="4"/>
      <c r="BF430" s="4"/>
      <c r="BG430" s="4"/>
      <c r="BH430" s="4"/>
      <c r="BI430" s="4"/>
      <c r="BJ430" s="4"/>
      <c r="BK430" s="4"/>
      <c r="BL430" s="4"/>
      <c r="BM430" s="4"/>
      <c r="BN430" s="4"/>
    </row>
    <row r="431" spans="2:66">
      <c r="B431" t="s">
        <v>130</v>
      </c>
      <c r="C431" s="4"/>
      <c r="D431" s="28"/>
      <c r="E431" s="28"/>
      <c r="F431" s="28"/>
      <c r="G431" s="28"/>
      <c r="H431" s="4"/>
      <c r="I431" s="7"/>
      <c r="J431" s="4"/>
      <c r="K431" s="4"/>
      <c r="L431" s="4"/>
      <c r="M431" s="4"/>
      <c r="N431" s="4"/>
      <c r="O431" s="4"/>
      <c r="P431" s="4"/>
      <c r="Q431" s="4"/>
      <c r="R431" s="4"/>
      <c r="S431" s="4"/>
      <c r="T431" s="4"/>
      <c r="U431" s="4"/>
      <c r="V431" s="4"/>
      <c r="W431" s="7">
        <v>200</v>
      </c>
      <c r="X431" s="4">
        <f t="shared" ref="X431:AM431" si="1620">+SUM(X428:X430)</f>
        <v>200</v>
      </c>
      <c r="Y431" s="4">
        <f t="shared" si="1620"/>
        <v>200</v>
      </c>
      <c r="Z431" s="4">
        <f t="shared" si="1620"/>
        <v>200</v>
      </c>
      <c r="AA431" s="4">
        <f t="shared" si="1620"/>
        <v>350</v>
      </c>
      <c r="AB431" s="4">
        <f t="shared" si="1620"/>
        <v>350</v>
      </c>
      <c r="AC431" s="4">
        <f t="shared" si="1620"/>
        <v>350</v>
      </c>
      <c r="AD431" s="4">
        <f t="shared" si="1620"/>
        <v>350</v>
      </c>
      <c r="AE431" s="4">
        <f t="shared" si="1620"/>
        <v>350</v>
      </c>
      <c r="AF431" s="4">
        <f t="shared" si="1620"/>
        <v>350</v>
      </c>
      <c r="AG431" s="4">
        <f t="shared" si="1620"/>
        <v>350</v>
      </c>
      <c r="AH431" s="4">
        <f t="shared" si="1620"/>
        <v>350</v>
      </c>
      <c r="AI431" s="4">
        <f t="shared" si="1620"/>
        <v>350</v>
      </c>
      <c r="AJ431" s="4">
        <f t="shared" si="1620"/>
        <v>350</v>
      </c>
      <c r="AK431" s="4">
        <f t="shared" si="1620"/>
        <v>350</v>
      </c>
      <c r="AL431" s="4">
        <f t="shared" si="1620"/>
        <v>350</v>
      </c>
      <c r="AM431" s="4">
        <f t="shared" si="1620"/>
        <v>350</v>
      </c>
      <c r="AN431" s="4">
        <f t="shared" ref="AN431:AY431" si="1621">+SUM(AN428:AN430)</f>
        <v>350</v>
      </c>
      <c r="AO431" s="4">
        <f t="shared" si="1621"/>
        <v>350</v>
      </c>
      <c r="AP431" s="4">
        <f t="shared" si="1621"/>
        <v>350</v>
      </c>
      <c r="AQ431" s="4">
        <f t="shared" si="1621"/>
        <v>350</v>
      </c>
      <c r="AR431" s="4">
        <f t="shared" si="1621"/>
        <v>350</v>
      </c>
      <c r="AS431" s="4">
        <f t="shared" si="1621"/>
        <v>0</v>
      </c>
      <c r="AT431" s="4">
        <f t="shared" si="1621"/>
        <v>0</v>
      </c>
      <c r="AU431" s="4">
        <f t="shared" si="1621"/>
        <v>0</v>
      </c>
      <c r="AV431" s="4">
        <f t="shared" si="1621"/>
        <v>0</v>
      </c>
      <c r="AW431" s="4">
        <f t="shared" si="1621"/>
        <v>0</v>
      </c>
      <c r="AX431" s="4">
        <f t="shared" si="1621"/>
        <v>0</v>
      </c>
      <c r="AY431" s="4">
        <f t="shared" si="1621"/>
        <v>0</v>
      </c>
      <c r="AZ431" s="24"/>
      <c r="BA431" s="4"/>
      <c r="BB431" s="4"/>
      <c r="BC431" s="4"/>
      <c r="BD431" s="4"/>
      <c r="BE431" s="4"/>
      <c r="BF431" s="4"/>
      <c r="BG431" s="4"/>
      <c r="BH431" s="4"/>
      <c r="BI431" s="4"/>
      <c r="BJ431" s="4"/>
      <c r="BK431" s="4"/>
      <c r="BL431" s="4"/>
      <c r="BM431" s="4"/>
      <c r="BN431" s="4"/>
    </row>
    <row r="432" spans="2:66">
      <c r="B432" t="s">
        <v>131</v>
      </c>
      <c r="C432" s="17">
        <v>0</v>
      </c>
      <c r="D432" s="24"/>
      <c r="E432" s="24"/>
      <c r="F432" s="24"/>
      <c r="G432" s="2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24"/>
      <c r="BA432" s="4"/>
      <c r="BB432" s="4"/>
      <c r="BC432" s="4"/>
      <c r="BD432" s="4"/>
      <c r="BE432" s="4"/>
      <c r="BF432" s="4"/>
      <c r="BG432" s="4"/>
      <c r="BH432" s="4"/>
      <c r="BI432" s="4"/>
      <c r="BJ432" s="4"/>
      <c r="BK432" s="4"/>
      <c r="BL432" s="4"/>
      <c r="BM432" s="4"/>
      <c r="BN432" s="4"/>
    </row>
    <row r="433" spans="1:66">
      <c r="C433" s="4"/>
      <c r="D433" s="24"/>
      <c r="E433" s="24"/>
      <c r="F433" s="24"/>
      <c r="G433" s="2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24"/>
      <c r="BA433" s="4"/>
      <c r="BB433" s="4"/>
      <c r="BC433" s="4"/>
      <c r="BD433" s="4"/>
      <c r="BE433" s="4"/>
      <c r="BF433" s="4"/>
      <c r="BG433" s="4"/>
      <c r="BH433" s="4"/>
      <c r="BI433" s="4"/>
      <c r="BJ433" s="4"/>
      <c r="BK433" s="4"/>
      <c r="BL433" s="4"/>
      <c r="BM433" s="4"/>
      <c r="BN433" s="4"/>
    </row>
    <row r="434" spans="1:66">
      <c r="B434" s="32" t="s">
        <v>134</v>
      </c>
      <c r="C434" s="37">
        <v>47848</v>
      </c>
      <c r="D434" s="34"/>
      <c r="E434" s="34"/>
      <c r="F434" s="34"/>
      <c r="G434" s="34"/>
      <c r="H434" s="33"/>
      <c r="I434" s="34">
        <v>244</v>
      </c>
      <c r="J434" s="33">
        <f t="shared" ref="J434:X434" si="1622">+IF($C434&gt;J$1,I434+J439,I434-I434)</f>
        <v>295</v>
      </c>
      <c r="K434" s="33">
        <f t="shared" si="1622"/>
        <v>31.5</v>
      </c>
      <c r="L434" s="33">
        <f t="shared" si="1622"/>
        <v>89.5</v>
      </c>
      <c r="M434" s="33">
        <f t="shared" si="1622"/>
        <v>214</v>
      </c>
      <c r="N434" s="33">
        <f t="shared" si="1622"/>
        <v>47</v>
      </c>
      <c r="O434" s="33">
        <f t="shared" si="1622"/>
        <v>139.83799999999999</v>
      </c>
      <c r="P434" s="33">
        <f t="shared" si="1622"/>
        <v>40</v>
      </c>
      <c r="Q434" s="33">
        <f t="shared" si="1622"/>
        <v>230</v>
      </c>
      <c r="R434" s="33">
        <f t="shared" si="1622"/>
        <v>300</v>
      </c>
      <c r="S434" s="33">
        <f t="shared" si="1622"/>
        <v>224.00200000000001</v>
      </c>
      <c r="T434" s="33">
        <f t="shared" si="1622"/>
        <v>310</v>
      </c>
      <c r="U434" s="33">
        <f t="shared" si="1622"/>
        <v>196</v>
      </c>
      <c r="V434" s="33">
        <f t="shared" si="1622"/>
        <v>232</v>
      </c>
      <c r="W434" s="33">
        <f t="shared" si="1622"/>
        <v>139</v>
      </c>
      <c r="X434" s="33">
        <f t="shared" si="1622"/>
        <v>206</v>
      </c>
      <c r="Y434" s="33">
        <f t="shared" ref="Y434:AM434" si="1623">+IF($C434&gt;Y$1,X434+Y439,X434-X434)</f>
        <v>248</v>
      </c>
      <c r="Z434" s="33">
        <f t="shared" si="1623"/>
        <v>279</v>
      </c>
      <c r="AA434" s="33">
        <f t="shared" si="1623"/>
        <v>350</v>
      </c>
      <c r="AB434" s="33">
        <f t="shared" ca="1" si="1623"/>
        <v>350</v>
      </c>
      <c r="AC434" s="33">
        <f t="shared" ca="1" si="1623"/>
        <v>418.24548627224681</v>
      </c>
      <c r="AD434" s="33">
        <f t="shared" ca="1" si="1623"/>
        <v>496.68172623374107</v>
      </c>
      <c r="AE434" s="33">
        <f t="shared" ca="1" si="1623"/>
        <v>574.80581524834565</v>
      </c>
      <c r="AF434" s="33">
        <f t="shared" ca="1" si="1623"/>
        <v>604.84358608471041</v>
      </c>
      <c r="AG434" s="33">
        <f t="shared" ca="1" si="1623"/>
        <v>633.48038627569531</v>
      </c>
      <c r="AH434" s="33">
        <f t="shared" ca="1" si="1623"/>
        <v>658.66785826436012</v>
      </c>
      <c r="AI434" s="33">
        <f t="shared" ca="1" si="1623"/>
        <v>678.60799718754879</v>
      </c>
      <c r="AJ434" s="33">
        <f t="shared" ca="1" si="1623"/>
        <v>695.13350542172475</v>
      </c>
      <c r="AK434" s="33">
        <f t="shared" ca="1" si="1623"/>
        <v>709.38245211846936</v>
      </c>
      <c r="AL434" s="33">
        <f t="shared" ca="1" si="1623"/>
        <v>719.26770663893819</v>
      </c>
      <c r="AM434" s="33">
        <f t="shared" ca="1" si="1623"/>
        <v>726.69625813085042</v>
      </c>
      <c r="AN434" s="33">
        <f t="shared" ref="AN434" ca="1" si="1624">+IF($C434&gt;AN$1,AM434+AN439,AM434-AM434)</f>
        <v>733.80398021666122</v>
      </c>
      <c r="AO434" s="33">
        <f t="shared" ref="AO434" ca="1" si="1625">+IF($C434&gt;AO$1,AN434+AO439,AN434-AN434)</f>
        <v>744.58289681677127</v>
      </c>
      <c r="AP434" s="33">
        <f t="shared" ref="AP434" ca="1" si="1626">+IF($C434&gt;AP$1,AO434+AP439,AO434-AO434)</f>
        <v>754.41984956203635</v>
      </c>
      <c r="AQ434" s="33">
        <f t="shared" ref="AQ434" ca="1" si="1627">+IF($C434&gt;AQ$1,AP434+AQ439,AP434-AP434)</f>
        <v>761.50265500895819</v>
      </c>
      <c r="AR434" s="33">
        <f t="shared" ref="AR434" ca="1" si="1628">+IF($C434&gt;AR$1,AQ434+AR439,AQ434-AQ434)</f>
        <v>768.26836473416881</v>
      </c>
      <c r="AS434" s="33">
        <f t="shared" ref="AS434" ca="1" si="1629">+IF($C434&gt;AS$1,AR434+AS439,AR434-AR434)</f>
        <v>781.35781938858941</v>
      </c>
      <c r="AT434" s="33">
        <f t="shared" ref="AT434" ca="1" si="1630">+IF($C434&gt;AT$1,AS434+AT439,AS434-AS434)</f>
        <v>820</v>
      </c>
      <c r="AU434" s="33">
        <f t="shared" ref="AU434" ca="1" si="1631">+IF($C434&gt;AU$1,AT434+AU439,AT434-AT434)</f>
        <v>820</v>
      </c>
      <c r="AV434" s="33">
        <f t="shared" ref="AV434" ca="1" si="1632">+IF($C434&gt;AV$1,AU434+AV439,AU434-AU434)</f>
        <v>820</v>
      </c>
      <c r="AW434" s="33">
        <f t="shared" ref="AW434" ca="1" si="1633">+IF($C434&gt;AW$1,AV434+AW439,AV434-AV434)</f>
        <v>820</v>
      </c>
      <c r="AX434" s="33">
        <f t="shared" ref="AX434" ca="1" si="1634">+IF($C434&gt;AX$1,AW434+AX439,AW434-AW434)</f>
        <v>820</v>
      </c>
      <c r="AY434" s="33">
        <f t="shared" ref="AY434" ca="1" si="1635">+IF($C434&gt;AY$1,AX434+AY439,AX434-AX434)</f>
        <v>820</v>
      </c>
      <c r="AZ434" s="24"/>
      <c r="BA434" s="33"/>
      <c r="BB434" s="33"/>
      <c r="BC434" s="33"/>
      <c r="BD434" s="33"/>
      <c r="BE434" s="33"/>
      <c r="BF434" s="33"/>
      <c r="BG434" s="33"/>
      <c r="BH434" s="33"/>
      <c r="BI434" s="33"/>
      <c r="BJ434" s="33"/>
      <c r="BK434" s="33"/>
      <c r="BL434" s="33"/>
      <c r="BM434" s="33"/>
      <c r="BN434" s="33"/>
    </row>
    <row r="435" spans="1:66">
      <c r="B435" t="s">
        <v>126</v>
      </c>
      <c r="C435" s="17">
        <v>1.7000000000000001E-2</v>
      </c>
      <c r="D435" s="24"/>
      <c r="E435" s="24"/>
      <c r="F435" s="24"/>
      <c r="G435" s="24"/>
      <c r="H435" s="4"/>
      <c r="I435" s="4"/>
      <c r="J435" s="4">
        <f t="shared" ref="J435:X435" si="1636">+IF(J$404&gt;$C441,AVERAGE(I434:J434)*((J$404+$C435)/4),AVERAGE(I434:J434)*(($C441+$C435)/4))</f>
        <v>1.2868625000000002</v>
      </c>
      <c r="K435" s="4">
        <f t="shared" si="1636"/>
        <v>0.78360000000000007</v>
      </c>
      <c r="L435" s="4">
        <f t="shared" si="1636"/>
        <v>0.29191250000000002</v>
      </c>
      <c r="M435" s="4">
        <f t="shared" si="1636"/>
        <v>0.73598750000000002</v>
      </c>
      <c r="N435" s="4">
        <f t="shared" si="1636"/>
        <v>0.63618750000000002</v>
      </c>
      <c r="O435" s="4">
        <f t="shared" si="1636"/>
        <v>0.45775309999999997</v>
      </c>
      <c r="P435" s="4">
        <f t="shared" si="1636"/>
        <v>0.44285107499999998</v>
      </c>
      <c r="Q435" s="4">
        <f t="shared" si="1636"/>
        <v>0.6682499999999999</v>
      </c>
      <c r="R435" s="4">
        <f t="shared" si="1636"/>
        <v>1.3183750000000001</v>
      </c>
      <c r="S435" s="4">
        <f t="shared" si="1636"/>
        <v>1.3100049999999999</v>
      </c>
      <c r="T435" s="4">
        <f t="shared" si="1636"/>
        <v>1.3416800249999998</v>
      </c>
      <c r="U435" s="4">
        <f t="shared" si="1636"/>
        <v>1.27765</v>
      </c>
      <c r="V435" s="4">
        <f t="shared" si="1636"/>
        <v>1.08605</v>
      </c>
      <c r="W435" s="4">
        <f t="shared" si="1636"/>
        <v>0.94604999999999995</v>
      </c>
      <c r="X435" s="4">
        <f t="shared" si="1636"/>
        <v>1.1611147500000001</v>
      </c>
      <c r="Y435" s="4">
        <f t="shared" ref="Y435:AM435" si="1637">+IF(Y$404&gt;$C441,AVERAGE(X434:Y434)*((Y$404+$C435)/4),AVERAGE(X434:Y434)*(($C441+$C435)/4))</f>
        <v>1.6627749999999999</v>
      </c>
      <c r="Z435" s="4">
        <f t="shared" si="1637"/>
        <v>2.042125</v>
      </c>
      <c r="AA435" s="4">
        <f t="shared" si="1637"/>
        <v>2.4373749999999998</v>
      </c>
      <c r="AB435" s="4">
        <f t="shared" ca="1" si="1637"/>
        <v>2.9764875000000006</v>
      </c>
      <c r="AC435" s="4">
        <f t="shared" ca="1" si="1637"/>
        <v>3.6192332950342907</v>
      </c>
      <c r="AD435" s="4">
        <f t="shared" ca="1" si="1637"/>
        <v>4.353406662545992</v>
      </c>
      <c r="AE435" s="4">
        <f t="shared" ca="1" si="1637"/>
        <v>5.3012783666425038</v>
      </c>
      <c r="AF435" s="4">
        <f t="shared" ca="1" si="1637"/>
        <v>6.0451428483662806</v>
      </c>
      <c r="AG435" s="4">
        <f t="shared" ca="1" si="1637"/>
        <v>6.4770225793317922</v>
      </c>
      <c r="AH435" s="4">
        <f t="shared" ca="1" si="1637"/>
        <v>6.8101219561708506</v>
      </c>
      <c r="AI435" s="4">
        <f t="shared" ca="1" si="1637"/>
        <v>7.1309232035081456</v>
      </c>
      <c r="AJ435" s="4">
        <f t="shared" ca="1" si="1637"/>
        <v>7.3347321460377808</v>
      </c>
      <c r="AK435" s="4">
        <f t="shared" ca="1" si="1637"/>
        <v>7.590074460345086</v>
      </c>
      <c r="AL435" s="4">
        <f t="shared" ca="1" si="1637"/>
        <v>7.8119483587204277</v>
      </c>
      <c r="AM435" s="4">
        <f t="shared" ca="1" si="1637"/>
        <v>7.9964156943212066</v>
      </c>
      <c r="AN435" s="4">
        <f t="shared" ref="AN435" ca="1" si="1638">+IF(AN$404&gt;$C441,AVERAGE(AM434:AN434)*((AN$404+$C435)/4),AVERAGE(AM434:AN434)*(($C441+$C435)/4))</f>
        <v>7.9822727714234283</v>
      </c>
      <c r="AO435" s="4">
        <f t="shared" ref="AO435" ca="1" si="1639">+IF(AO$404&gt;$C441,AVERAGE(AN434:AO434)*((AO$404+$C435)/4),AVERAGE(AN434:AO434)*(($C441+$C435)/4))</f>
        <v>8.1353412262834244</v>
      </c>
      <c r="AP435" s="4">
        <f t="shared" ref="AP435" ca="1" si="1640">+IF(AP$404&gt;$C441,AVERAGE(AO434:AP434)*((AP$404+$C435)/4),AVERAGE(AO434:AP434)*(($C441+$C435)/4))</f>
        <v>8.3040442516490103</v>
      </c>
      <c r="AQ435" s="4">
        <f t="shared" ref="AQ435" ca="1" si="1641">+IF(AQ$404&gt;$C441,AVERAGE(AP434:AQ434)*((AQ$404+$C435)/4),AVERAGE(AP434:AQ434)*(($C441+$C435)/4))</f>
        <v>8.4521017203608082</v>
      </c>
      <c r="AR435" s="4">
        <f t="shared" ref="AR435" ca="1" si="1642">+IF(AR$404&gt;$C441,AVERAGE(AQ434:AR434)*((AR$404+$C435)/4),AVERAGE(AQ434:AR434)*(($C441+$C435)/4))</f>
        <v>8.4596337391794929</v>
      </c>
      <c r="AS435" s="4">
        <f t="shared" ref="AS435" ca="1" si="1643">+IF(AS$404&gt;$C441,AVERAGE(AR434:AS434)*((AS$404+$C435)/4),AVERAGE(AR434:AS434)*(($C441+$C435)/4))</f>
        <v>8.6062751607263728</v>
      </c>
      <c r="AT435" s="4">
        <f t="shared" ref="AT435" ca="1" si="1644">+IF(AT$404&gt;$C441,AVERAGE(AS434:AT434)*((AT$404+$C435)/4),AVERAGE(AS434:AT434)*(($C441+$C435)/4))</f>
        <v>8.9309527114848439</v>
      </c>
      <c r="AU435" s="4">
        <f t="shared" ref="AU435" ca="1" si="1645">+IF(AU$404&gt;$C441,AVERAGE(AT434:AU434)*((AU$404+$C435)/4),AVERAGE(AT434:AU434)*(($C441+$C435)/4))</f>
        <v>9.1844920000000005</v>
      </c>
      <c r="AV435" s="4">
        <f t="shared" ref="AV435" ca="1" si="1646">+IF(AV$404&gt;$C441,AVERAGE(AU434:AV434)*((AV$404+$C435)/4),AVERAGE(AU434:AV434)*(($C441+$C435)/4))</f>
        <v>9.184020499999999</v>
      </c>
      <c r="AW435" s="4">
        <f t="shared" ref="AW435" ca="1" si="1647">+IF(AW$404&gt;$C441,AVERAGE(AV434:AW434)*((AW$404+$C435)/4),AVERAGE(AV434:AW434)*(($C441+$C435)/4))</f>
        <v>9.2138275000000007</v>
      </c>
      <c r="AX435" s="4">
        <f t="shared" ref="AX435" ca="1" si="1648">+IF(AX$404&gt;$C441,AVERAGE(AW434:AX434)*((AX$404+$C435)/4),AVERAGE(AW434:AX434)*(($C441+$C435)/4))</f>
        <v>9.245787</v>
      </c>
      <c r="AY435" s="4">
        <f t="shared" ref="AY435" ca="1" si="1649">+IF(AY$404&gt;$C441,AVERAGE(AX434:AY434)*((AY$404+$C435)/4),AVERAGE(AX434:AY434)*(($C441+$C435)/4))</f>
        <v>9.2748764999999995</v>
      </c>
      <c r="AZ435" s="24"/>
      <c r="BA435" s="4"/>
      <c r="BB435" s="4"/>
      <c r="BC435" s="4"/>
      <c r="BD435" s="4"/>
      <c r="BE435" s="4"/>
      <c r="BF435" s="4"/>
      <c r="BG435" s="4"/>
      <c r="BH435" s="4"/>
      <c r="BI435" s="4"/>
      <c r="BJ435" s="4"/>
      <c r="BK435" s="4"/>
      <c r="BL435" s="4"/>
      <c r="BM435" s="4"/>
      <c r="BN435" s="4"/>
    </row>
    <row r="436" spans="1:66">
      <c r="B436" t="s">
        <v>1</v>
      </c>
      <c r="C436" s="17">
        <v>1.7000000000000001E-2</v>
      </c>
      <c r="D436" s="24"/>
      <c r="E436" s="24"/>
      <c r="F436" s="24"/>
      <c r="G436" s="24"/>
      <c r="H436" s="4"/>
      <c r="I436" s="4"/>
      <c r="J436" s="4">
        <f t="shared" ref="J436:X436" si="1650">+IF(J$404&gt;$C441,AVERAGE(I434:J434)*((J$404+$C436)/4),AVERAGE(I434:J434)*(($C441+$C436)/4))</f>
        <v>1.2868625000000002</v>
      </c>
      <c r="K436" s="4">
        <f t="shared" si="1650"/>
        <v>0.78360000000000007</v>
      </c>
      <c r="L436" s="4">
        <f t="shared" si="1650"/>
        <v>0.29191250000000002</v>
      </c>
      <c r="M436" s="4">
        <f t="shared" si="1650"/>
        <v>0.73598750000000002</v>
      </c>
      <c r="N436" s="4">
        <f t="shared" si="1650"/>
        <v>0.63618750000000002</v>
      </c>
      <c r="O436" s="4">
        <f t="shared" si="1650"/>
        <v>0.45775309999999997</v>
      </c>
      <c r="P436" s="4">
        <f t="shared" si="1650"/>
        <v>0.44285107499999998</v>
      </c>
      <c r="Q436" s="4">
        <f t="shared" si="1650"/>
        <v>0.6682499999999999</v>
      </c>
      <c r="R436" s="4">
        <f t="shared" si="1650"/>
        <v>1.3183750000000001</v>
      </c>
      <c r="S436" s="4">
        <f t="shared" si="1650"/>
        <v>1.3100049999999999</v>
      </c>
      <c r="T436" s="4">
        <f t="shared" si="1650"/>
        <v>1.3416800249999998</v>
      </c>
      <c r="U436" s="4">
        <f t="shared" si="1650"/>
        <v>1.27765</v>
      </c>
      <c r="V436" s="4">
        <f t="shared" si="1650"/>
        <v>1.08605</v>
      </c>
      <c r="W436" s="4">
        <f t="shared" si="1650"/>
        <v>0.94604999999999995</v>
      </c>
      <c r="X436" s="4">
        <f t="shared" si="1650"/>
        <v>1.1611147500000001</v>
      </c>
      <c r="Y436" s="4">
        <f t="shared" ref="Y436:AM436" si="1651">+IF(Y$404&gt;$C441,AVERAGE(X434:Y434)*((Y$404+$C436)/4),AVERAGE(X434:Y434)*(($C441+$C436)/4))</f>
        <v>1.6627749999999999</v>
      </c>
      <c r="Z436" s="4">
        <f t="shared" si="1651"/>
        <v>2.042125</v>
      </c>
      <c r="AA436" s="4">
        <f t="shared" si="1651"/>
        <v>2.4373749999999998</v>
      </c>
      <c r="AB436" s="4">
        <f t="shared" ca="1" si="1651"/>
        <v>2.9764875000000006</v>
      </c>
      <c r="AC436" s="4">
        <f t="shared" ca="1" si="1651"/>
        <v>3.6192332950342907</v>
      </c>
      <c r="AD436" s="4">
        <f t="shared" ca="1" si="1651"/>
        <v>4.353406662545992</v>
      </c>
      <c r="AE436" s="4">
        <f t="shared" ca="1" si="1651"/>
        <v>5.3012783666425038</v>
      </c>
      <c r="AF436" s="4">
        <f t="shared" ca="1" si="1651"/>
        <v>6.0451428483662806</v>
      </c>
      <c r="AG436" s="4">
        <f t="shared" ca="1" si="1651"/>
        <v>6.4770225793317922</v>
      </c>
      <c r="AH436" s="4">
        <f t="shared" ca="1" si="1651"/>
        <v>6.8101219561708506</v>
      </c>
      <c r="AI436" s="4">
        <f t="shared" ca="1" si="1651"/>
        <v>7.1309232035081456</v>
      </c>
      <c r="AJ436" s="4">
        <f t="shared" ca="1" si="1651"/>
        <v>7.3347321460377808</v>
      </c>
      <c r="AK436" s="4">
        <f t="shared" ca="1" si="1651"/>
        <v>7.590074460345086</v>
      </c>
      <c r="AL436" s="4">
        <f t="shared" ca="1" si="1651"/>
        <v>7.8119483587204277</v>
      </c>
      <c r="AM436" s="4">
        <f t="shared" ca="1" si="1651"/>
        <v>7.9964156943212066</v>
      </c>
      <c r="AN436" s="4">
        <f t="shared" ref="AN436" ca="1" si="1652">+IF(AN$404&gt;$C441,AVERAGE(AM434:AN434)*((AN$404+$C436)/4),AVERAGE(AM434:AN434)*(($C441+$C436)/4))</f>
        <v>7.9822727714234283</v>
      </c>
      <c r="AO436" s="4">
        <f t="shared" ref="AO436" ca="1" si="1653">+IF(AO$404&gt;$C441,AVERAGE(AN434:AO434)*((AO$404+$C436)/4),AVERAGE(AN434:AO434)*(($C441+$C436)/4))</f>
        <v>8.1353412262834244</v>
      </c>
      <c r="AP436" s="4">
        <f t="shared" ref="AP436" ca="1" si="1654">+IF(AP$404&gt;$C441,AVERAGE(AO434:AP434)*((AP$404+$C436)/4),AVERAGE(AO434:AP434)*(($C441+$C436)/4))</f>
        <v>8.3040442516490103</v>
      </c>
      <c r="AQ436" s="4">
        <f t="shared" ref="AQ436" ca="1" si="1655">+IF(AQ$404&gt;$C441,AVERAGE(AP434:AQ434)*((AQ$404+$C436)/4),AVERAGE(AP434:AQ434)*(($C441+$C436)/4))</f>
        <v>8.4521017203608082</v>
      </c>
      <c r="AR436" s="4">
        <f t="shared" ref="AR436" ca="1" si="1656">+IF(AR$404&gt;$C441,AVERAGE(AQ434:AR434)*((AR$404+$C436)/4),AVERAGE(AQ434:AR434)*(($C441+$C436)/4))</f>
        <v>8.4596337391794929</v>
      </c>
      <c r="AS436" s="4">
        <f t="shared" ref="AS436" ca="1" si="1657">+IF(AS$404&gt;$C441,AVERAGE(AR434:AS434)*((AS$404+$C436)/4),AVERAGE(AR434:AS434)*(($C441+$C436)/4))</f>
        <v>8.6062751607263728</v>
      </c>
      <c r="AT436" s="4">
        <f t="shared" ref="AT436" ca="1" si="1658">+IF(AT$404&gt;$C441,AVERAGE(AS434:AT434)*((AT$404+$C436)/4),AVERAGE(AS434:AT434)*(($C441+$C436)/4))</f>
        <v>8.9309527114848439</v>
      </c>
      <c r="AU436" s="4">
        <f t="shared" ref="AU436" ca="1" si="1659">+IF(AU$404&gt;$C441,AVERAGE(AT434:AU434)*((AU$404+$C436)/4),AVERAGE(AT434:AU434)*(($C441+$C436)/4))</f>
        <v>9.1844920000000005</v>
      </c>
      <c r="AV436" s="4">
        <f t="shared" ref="AV436" ca="1" si="1660">+IF(AV$404&gt;$C441,AVERAGE(AU434:AV434)*((AV$404+$C436)/4),AVERAGE(AU434:AV434)*(($C441+$C436)/4))</f>
        <v>9.184020499999999</v>
      </c>
      <c r="AW436" s="4">
        <f t="shared" ref="AW436" ca="1" si="1661">+IF(AW$404&gt;$C441,AVERAGE(AV434:AW434)*((AW$404+$C436)/4),AVERAGE(AV434:AW434)*(($C441+$C436)/4))</f>
        <v>9.2138275000000007</v>
      </c>
      <c r="AX436" s="4">
        <f t="shared" ref="AX436" ca="1" si="1662">+IF(AX$404&gt;$C441,AVERAGE(AW434:AX434)*((AX$404+$C436)/4),AVERAGE(AW434:AX434)*(($C441+$C436)/4))</f>
        <v>9.245787</v>
      </c>
      <c r="AY436" s="4">
        <f t="shared" ref="AY436" ca="1" si="1663">+IF(AY$404&gt;$C441,AVERAGE(AX434:AY434)*((AY$404+$C436)/4),AVERAGE(AX434:AY434)*(($C441+$C436)/4))</f>
        <v>9.2748764999999995</v>
      </c>
      <c r="AZ436" s="24"/>
      <c r="BA436" s="4"/>
      <c r="BB436" s="4"/>
      <c r="BC436" s="4"/>
      <c r="BD436" s="4"/>
      <c r="BE436" s="4"/>
      <c r="BF436" s="4"/>
      <c r="BG436" s="4"/>
      <c r="BH436" s="4"/>
      <c r="BI436" s="4"/>
      <c r="BJ436" s="4"/>
      <c r="BK436" s="4"/>
      <c r="BL436" s="4"/>
      <c r="BM436" s="4"/>
      <c r="BN436" s="4"/>
    </row>
    <row r="437" spans="1:66">
      <c r="B437" t="s">
        <v>127</v>
      </c>
      <c r="C437" s="4"/>
      <c r="D437" s="24"/>
      <c r="E437" s="24"/>
      <c r="F437" s="24"/>
      <c r="G437" s="24"/>
      <c r="H437" s="4"/>
      <c r="I437" s="4"/>
      <c r="J437" s="4">
        <f t="shared" ref="J437:X437" si="1664">+I440</f>
        <v>244</v>
      </c>
      <c r="K437" s="4">
        <f t="shared" si="1664"/>
        <v>295</v>
      </c>
      <c r="L437" s="4">
        <f t="shared" si="1664"/>
        <v>31.5</v>
      </c>
      <c r="M437" s="4">
        <f t="shared" si="1664"/>
        <v>89.5</v>
      </c>
      <c r="N437" s="4">
        <f t="shared" si="1664"/>
        <v>214</v>
      </c>
      <c r="O437" s="4">
        <f t="shared" si="1664"/>
        <v>47</v>
      </c>
      <c r="P437" s="4">
        <f t="shared" si="1664"/>
        <v>139.83799999999999</v>
      </c>
      <c r="Q437" s="4">
        <f t="shared" si="1664"/>
        <v>40</v>
      </c>
      <c r="R437" s="4">
        <f t="shared" si="1664"/>
        <v>230</v>
      </c>
      <c r="S437" s="4">
        <f t="shared" si="1664"/>
        <v>300</v>
      </c>
      <c r="T437" s="4">
        <f t="shared" si="1664"/>
        <v>224.00200000000001</v>
      </c>
      <c r="U437" s="4">
        <f t="shared" si="1664"/>
        <v>310</v>
      </c>
      <c r="V437" s="4">
        <f t="shared" si="1664"/>
        <v>196</v>
      </c>
      <c r="W437" s="4">
        <f t="shared" si="1664"/>
        <v>232</v>
      </c>
      <c r="X437" s="4">
        <f t="shared" si="1664"/>
        <v>139</v>
      </c>
      <c r="Y437" s="4">
        <f t="shared" ref="Y437:AM437" si="1665">+X440</f>
        <v>206</v>
      </c>
      <c r="Z437" s="4">
        <f t="shared" si="1665"/>
        <v>248</v>
      </c>
      <c r="AA437" s="4">
        <f t="shared" si="1665"/>
        <v>279</v>
      </c>
      <c r="AB437" s="4">
        <f t="shared" si="1665"/>
        <v>350</v>
      </c>
      <c r="AC437" s="4">
        <f t="shared" ca="1" si="1665"/>
        <v>350</v>
      </c>
      <c r="AD437" s="4">
        <f t="shared" ca="1" si="1665"/>
        <v>418.24548627224681</v>
      </c>
      <c r="AE437" s="4">
        <f t="shared" ca="1" si="1665"/>
        <v>496.68172623374107</v>
      </c>
      <c r="AF437" s="4">
        <f t="shared" ca="1" si="1665"/>
        <v>574.80581524834565</v>
      </c>
      <c r="AG437" s="4">
        <f t="shared" ca="1" si="1665"/>
        <v>604.84358608471041</v>
      </c>
      <c r="AH437" s="4">
        <f t="shared" ca="1" si="1665"/>
        <v>633.48038627569531</v>
      </c>
      <c r="AI437" s="4">
        <f t="shared" ca="1" si="1665"/>
        <v>658.66785826436012</v>
      </c>
      <c r="AJ437" s="4">
        <f t="shared" ca="1" si="1665"/>
        <v>678.60799718754879</v>
      </c>
      <c r="AK437" s="4">
        <f t="shared" ca="1" si="1665"/>
        <v>695.13350542172475</v>
      </c>
      <c r="AL437" s="4">
        <f t="shared" ca="1" si="1665"/>
        <v>709.38245211846936</v>
      </c>
      <c r="AM437" s="4">
        <f t="shared" ca="1" si="1665"/>
        <v>719.26770663893819</v>
      </c>
      <c r="AN437" s="4">
        <f t="shared" ref="AN437" ca="1" si="1666">+AM440</f>
        <v>726.69625813085042</v>
      </c>
      <c r="AO437" s="4">
        <f t="shared" ref="AO437" ca="1" si="1667">+AN440</f>
        <v>733.80398021666122</v>
      </c>
      <c r="AP437" s="4">
        <f t="shared" ref="AP437" ca="1" si="1668">+AO440</f>
        <v>744.58289681677127</v>
      </c>
      <c r="AQ437" s="4">
        <f t="shared" ref="AQ437" ca="1" si="1669">+AP440</f>
        <v>754.41984956203635</v>
      </c>
      <c r="AR437" s="4">
        <f t="shared" ref="AR437" ca="1" si="1670">+AQ440</f>
        <v>761.50265500895819</v>
      </c>
      <c r="AS437" s="4">
        <f t="shared" ref="AS437" ca="1" si="1671">+AR440</f>
        <v>768.26836473416881</v>
      </c>
      <c r="AT437" s="4">
        <f t="shared" ref="AT437" ca="1" si="1672">+AS440</f>
        <v>781.35781938858941</v>
      </c>
      <c r="AU437" s="4">
        <f t="shared" ref="AU437" ca="1" si="1673">+AT440</f>
        <v>820</v>
      </c>
      <c r="AV437" s="4">
        <f t="shared" ref="AV437" ca="1" si="1674">+AU440</f>
        <v>820</v>
      </c>
      <c r="AW437" s="4">
        <f t="shared" ref="AW437" ca="1" si="1675">+AV440</f>
        <v>820</v>
      </c>
      <c r="AX437" s="4">
        <f t="shared" ref="AX437" ca="1" si="1676">+AW440</f>
        <v>820</v>
      </c>
      <c r="AY437" s="4">
        <f t="shared" ref="AY437" ca="1" si="1677">+AX440</f>
        <v>820</v>
      </c>
      <c r="AZ437" s="24"/>
      <c r="BA437" s="4"/>
      <c r="BB437" s="4"/>
      <c r="BC437" s="4"/>
      <c r="BD437" s="4"/>
      <c r="BE437" s="4"/>
      <c r="BF437" s="4"/>
      <c r="BG437" s="4"/>
      <c r="BH437" s="4"/>
      <c r="BI437" s="4"/>
      <c r="BJ437" s="4"/>
      <c r="BK437" s="4"/>
      <c r="BL437" s="4"/>
      <c r="BM437" s="4"/>
      <c r="BN437" s="4"/>
    </row>
    <row r="438" spans="1:66">
      <c r="B438" t="s">
        <v>128</v>
      </c>
      <c r="C438" s="4"/>
      <c r="D438" s="24"/>
      <c r="E438" s="24"/>
      <c r="F438" s="24"/>
      <c r="G438" s="24"/>
      <c r="H438" s="4"/>
      <c r="I438" s="4"/>
      <c r="J438" s="4">
        <f t="shared" ref="J438:O438" si="1678">+J436-J435</f>
        <v>0</v>
      </c>
      <c r="K438" s="4">
        <f t="shared" si="1678"/>
        <v>0</v>
      </c>
      <c r="L438" s="4">
        <f t="shared" si="1678"/>
        <v>0</v>
      </c>
      <c r="M438" s="4">
        <f t="shared" si="1678"/>
        <v>0</v>
      </c>
      <c r="N438" s="4">
        <f t="shared" si="1678"/>
        <v>0</v>
      </c>
      <c r="O438" s="4">
        <f t="shared" si="1678"/>
        <v>0</v>
      </c>
      <c r="P438" s="4">
        <f t="shared" ref="P438:W438" si="1679">+P436-P435</f>
        <v>0</v>
      </c>
      <c r="Q438" s="4">
        <f t="shared" si="1679"/>
        <v>0</v>
      </c>
      <c r="R438" s="4">
        <f t="shared" si="1679"/>
        <v>0</v>
      </c>
      <c r="S438" s="4">
        <f t="shared" si="1679"/>
        <v>0</v>
      </c>
      <c r="T438" s="4">
        <f t="shared" si="1679"/>
        <v>0</v>
      </c>
      <c r="U438" s="4">
        <f t="shared" si="1679"/>
        <v>0</v>
      </c>
      <c r="V438" s="4">
        <f t="shared" si="1679"/>
        <v>0</v>
      </c>
      <c r="W438" s="4">
        <f t="shared" si="1679"/>
        <v>0</v>
      </c>
      <c r="X438" s="4">
        <f>+X436-X435</f>
        <v>0</v>
      </c>
      <c r="Y438" s="4">
        <f t="shared" ref="Y438:AM438" si="1680">+Y436-Y435</f>
        <v>0</v>
      </c>
      <c r="Z438" s="4">
        <f t="shared" ref="Z438" si="1681">+Z436-Z435</f>
        <v>0</v>
      </c>
      <c r="AA438" s="4">
        <f t="shared" si="1680"/>
        <v>0</v>
      </c>
      <c r="AB438" s="4">
        <f t="shared" ca="1" si="1680"/>
        <v>0</v>
      </c>
      <c r="AC438" s="4">
        <f t="shared" ca="1" si="1680"/>
        <v>0</v>
      </c>
      <c r="AD438" s="4">
        <f t="shared" ca="1" si="1680"/>
        <v>0</v>
      </c>
      <c r="AE438" s="4">
        <f t="shared" ca="1" si="1680"/>
        <v>0</v>
      </c>
      <c r="AF438" s="4">
        <f t="shared" ca="1" si="1680"/>
        <v>0</v>
      </c>
      <c r="AG438" s="4">
        <f t="shared" ca="1" si="1680"/>
        <v>0</v>
      </c>
      <c r="AH438" s="4">
        <f t="shared" ca="1" si="1680"/>
        <v>0</v>
      </c>
      <c r="AI438" s="4">
        <f t="shared" ca="1" si="1680"/>
        <v>0</v>
      </c>
      <c r="AJ438" s="4">
        <f t="shared" ca="1" si="1680"/>
        <v>0</v>
      </c>
      <c r="AK438" s="4">
        <f t="shared" ca="1" si="1680"/>
        <v>0</v>
      </c>
      <c r="AL438" s="4">
        <f t="shared" ca="1" si="1680"/>
        <v>0</v>
      </c>
      <c r="AM438" s="4">
        <f t="shared" ca="1" si="1680"/>
        <v>0</v>
      </c>
      <c r="AN438" s="4">
        <f t="shared" ref="AN438:AY438" ca="1" si="1682">+AN436-AN435</f>
        <v>0</v>
      </c>
      <c r="AO438" s="4">
        <f t="shared" ca="1" si="1682"/>
        <v>0</v>
      </c>
      <c r="AP438" s="4">
        <f t="shared" ca="1" si="1682"/>
        <v>0</v>
      </c>
      <c r="AQ438" s="4">
        <f t="shared" ca="1" si="1682"/>
        <v>0</v>
      </c>
      <c r="AR438" s="4">
        <f t="shared" ca="1" si="1682"/>
        <v>0</v>
      </c>
      <c r="AS438" s="4">
        <f t="shared" ca="1" si="1682"/>
        <v>0</v>
      </c>
      <c r="AT438" s="4">
        <f t="shared" ca="1" si="1682"/>
        <v>0</v>
      </c>
      <c r="AU438" s="4">
        <f t="shared" ca="1" si="1682"/>
        <v>0</v>
      </c>
      <c r="AV438" s="4">
        <f t="shared" ca="1" si="1682"/>
        <v>0</v>
      </c>
      <c r="AW438" s="4">
        <f t="shared" ca="1" si="1682"/>
        <v>0</v>
      </c>
      <c r="AX438" s="4">
        <f t="shared" ca="1" si="1682"/>
        <v>0</v>
      </c>
      <c r="AY438" s="4">
        <f t="shared" ca="1" si="1682"/>
        <v>0</v>
      </c>
      <c r="AZ438" s="24"/>
      <c r="BA438" s="4"/>
      <c r="BB438" s="4"/>
      <c r="BC438" s="4"/>
      <c r="BD438" s="4"/>
      <c r="BE438" s="4"/>
      <c r="BF438" s="4"/>
      <c r="BG438" s="4"/>
      <c r="BH438" s="4"/>
      <c r="BI438" s="4"/>
      <c r="BJ438" s="4"/>
      <c r="BK438" s="4"/>
      <c r="BL438" s="4"/>
      <c r="BM438" s="4"/>
      <c r="BN438" s="4"/>
    </row>
    <row r="439" spans="1:66">
      <c r="B439" t="s">
        <v>129</v>
      </c>
      <c r="C439" s="4"/>
      <c r="D439" s="24"/>
      <c r="E439" s="24"/>
      <c r="F439" s="24"/>
      <c r="G439" s="24"/>
      <c r="H439" s="4"/>
      <c r="I439" s="4"/>
      <c r="J439" s="28">
        <f>295-I440</f>
        <v>51</v>
      </c>
      <c r="K439" s="28">
        <f>256.5-225-295</f>
        <v>-263.5</v>
      </c>
      <c r="L439" s="28">
        <f>314.5-225-K440</f>
        <v>58</v>
      </c>
      <c r="M439" s="28">
        <f>439-L440-M422</f>
        <v>124.5</v>
      </c>
      <c r="N439" s="52">
        <v>-167</v>
      </c>
      <c r="O439" s="28">
        <f>239.838-N440-O422</f>
        <v>92.837999999999994</v>
      </c>
      <c r="P439" s="28">
        <f>140-O440-P422</f>
        <v>-99.837999999999994</v>
      </c>
      <c r="Q439" s="28">
        <v>190</v>
      </c>
      <c r="R439" s="28">
        <v>70</v>
      </c>
      <c r="S439" s="28">
        <v>-75.998000000000005</v>
      </c>
      <c r="T439" s="28">
        <f>310-T437</f>
        <v>85.99799999999999</v>
      </c>
      <c r="U439" s="28">
        <f>196-U437</f>
        <v>-114</v>
      </c>
      <c r="V439" s="28">
        <f>232-V437</f>
        <v>36</v>
      </c>
      <c r="W439" s="28">
        <f>139-W437</f>
        <v>-93</v>
      </c>
      <c r="X439" s="28">
        <f>206-X437</f>
        <v>67</v>
      </c>
      <c r="Y439" s="28">
        <f>248-Y437</f>
        <v>42</v>
      </c>
      <c r="Z439" s="28">
        <f>279-Z437</f>
        <v>31</v>
      </c>
      <c r="AA439" s="28">
        <f>350-AA437</f>
        <v>71</v>
      </c>
      <c r="AB439" s="39">
        <f t="shared" ref="AB439:AY439" ca="1" si="1683">AB374</f>
        <v>0</v>
      </c>
      <c r="AC439" s="39">
        <f t="shared" ca="1" si="1683"/>
        <v>68.245486272246836</v>
      </c>
      <c r="AD439" s="39">
        <f t="shared" ca="1" si="1683"/>
        <v>78.436239961494238</v>
      </c>
      <c r="AE439" s="39">
        <f t="shared" ca="1" si="1683"/>
        <v>78.124089014604635</v>
      </c>
      <c r="AF439" s="39">
        <f t="shared" ca="1" si="1683"/>
        <v>30.037770836364793</v>
      </c>
      <c r="AG439" s="39">
        <f ca="1">AG374</f>
        <v>28.636800190984911</v>
      </c>
      <c r="AH439" s="39">
        <f t="shared" ca="1" si="1683"/>
        <v>25.187471988664797</v>
      </c>
      <c r="AI439" s="39">
        <f t="shared" ca="1" si="1683"/>
        <v>19.940138923188677</v>
      </c>
      <c r="AJ439" s="39">
        <f t="shared" ca="1" si="1683"/>
        <v>16.525508234175998</v>
      </c>
      <c r="AK439" s="39">
        <f t="shared" ca="1" si="1683"/>
        <v>14.248946696744618</v>
      </c>
      <c r="AL439" s="39">
        <f t="shared" ca="1" si="1683"/>
        <v>9.885254520468866</v>
      </c>
      <c r="AM439" s="39">
        <f t="shared" ca="1" si="1683"/>
        <v>7.4285514919122093</v>
      </c>
      <c r="AN439" s="39">
        <f t="shared" ca="1" si="1683"/>
        <v>7.1077220858107992</v>
      </c>
      <c r="AO439" s="39">
        <f t="shared" ca="1" si="1683"/>
        <v>10.778916600110044</v>
      </c>
      <c r="AP439" s="39">
        <f t="shared" ca="1" si="1683"/>
        <v>9.8369527452650836</v>
      </c>
      <c r="AQ439" s="39">
        <f t="shared" ca="1" si="1683"/>
        <v>7.0828054469217925</v>
      </c>
      <c r="AR439" s="39">
        <f t="shared" ca="1" si="1683"/>
        <v>6.7657097252106766</v>
      </c>
      <c r="AS439" s="39">
        <f t="shared" ca="1" si="1683"/>
        <v>13.089454654420649</v>
      </c>
      <c r="AT439" s="39">
        <f t="shared" ca="1" si="1683"/>
        <v>38.642180611410595</v>
      </c>
      <c r="AU439" s="39">
        <f t="shared" ca="1" si="1683"/>
        <v>0</v>
      </c>
      <c r="AV439" s="39">
        <f t="shared" ca="1" si="1683"/>
        <v>0</v>
      </c>
      <c r="AW439" s="39">
        <f t="shared" ca="1" si="1683"/>
        <v>0</v>
      </c>
      <c r="AX439" s="39">
        <f t="shared" ca="1" si="1683"/>
        <v>0</v>
      </c>
      <c r="AY439" s="39">
        <f t="shared" ca="1" si="1683"/>
        <v>0</v>
      </c>
      <c r="AZ439" s="52"/>
      <c r="BA439" s="52"/>
      <c r="BB439" s="52"/>
      <c r="BC439" s="52"/>
      <c r="BD439" s="52"/>
      <c r="BE439" s="52"/>
      <c r="BF439" s="52"/>
      <c r="BG439" s="52"/>
      <c r="BH439" s="52"/>
      <c r="BI439" s="52"/>
      <c r="BJ439" s="52"/>
      <c r="BK439" s="52"/>
      <c r="BL439" s="52"/>
      <c r="BM439" s="52"/>
      <c r="BN439" s="52"/>
    </row>
    <row r="440" spans="1:66">
      <c r="B440" t="s">
        <v>130</v>
      </c>
      <c r="C440" s="4"/>
      <c r="D440" s="28"/>
      <c r="E440" s="28"/>
      <c r="F440" s="28"/>
      <c r="G440" s="28"/>
      <c r="H440" s="4"/>
      <c r="I440" s="7">
        <v>244</v>
      </c>
      <c r="J440" s="4">
        <f t="shared" ref="J440:R440" si="1684">+SUM(J437:J439)</f>
        <v>295</v>
      </c>
      <c r="K440" s="4">
        <f t="shared" si="1684"/>
        <v>31.5</v>
      </c>
      <c r="L440" s="4">
        <f t="shared" si="1684"/>
        <v>89.5</v>
      </c>
      <c r="M440" s="4">
        <f t="shared" si="1684"/>
        <v>214</v>
      </c>
      <c r="N440" s="4">
        <f t="shared" si="1684"/>
        <v>47</v>
      </c>
      <c r="O440" s="4">
        <f t="shared" si="1684"/>
        <v>139.83799999999999</v>
      </c>
      <c r="P440" s="4">
        <f t="shared" si="1684"/>
        <v>40</v>
      </c>
      <c r="Q440" s="4">
        <f t="shared" si="1684"/>
        <v>230</v>
      </c>
      <c r="R440" s="4">
        <f t="shared" si="1684"/>
        <v>300</v>
      </c>
      <c r="S440" s="4">
        <f t="shared" ref="S440:X440" si="1685">+SUM(S437:S439)</f>
        <v>224.00200000000001</v>
      </c>
      <c r="T440" s="4">
        <f t="shared" si="1685"/>
        <v>310</v>
      </c>
      <c r="U440" s="4">
        <f t="shared" si="1685"/>
        <v>196</v>
      </c>
      <c r="V440" s="4">
        <f t="shared" si="1685"/>
        <v>232</v>
      </c>
      <c r="W440" s="4">
        <f t="shared" si="1685"/>
        <v>139</v>
      </c>
      <c r="X440" s="4">
        <f t="shared" si="1685"/>
        <v>206</v>
      </c>
      <c r="Y440" s="4">
        <f t="shared" ref="Y440:AM440" si="1686">+SUM(Y437:Y439)</f>
        <v>248</v>
      </c>
      <c r="Z440" s="4">
        <f t="shared" ref="Z440" si="1687">+SUM(Z437:Z439)</f>
        <v>279</v>
      </c>
      <c r="AA440" s="4">
        <f t="shared" si="1686"/>
        <v>350</v>
      </c>
      <c r="AB440" s="4">
        <f t="shared" ca="1" si="1686"/>
        <v>350</v>
      </c>
      <c r="AC440" s="4">
        <f t="shared" ca="1" si="1686"/>
        <v>418.24548627224681</v>
      </c>
      <c r="AD440" s="4">
        <f t="shared" ca="1" si="1686"/>
        <v>496.68172623374107</v>
      </c>
      <c r="AE440" s="4">
        <f t="shared" ca="1" si="1686"/>
        <v>574.80581524834565</v>
      </c>
      <c r="AF440" s="4">
        <f t="shared" ca="1" si="1686"/>
        <v>604.84358608471041</v>
      </c>
      <c r="AG440" s="4">
        <f t="shared" ca="1" si="1686"/>
        <v>633.48038627569531</v>
      </c>
      <c r="AH440" s="4">
        <f t="shared" ca="1" si="1686"/>
        <v>658.66785826436012</v>
      </c>
      <c r="AI440" s="4">
        <f t="shared" ca="1" si="1686"/>
        <v>678.60799718754879</v>
      </c>
      <c r="AJ440" s="4">
        <f t="shared" ca="1" si="1686"/>
        <v>695.13350542172475</v>
      </c>
      <c r="AK440" s="4">
        <f t="shared" ca="1" si="1686"/>
        <v>709.38245211846936</v>
      </c>
      <c r="AL440" s="4">
        <f t="shared" ca="1" si="1686"/>
        <v>719.26770663893819</v>
      </c>
      <c r="AM440" s="4">
        <f t="shared" ca="1" si="1686"/>
        <v>726.69625813085042</v>
      </c>
      <c r="AN440" s="4">
        <f t="shared" ref="AN440:AY440" ca="1" si="1688">+SUM(AN437:AN439)</f>
        <v>733.80398021666122</v>
      </c>
      <c r="AO440" s="4">
        <f t="shared" ca="1" si="1688"/>
        <v>744.58289681677127</v>
      </c>
      <c r="AP440" s="4">
        <f t="shared" ca="1" si="1688"/>
        <v>754.41984956203635</v>
      </c>
      <c r="AQ440" s="4">
        <f t="shared" ca="1" si="1688"/>
        <v>761.50265500895819</v>
      </c>
      <c r="AR440" s="4">
        <f t="shared" ca="1" si="1688"/>
        <v>768.26836473416881</v>
      </c>
      <c r="AS440" s="4">
        <f t="shared" ca="1" si="1688"/>
        <v>781.35781938858941</v>
      </c>
      <c r="AT440" s="4">
        <f t="shared" ca="1" si="1688"/>
        <v>820</v>
      </c>
      <c r="AU440" s="4">
        <f t="shared" ca="1" si="1688"/>
        <v>820</v>
      </c>
      <c r="AV440" s="4">
        <f t="shared" ca="1" si="1688"/>
        <v>820</v>
      </c>
      <c r="AW440" s="4">
        <f t="shared" ca="1" si="1688"/>
        <v>820</v>
      </c>
      <c r="AX440" s="4">
        <f t="shared" ca="1" si="1688"/>
        <v>820</v>
      </c>
      <c r="AY440" s="4">
        <f t="shared" ca="1" si="1688"/>
        <v>820</v>
      </c>
      <c r="AZ440" s="24"/>
      <c r="BA440" s="4"/>
      <c r="BB440" s="4"/>
      <c r="BC440" s="4"/>
      <c r="BD440" s="4"/>
      <c r="BE440" s="4"/>
      <c r="BF440" s="4"/>
      <c r="BG440" s="4"/>
      <c r="BH440" s="4"/>
      <c r="BI440" s="4"/>
      <c r="BJ440" s="4"/>
      <c r="BK440" s="4"/>
      <c r="BL440" s="4"/>
      <c r="BM440" s="4"/>
      <c r="BN440" s="4"/>
    </row>
    <row r="441" spans="1:66">
      <c r="B441" t="s">
        <v>131</v>
      </c>
      <c r="C441" s="17">
        <v>0</v>
      </c>
      <c r="D441" s="24"/>
      <c r="E441" s="24"/>
      <c r="F441" s="24"/>
      <c r="G441" s="2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24"/>
      <c r="BA441" s="4"/>
      <c r="BB441" s="4"/>
      <c r="BC441" s="4"/>
      <c r="BD441" s="4"/>
      <c r="BE441" s="4"/>
      <c r="BF441" s="4"/>
      <c r="BG441" s="4"/>
      <c r="BH441" s="4"/>
      <c r="BI441" s="4"/>
      <c r="BJ441" s="4"/>
      <c r="BK441" s="4"/>
      <c r="BL441" s="4"/>
      <c r="BM441" s="4"/>
      <c r="BN441" s="4"/>
    </row>
    <row r="442" spans="1:66">
      <c r="C442" s="4"/>
      <c r="D442" s="24"/>
      <c r="E442" s="24"/>
      <c r="F442" s="24"/>
      <c r="G442" s="2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24"/>
      <c r="BA442" s="4"/>
      <c r="BB442" s="4"/>
      <c r="BC442" s="4"/>
      <c r="BD442" s="4"/>
      <c r="BE442" s="4"/>
      <c r="BF442" s="4"/>
      <c r="BG442" s="4"/>
      <c r="BH442" s="4"/>
      <c r="BI442" s="4"/>
      <c r="BJ442" s="4"/>
      <c r="BK442" s="4"/>
      <c r="BL442" s="4"/>
      <c r="BM442" s="4"/>
      <c r="BN442" s="4"/>
    </row>
    <row r="443" spans="1:66">
      <c r="A443" s="22"/>
      <c r="B443" s="294" t="s">
        <v>533</v>
      </c>
      <c r="C443" s="37">
        <v>45976</v>
      </c>
      <c r="D443" s="34"/>
      <c r="E443" s="34"/>
      <c r="F443" s="34"/>
      <c r="G443" s="34"/>
      <c r="H443" s="33"/>
      <c r="I443" s="34"/>
      <c r="J443" s="33"/>
      <c r="K443" s="33"/>
      <c r="L443" s="33"/>
      <c r="M443" s="34">
        <v>300</v>
      </c>
      <c r="N443" s="33">
        <f t="shared" ref="N443:X443" si="1689">+IF($C443&gt;N$1,M443+N448,M443-M443)</f>
        <v>300</v>
      </c>
      <c r="O443" s="33">
        <f t="shared" si="1689"/>
        <v>300</v>
      </c>
      <c r="P443" s="33">
        <f t="shared" si="1689"/>
        <v>300</v>
      </c>
      <c r="Q443" s="33">
        <f t="shared" si="1689"/>
        <v>300</v>
      </c>
      <c r="R443" s="33">
        <f t="shared" si="1689"/>
        <v>300</v>
      </c>
      <c r="S443" s="33">
        <f t="shared" si="1689"/>
        <v>300</v>
      </c>
      <c r="T443" s="33">
        <f t="shared" si="1689"/>
        <v>300</v>
      </c>
      <c r="U443" s="33">
        <f t="shared" si="1689"/>
        <v>300</v>
      </c>
      <c r="V443" s="33">
        <f t="shared" si="1689"/>
        <v>300</v>
      </c>
      <c r="W443" s="33">
        <f t="shared" si="1689"/>
        <v>300</v>
      </c>
      <c r="X443" s="33">
        <f t="shared" si="1689"/>
        <v>300</v>
      </c>
      <c r="Y443" s="33">
        <f t="shared" ref="Y443:AM443" si="1690">+IF($C443&gt;Y$1,X443+Y448,X443-X443)</f>
        <v>300</v>
      </c>
      <c r="Z443" s="33">
        <f t="shared" si="1690"/>
        <v>300</v>
      </c>
      <c r="AA443" s="33">
        <f t="shared" si="1690"/>
        <v>398.774</v>
      </c>
      <c r="AB443" s="33">
        <f t="shared" si="1690"/>
        <v>398.774</v>
      </c>
      <c r="AC443" s="33">
        <f t="shared" si="1690"/>
        <v>398.774</v>
      </c>
      <c r="AD443" s="33">
        <f t="shared" si="1690"/>
        <v>398.774</v>
      </c>
      <c r="AE443" s="33">
        <f t="shared" si="1690"/>
        <v>398.774</v>
      </c>
      <c r="AF443" s="33">
        <f t="shared" si="1690"/>
        <v>398.774</v>
      </c>
      <c r="AG443" s="33">
        <f t="shared" si="1690"/>
        <v>398.774</v>
      </c>
      <c r="AH443" s="33">
        <f t="shared" si="1690"/>
        <v>398.774</v>
      </c>
      <c r="AI443" s="33">
        <f t="shared" si="1690"/>
        <v>398.774</v>
      </c>
      <c r="AJ443" s="33">
        <f t="shared" si="1690"/>
        <v>398.774</v>
      </c>
      <c r="AK443" s="33">
        <f t="shared" si="1690"/>
        <v>398.774</v>
      </c>
      <c r="AL443" s="33">
        <f t="shared" si="1690"/>
        <v>398.774</v>
      </c>
      <c r="AM443" s="33">
        <f t="shared" si="1690"/>
        <v>398.774</v>
      </c>
      <c r="AN443" s="33">
        <f t="shared" ref="AN443" si="1691">+IF($C443&gt;AN$1,AM443+AN448,AM443-AM443)</f>
        <v>398.774</v>
      </c>
      <c r="AO443" s="33">
        <f t="shared" ref="AO443" si="1692">+IF($C443&gt;AO$1,AN443+AO448,AN443-AN443)</f>
        <v>398.774</v>
      </c>
      <c r="AP443" s="33">
        <f t="shared" ref="AP443" si="1693">+IF($C443&gt;AP$1,AO443+AP448,AO443-AO443)</f>
        <v>398.774</v>
      </c>
      <c r="AQ443" s="33">
        <f t="shared" ref="AQ443" si="1694">+IF($C443&gt;AQ$1,AP443+AQ448,AP443-AP443)</f>
        <v>398.774</v>
      </c>
      <c r="AR443" s="33">
        <f t="shared" ref="AR443" si="1695">+IF($C443&gt;AR$1,AQ443+AR448,AQ443-AQ443)</f>
        <v>398.774</v>
      </c>
      <c r="AS443" s="33">
        <f t="shared" ref="AS443" si="1696">+IF($C443&gt;AS$1,AR443+AS448,AR443-AR443)</f>
        <v>398.774</v>
      </c>
      <c r="AT443" s="33">
        <f t="shared" ref="AT443" si="1697">+IF($C443&gt;AT$1,AS443+AT448,AS443-AS443)</f>
        <v>398.774</v>
      </c>
      <c r="AU443" s="33">
        <f t="shared" ref="AU443" si="1698">+IF($C443&gt;AU$1,AT443+AU448,AT443-AT443)</f>
        <v>398.774</v>
      </c>
      <c r="AV443" s="33">
        <f t="shared" ref="AV443" si="1699">+IF($C443&gt;AV$1,AU443+AV448,AU443-AU443)</f>
        <v>398.774</v>
      </c>
      <c r="AW443" s="33">
        <f t="shared" ref="AW443" si="1700">+IF($C443&gt;AW$1,AV443+AW448,AV443-AV443)</f>
        <v>398.774</v>
      </c>
      <c r="AX443" s="33">
        <f t="shared" ref="AX443" si="1701">+IF($C443&gt;AX$1,AW443+AX448,AW443-AW443)</f>
        <v>398.774</v>
      </c>
      <c r="AY443" s="33">
        <f t="shared" ref="AY443" si="1702">+IF($C443&gt;AY$1,AX443+AY448,AX443-AX443)</f>
        <v>398.774</v>
      </c>
      <c r="AZ443" s="24"/>
      <c r="BA443" s="33"/>
      <c r="BB443" s="33"/>
      <c r="BC443" s="33"/>
      <c r="BD443" s="33"/>
      <c r="BE443" s="33"/>
      <c r="BF443" s="33"/>
      <c r="BG443" s="33"/>
      <c r="BH443" s="33"/>
      <c r="BI443" s="33"/>
      <c r="BJ443" s="33"/>
      <c r="BK443" s="33"/>
      <c r="BL443" s="33"/>
      <c r="BM443" s="33"/>
      <c r="BN443" s="33"/>
    </row>
    <row r="444" spans="1:66">
      <c r="A444" s="22"/>
      <c r="B444" t="s">
        <v>126</v>
      </c>
      <c r="C444" s="17">
        <v>4.7500000000000001E-2</v>
      </c>
      <c r="D444" s="24"/>
      <c r="E444" s="24"/>
      <c r="F444" s="24"/>
      <c r="G444" s="24"/>
      <c r="H444" s="4"/>
      <c r="I444" s="4"/>
      <c r="J444" s="4"/>
      <c r="K444" s="4"/>
      <c r="L444" s="4"/>
      <c r="M444" s="4"/>
      <c r="N444" s="4">
        <f t="shared" ref="N444:X444" si="1703">AVERAGE(M443:N443)*($C444/4)</f>
        <v>3.5625</v>
      </c>
      <c r="O444" s="4">
        <f t="shared" si="1703"/>
        <v>3.5625</v>
      </c>
      <c r="P444" s="4">
        <f t="shared" si="1703"/>
        <v>3.5625</v>
      </c>
      <c r="Q444" s="4">
        <f t="shared" si="1703"/>
        <v>3.5625</v>
      </c>
      <c r="R444" s="4">
        <f t="shared" si="1703"/>
        <v>3.5625</v>
      </c>
      <c r="S444" s="4">
        <f t="shared" si="1703"/>
        <v>3.5625</v>
      </c>
      <c r="T444" s="4">
        <f t="shared" si="1703"/>
        <v>3.5625</v>
      </c>
      <c r="U444" s="4">
        <f t="shared" si="1703"/>
        <v>3.5625</v>
      </c>
      <c r="V444" s="4">
        <f t="shared" si="1703"/>
        <v>3.5625</v>
      </c>
      <c r="W444" s="4">
        <f t="shared" si="1703"/>
        <v>3.5625</v>
      </c>
      <c r="X444" s="4">
        <f t="shared" si="1703"/>
        <v>3.5625</v>
      </c>
      <c r="Y444" s="4">
        <f t="shared" ref="Y444:AM444" si="1704">AVERAGE(X443:Y443)*($C444/4)</f>
        <v>3.5625</v>
      </c>
      <c r="Z444" s="4">
        <f t="shared" si="1704"/>
        <v>3.5625</v>
      </c>
      <c r="AA444" s="4">
        <f t="shared" si="1704"/>
        <v>4.1489706250000005</v>
      </c>
      <c r="AB444" s="4">
        <f t="shared" si="1704"/>
        <v>4.73544125</v>
      </c>
      <c r="AC444" s="4">
        <f t="shared" si="1704"/>
        <v>4.73544125</v>
      </c>
      <c r="AD444" s="4">
        <f t="shared" si="1704"/>
        <v>4.73544125</v>
      </c>
      <c r="AE444" s="4">
        <f t="shared" si="1704"/>
        <v>4.73544125</v>
      </c>
      <c r="AF444" s="4">
        <f t="shared" si="1704"/>
        <v>4.73544125</v>
      </c>
      <c r="AG444" s="4">
        <f t="shared" si="1704"/>
        <v>4.73544125</v>
      </c>
      <c r="AH444" s="4">
        <f t="shared" si="1704"/>
        <v>4.73544125</v>
      </c>
      <c r="AI444" s="4">
        <f t="shared" si="1704"/>
        <v>4.73544125</v>
      </c>
      <c r="AJ444" s="4">
        <f t="shared" si="1704"/>
        <v>4.73544125</v>
      </c>
      <c r="AK444" s="4">
        <f t="shared" si="1704"/>
        <v>4.73544125</v>
      </c>
      <c r="AL444" s="4">
        <f t="shared" si="1704"/>
        <v>4.73544125</v>
      </c>
      <c r="AM444" s="4">
        <f t="shared" si="1704"/>
        <v>4.73544125</v>
      </c>
      <c r="AN444" s="4">
        <f t="shared" ref="AN444" si="1705">AVERAGE(AM443:AN443)*($C444/4)</f>
        <v>4.73544125</v>
      </c>
      <c r="AO444" s="4">
        <f t="shared" ref="AO444" si="1706">AVERAGE(AN443:AO443)*($C444/4)</f>
        <v>4.73544125</v>
      </c>
      <c r="AP444" s="4">
        <f t="shared" ref="AP444" si="1707">AVERAGE(AO443:AP443)*($C444/4)</f>
        <v>4.73544125</v>
      </c>
      <c r="AQ444" s="4">
        <f t="shared" ref="AQ444" si="1708">AVERAGE(AP443:AQ443)*($C444/4)</f>
        <v>4.73544125</v>
      </c>
      <c r="AR444" s="4">
        <f t="shared" ref="AR444" si="1709">AVERAGE(AQ443:AR443)*($C444/4)</f>
        <v>4.73544125</v>
      </c>
      <c r="AS444" s="4">
        <f t="shared" ref="AS444" si="1710">AVERAGE(AR443:AS443)*($C444/4)</f>
        <v>4.73544125</v>
      </c>
      <c r="AT444" s="4">
        <f t="shared" ref="AT444" si="1711">AVERAGE(AS443:AT443)*($C444/4)</f>
        <v>4.73544125</v>
      </c>
      <c r="AU444" s="4">
        <f t="shared" ref="AU444" si="1712">AVERAGE(AT443:AU443)*($C444/4)</f>
        <v>4.73544125</v>
      </c>
      <c r="AV444" s="4">
        <f t="shared" ref="AV444" si="1713">AVERAGE(AU443:AV443)*($C444/4)</f>
        <v>4.73544125</v>
      </c>
      <c r="AW444" s="4">
        <f t="shared" ref="AW444" si="1714">AVERAGE(AV443:AW443)*($C444/4)</f>
        <v>4.73544125</v>
      </c>
      <c r="AX444" s="4">
        <f t="shared" ref="AX444" si="1715">AVERAGE(AW443:AX443)*($C444/4)</f>
        <v>4.73544125</v>
      </c>
      <c r="AY444" s="4">
        <f t="shared" ref="AY444" si="1716">AVERAGE(AX443:AY443)*($C444/4)</f>
        <v>4.73544125</v>
      </c>
      <c r="AZ444" s="24"/>
      <c r="BA444" s="4"/>
      <c r="BB444" s="4"/>
      <c r="BC444" s="4"/>
      <c r="BD444" s="4"/>
      <c r="BE444" s="4"/>
      <c r="BF444" s="4"/>
      <c r="BG444" s="4"/>
      <c r="BH444" s="4"/>
      <c r="BI444" s="4"/>
      <c r="BJ444" s="4"/>
      <c r="BK444" s="4"/>
      <c r="BL444" s="4"/>
      <c r="BM444" s="4"/>
      <c r="BN444" s="4"/>
    </row>
    <row r="445" spans="1:66">
      <c r="A445" s="22"/>
      <c r="B445" t="s">
        <v>1</v>
      </c>
      <c r="C445" s="17">
        <v>4.7500000000000001E-2</v>
      </c>
      <c r="D445" s="24"/>
      <c r="E445" s="24"/>
      <c r="F445" s="24"/>
      <c r="G445" s="24"/>
      <c r="H445" s="4"/>
      <c r="I445" s="4"/>
      <c r="J445" s="4"/>
      <c r="K445" s="4"/>
      <c r="L445" s="4"/>
      <c r="M445" s="4"/>
      <c r="N445" s="4">
        <f t="shared" ref="N445:X445" si="1717">AVERAGE(M443:N443)*($C445/4)</f>
        <v>3.5625</v>
      </c>
      <c r="O445" s="4">
        <f t="shared" si="1717"/>
        <v>3.5625</v>
      </c>
      <c r="P445" s="4">
        <f t="shared" si="1717"/>
        <v>3.5625</v>
      </c>
      <c r="Q445" s="4">
        <f t="shared" si="1717"/>
        <v>3.5625</v>
      </c>
      <c r="R445" s="4">
        <f t="shared" si="1717"/>
        <v>3.5625</v>
      </c>
      <c r="S445" s="4">
        <f t="shared" si="1717"/>
        <v>3.5625</v>
      </c>
      <c r="T445" s="4">
        <f t="shared" si="1717"/>
        <v>3.5625</v>
      </c>
      <c r="U445" s="4">
        <f t="shared" si="1717"/>
        <v>3.5625</v>
      </c>
      <c r="V445" s="4">
        <f t="shared" si="1717"/>
        <v>3.5625</v>
      </c>
      <c r="W445" s="4">
        <f t="shared" si="1717"/>
        <v>3.5625</v>
      </c>
      <c r="X445" s="4">
        <f t="shared" si="1717"/>
        <v>3.5625</v>
      </c>
      <c r="Y445" s="4">
        <f t="shared" ref="Y445:AM445" si="1718">AVERAGE(X443:Y443)*($C445/4)</f>
        <v>3.5625</v>
      </c>
      <c r="Z445" s="4">
        <f t="shared" si="1718"/>
        <v>3.5625</v>
      </c>
      <c r="AA445" s="4">
        <f t="shared" si="1718"/>
        <v>4.1489706250000005</v>
      </c>
      <c r="AB445" s="4">
        <f t="shared" si="1718"/>
        <v>4.73544125</v>
      </c>
      <c r="AC445" s="4">
        <f t="shared" si="1718"/>
        <v>4.73544125</v>
      </c>
      <c r="AD445" s="4">
        <f t="shared" si="1718"/>
        <v>4.73544125</v>
      </c>
      <c r="AE445" s="4">
        <f t="shared" si="1718"/>
        <v>4.73544125</v>
      </c>
      <c r="AF445" s="4">
        <f t="shared" si="1718"/>
        <v>4.73544125</v>
      </c>
      <c r="AG445" s="4">
        <f t="shared" si="1718"/>
        <v>4.73544125</v>
      </c>
      <c r="AH445" s="4">
        <f t="shared" si="1718"/>
        <v>4.73544125</v>
      </c>
      <c r="AI445" s="4">
        <f t="shared" si="1718"/>
        <v>4.73544125</v>
      </c>
      <c r="AJ445" s="4">
        <f t="shared" si="1718"/>
        <v>4.73544125</v>
      </c>
      <c r="AK445" s="4">
        <f t="shared" si="1718"/>
        <v>4.73544125</v>
      </c>
      <c r="AL445" s="4">
        <f t="shared" si="1718"/>
        <v>4.73544125</v>
      </c>
      <c r="AM445" s="4">
        <f t="shared" si="1718"/>
        <v>4.73544125</v>
      </c>
      <c r="AN445" s="4">
        <f t="shared" ref="AN445" si="1719">AVERAGE(AM443:AN443)*($C445/4)</f>
        <v>4.73544125</v>
      </c>
      <c r="AO445" s="4">
        <f t="shared" ref="AO445" si="1720">AVERAGE(AN443:AO443)*($C445/4)</f>
        <v>4.73544125</v>
      </c>
      <c r="AP445" s="4">
        <f t="shared" ref="AP445" si="1721">AVERAGE(AO443:AP443)*($C445/4)</f>
        <v>4.73544125</v>
      </c>
      <c r="AQ445" s="4">
        <f t="shared" ref="AQ445" si="1722">AVERAGE(AP443:AQ443)*($C445/4)</f>
        <v>4.73544125</v>
      </c>
      <c r="AR445" s="4">
        <f t="shared" ref="AR445" si="1723">AVERAGE(AQ443:AR443)*($C445/4)</f>
        <v>4.73544125</v>
      </c>
      <c r="AS445" s="4">
        <f t="shared" ref="AS445" si="1724">AVERAGE(AR443:AS443)*($C445/4)</f>
        <v>4.73544125</v>
      </c>
      <c r="AT445" s="4">
        <f t="shared" ref="AT445" si="1725">AVERAGE(AS443:AT443)*($C445/4)</f>
        <v>4.73544125</v>
      </c>
      <c r="AU445" s="4">
        <f t="shared" ref="AU445" si="1726">AVERAGE(AT443:AU443)*($C445/4)</f>
        <v>4.73544125</v>
      </c>
      <c r="AV445" s="4">
        <f t="shared" ref="AV445" si="1727">AVERAGE(AU443:AV443)*($C445/4)</f>
        <v>4.73544125</v>
      </c>
      <c r="AW445" s="4">
        <f t="shared" ref="AW445" si="1728">AVERAGE(AV443:AW443)*($C445/4)</f>
        <v>4.73544125</v>
      </c>
      <c r="AX445" s="4">
        <f t="shared" ref="AX445" si="1729">AVERAGE(AW443:AX443)*($C445/4)</f>
        <v>4.73544125</v>
      </c>
      <c r="AY445" s="4">
        <f t="shared" ref="AY445" si="1730">AVERAGE(AX443:AY443)*($C445/4)</f>
        <v>4.73544125</v>
      </c>
      <c r="AZ445" s="24"/>
      <c r="BA445" s="4"/>
      <c r="BB445" s="4"/>
      <c r="BC445" s="4"/>
      <c r="BD445" s="4"/>
      <c r="BE445" s="4"/>
      <c r="BF445" s="4"/>
      <c r="BG445" s="4"/>
      <c r="BH445" s="4"/>
      <c r="BI445" s="4"/>
      <c r="BJ445" s="4"/>
      <c r="BK445" s="4"/>
      <c r="BL445" s="4"/>
      <c r="BM445" s="4"/>
      <c r="BN445" s="4"/>
    </row>
    <row r="446" spans="1:66">
      <c r="A446" s="22"/>
      <c r="B446" t="s">
        <v>127</v>
      </c>
      <c r="C446" s="4"/>
      <c r="D446" s="24"/>
      <c r="E446" s="24"/>
      <c r="F446" s="24"/>
      <c r="G446" s="24"/>
      <c r="H446" s="4"/>
      <c r="I446" s="4"/>
      <c r="J446" s="4"/>
      <c r="K446" s="4"/>
      <c r="L446" s="4"/>
      <c r="M446" s="4"/>
      <c r="N446" s="4">
        <f t="shared" ref="N446:X446" si="1731">+M449</f>
        <v>300</v>
      </c>
      <c r="O446" s="4">
        <f t="shared" si="1731"/>
        <v>297.67099999999999</v>
      </c>
      <c r="P446" s="4">
        <f t="shared" si="1731"/>
        <v>297.72899999999998</v>
      </c>
      <c r="Q446" s="4">
        <f t="shared" si="1731"/>
        <v>297.791</v>
      </c>
      <c r="R446" s="4">
        <f t="shared" si="1731"/>
        <v>297.85199999999998</v>
      </c>
      <c r="S446" s="4">
        <f t="shared" si="1731"/>
        <v>297.91399999999999</v>
      </c>
      <c r="T446" s="4">
        <f t="shared" si="1731"/>
        <v>297.976</v>
      </c>
      <c r="U446" s="4">
        <f t="shared" si="1731"/>
        <v>288.291</v>
      </c>
      <c r="V446" s="4">
        <f t="shared" si="1731"/>
        <v>288.77600000000001</v>
      </c>
      <c r="W446" s="4">
        <f t="shared" si="1731"/>
        <v>289.23700000000002</v>
      </c>
      <c r="X446" s="4">
        <f t="shared" si="1731"/>
        <v>288.11799999999999</v>
      </c>
      <c r="Y446" s="4">
        <f t="shared" ref="Y446:AM446" si="1732">+X449</f>
        <v>288.62299999999999</v>
      </c>
      <c r="Z446" s="4">
        <f t="shared" si="1732"/>
        <v>289.16500000000002</v>
      </c>
      <c r="AA446" s="4">
        <f t="shared" si="1732"/>
        <v>289.58999999999997</v>
      </c>
      <c r="AB446" s="4">
        <f t="shared" si="1732"/>
        <v>388.36399999999998</v>
      </c>
      <c r="AC446" s="4">
        <f t="shared" si="1732"/>
        <v>388.36399999999998</v>
      </c>
      <c r="AD446" s="4">
        <f t="shared" si="1732"/>
        <v>388.36399999999998</v>
      </c>
      <c r="AE446" s="4">
        <f t="shared" si="1732"/>
        <v>388.36399999999998</v>
      </c>
      <c r="AF446" s="4">
        <f t="shared" si="1732"/>
        <v>388.36399999999998</v>
      </c>
      <c r="AG446" s="4">
        <f t="shared" si="1732"/>
        <v>388.36399999999998</v>
      </c>
      <c r="AH446" s="4">
        <f t="shared" si="1732"/>
        <v>388.36399999999998</v>
      </c>
      <c r="AI446" s="4">
        <f t="shared" si="1732"/>
        <v>388.36399999999998</v>
      </c>
      <c r="AJ446" s="4">
        <f t="shared" si="1732"/>
        <v>388.36399999999998</v>
      </c>
      <c r="AK446" s="4">
        <f t="shared" si="1732"/>
        <v>388.36399999999998</v>
      </c>
      <c r="AL446" s="4">
        <f t="shared" si="1732"/>
        <v>388.36399999999998</v>
      </c>
      <c r="AM446" s="4">
        <f t="shared" si="1732"/>
        <v>388.36399999999998</v>
      </c>
      <c r="AN446" s="4">
        <f t="shared" ref="AN446" si="1733">+AM449</f>
        <v>388.36399999999998</v>
      </c>
      <c r="AO446" s="4">
        <f t="shared" ref="AO446" si="1734">+AN449</f>
        <v>388.36399999999998</v>
      </c>
      <c r="AP446" s="4">
        <f t="shared" ref="AP446" si="1735">+AO449</f>
        <v>388.36399999999998</v>
      </c>
      <c r="AQ446" s="4">
        <f t="shared" ref="AQ446" si="1736">+AP449</f>
        <v>388.36399999999998</v>
      </c>
      <c r="AR446" s="4">
        <f t="shared" ref="AR446" si="1737">+AQ449</f>
        <v>388.36399999999998</v>
      </c>
      <c r="AS446" s="4">
        <f t="shared" ref="AS446" si="1738">+AR449</f>
        <v>388.36399999999998</v>
      </c>
      <c r="AT446" s="4">
        <f t="shared" ref="AT446" si="1739">+AS449</f>
        <v>388.36399999999998</v>
      </c>
      <c r="AU446" s="4">
        <f t="shared" ref="AU446" si="1740">+AT449</f>
        <v>388.36399999999998</v>
      </c>
      <c r="AV446" s="4">
        <f t="shared" ref="AV446" si="1741">+AU449</f>
        <v>388.36399999999998</v>
      </c>
      <c r="AW446" s="4">
        <f t="shared" ref="AW446" si="1742">+AV449</f>
        <v>388.36399999999998</v>
      </c>
      <c r="AX446" s="4">
        <f t="shared" ref="AX446" si="1743">+AW449</f>
        <v>388.36399999999998</v>
      </c>
      <c r="AY446" s="4">
        <f t="shared" ref="AY446" si="1744">+AX449</f>
        <v>388.36399999999998</v>
      </c>
      <c r="AZ446" s="24"/>
      <c r="BA446" s="4"/>
      <c r="BB446" s="4"/>
      <c r="BC446" s="4"/>
      <c r="BD446" s="4"/>
      <c r="BE446" s="4"/>
      <c r="BF446" s="4"/>
      <c r="BG446" s="4"/>
      <c r="BH446" s="4"/>
      <c r="BI446" s="4"/>
      <c r="BJ446" s="4"/>
      <c r="BK446" s="4"/>
      <c r="BL446" s="4"/>
      <c r="BM446" s="4"/>
      <c r="BN446" s="4"/>
    </row>
    <row r="447" spans="1:66">
      <c r="A447" s="22"/>
      <c r="B447" t="s">
        <v>128</v>
      </c>
      <c r="C447" s="4"/>
      <c r="D447" s="24"/>
      <c r="E447" s="24"/>
      <c r="F447" s="24"/>
      <c r="G447" s="24"/>
      <c r="H447" s="4"/>
      <c r="I447" s="4"/>
      <c r="J447" s="4"/>
      <c r="K447" s="4"/>
      <c r="L447" s="4"/>
      <c r="M447" s="4"/>
      <c r="N447" s="292">
        <f>297.671-M449</f>
        <v>-2.3290000000000077</v>
      </c>
      <c r="O447" s="292">
        <f>297.729-N449</f>
        <v>5.7999999999992724E-2</v>
      </c>
      <c r="P447" s="292">
        <f>297.791-O449</f>
        <v>6.2000000000011823E-2</v>
      </c>
      <c r="Q447" s="292">
        <f>297.852-P449</f>
        <v>6.0999999999978627E-2</v>
      </c>
      <c r="R447" s="292">
        <f>297.914-Q449</f>
        <v>6.2000000000011823E-2</v>
      </c>
      <c r="S447" s="292">
        <f>297.976-R449</f>
        <v>6.2000000000011823E-2</v>
      </c>
      <c r="T447" s="292">
        <f>300-11.709-S449</f>
        <v>-9.6850000000000023</v>
      </c>
      <c r="U447" s="292">
        <f>300-11.224-T449</f>
        <v>0.48500000000001364</v>
      </c>
      <c r="V447" s="292">
        <f>300-10.763-U449</f>
        <v>0.46100000000001273</v>
      </c>
      <c r="W447" s="292">
        <f>300-11.882-V449</f>
        <v>-1.1190000000000282</v>
      </c>
      <c r="X447" s="292">
        <f>300-11.377-W449</f>
        <v>0.50499999999999545</v>
      </c>
      <c r="Y447" s="291">
        <f>300-10.835-X449</f>
        <v>0.54200000000003001</v>
      </c>
      <c r="Z447" s="291">
        <f>300-10.41-Y449</f>
        <v>0.42499999999995453</v>
      </c>
      <c r="AA447" s="4">
        <f t="shared" ref="AA447:AM447" si="1745">+AA445-AA444</f>
        <v>0</v>
      </c>
      <c r="AB447" s="4">
        <f t="shared" si="1745"/>
        <v>0</v>
      </c>
      <c r="AC447" s="4">
        <f t="shared" si="1745"/>
        <v>0</v>
      </c>
      <c r="AD447" s="4">
        <f t="shared" si="1745"/>
        <v>0</v>
      </c>
      <c r="AE447" s="4">
        <f t="shared" si="1745"/>
        <v>0</v>
      </c>
      <c r="AF447" s="4">
        <f t="shared" si="1745"/>
        <v>0</v>
      </c>
      <c r="AG447" s="4">
        <f t="shared" si="1745"/>
        <v>0</v>
      </c>
      <c r="AH447" s="4">
        <f t="shared" si="1745"/>
        <v>0</v>
      </c>
      <c r="AI447" s="4">
        <f t="shared" si="1745"/>
        <v>0</v>
      </c>
      <c r="AJ447" s="4">
        <f t="shared" si="1745"/>
        <v>0</v>
      </c>
      <c r="AK447" s="4">
        <f t="shared" si="1745"/>
        <v>0</v>
      </c>
      <c r="AL447" s="4">
        <f t="shared" si="1745"/>
        <v>0</v>
      </c>
      <c r="AM447" s="4">
        <f t="shared" si="1745"/>
        <v>0</v>
      </c>
      <c r="AN447" s="4">
        <f t="shared" ref="AN447:AY447" si="1746">+AN445-AN444</f>
        <v>0</v>
      </c>
      <c r="AO447" s="4">
        <f t="shared" si="1746"/>
        <v>0</v>
      </c>
      <c r="AP447" s="4">
        <f t="shared" si="1746"/>
        <v>0</v>
      </c>
      <c r="AQ447" s="4">
        <f t="shared" si="1746"/>
        <v>0</v>
      </c>
      <c r="AR447" s="4">
        <f t="shared" si="1746"/>
        <v>0</v>
      </c>
      <c r="AS447" s="4">
        <f t="shared" si="1746"/>
        <v>0</v>
      </c>
      <c r="AT447" s="4">
        <f t="shared" si="1746"/>
        <v>0</v>
      </c>
      <c r="AU447" s="4">
        <f t="shared" si="1746"/>
        <v>0</v>
      </c>
      <c r="AV447" s="4">
        <f t="shared" si="1746"/>
        <v>0</v>
      </c>
      <c r="AW447" s="4">
        <f t="shared" si="1746"/>
        <v>0</v>
      </c>
      <c r="AX447" s="4">
        <f t="shared" si="1746"/>
        <v>0</v>
      </c>
      <c r="AY447" s="4">
        <f t="shared" si="1746"/>
        <v>0</v>
      </c>
      <c r="AZ447" s="24"/>
      <c r="BA447" s="4"/>
      <c r="BB447" s="4"/>
      <c r="BC447" s="4"/>
      <c r="BD447" s="4"/>
      <c r="BE447" s="4"/>
      <c r="BF447" s="4"/>
      <c r="BG447" s="4"/>
      <c r="BH447" s="4"/>
      <c r="BI447" s="4"/>
      <c r="BJ447" s="4"/>
      <c r="BK447" s="4"/>
      <c r="BL447" s="4"/>
      <c r="BM447" s="4"/>
      <c r="BN447" s="4"/>
    </row>
    <row r="448" spans="1:66">
      <c r="A448" s="22"/>
      <c r="B448" t="s">
        <v>129</v>
      </c>
      <c r="C448" s="4"/>
      <c r="D448" s="24"/>
      <c r="E448" s="24"/>
      <c r="F448" s="24"/>
      <c r="G448" s="24"/>
      <c r="H448" s="4"/>
      <c r="M448" s="4"/>
      <c r="N448" s="4">
        <f t="shared" ref="N448:U448" si="1747">+IF($C443&lt;N$1,-(N446+N447),0)</f>
        <v>0</v>
      </c>
      <c r="O448" s="4">
        <f t="shared" si="1747"/>
        <v>0</v>
      </c>
      <c r="P448" s="4">
        <f t="shared" si="1747"/>
        <v>0</v>
      </c>
      <c r="Q448" s="4">
        <f t="shared" si="1747"/>
        <v>0</v>
      </c>
      <c r="R448" s="4">
        <f t="shared" si="1747"/>
        <v>0</v>
      </c>
      <c r="S448" s="4">
        <f t="shared" si="1747"/>
        <v>0</v>
      </c>
      <c r="T448" s="4">
        <f t="shared" si="1747"/>
        <v>0</v>
      </c>
      <c r="U448" s="4">
        <f t="shared" si="1747"/>
        <v>0</v>
      </c>
      <c r="V448" s="4">
        <f>+IF($C443&lt;V$1,-(V446+V447),0)</f>
        <v>0</v>
      </c>
      <c r="W448" s="4">
        <f>+IF($C443&lt;W$1,-(W446+W447),0)</f>
        <v>0</v>
      </c>
      <c r="X448" s="4">
        <f>+IF($C443&lt;X$1,-(X446+X447),0)</f>
        <v>0</v>
      </c>
      <c r="Y448" s="4">
        <f t="shared" ref="Y448:AM448" si="1748">+IF($C443&lt;Y$1,-(Y446+Y447),0)</f>
        <v>0</v>
      </c>
      <c r="Z448" s="4">
        <f t="shared" ref="Z448" si="1749">+IF($C443&lt;Z$1,-(Z446+Z447),0)</f>
        <v>0</v>
      </c>
      <c r="AA448" s="291">
        <f>400-11.636-Z449</f>
        <v>98.774000000000001</v>
      </c>
      <c r="AB448" s="4">
        <f t="shared" si="1748"/>
        <v>0</v>
      </c>
      <c r="AC448" s="4">
        <f t="shared" si="1748"/>
        <v>0</v>
      </c>
      <c r="AD448" s="4">
        <f t="shared" si="1748"/>
        <v>0</v>
      </c>
      <c r="AE448" s="4">
        <f t="shared" si="1748"/>
        <v>0</v>
      </c>
      <c r="AF448" s="4">
        <f t="shared" si="1748"/>
        <v>0</v>
      </c>
      <c r="AG448" s="4">
        <f t="shared" si="1748"/>
        <v>0</v>
      </c>
      <c r="AH448" s="4">
        <f t="shared" si="1748"/>
        <v>0</v>
      </c>
      <c r="AI448" s="4">
        <f t="shared" si="1748"/>
        <v>0</v>
      </c>
      <c r="AJ448" s="4">
        <f t="shared" si="1748"/>
        <v>0</v>
      </c>
      <c r="AK448" s="4">
        <f t="shared" si="1748"/>
        <v>0</v>
      </c>
      <c r="AL448" s="4">
        <f t="shared" si="1748"/>
        <v>0</v>
      </c>
      <c r="AM448" s="4">
        <f t="shared" si="1748"/>
        <v>0</v>
      </c>
      <c r="AN448" s="4">
        <f t="shared" ref="AN448:AY448" si="1750">+IF($C443&lt;AN$1,-(AN446+AN447),0)</f>
        <v>0</v>
      </c>
      <c r="AO448" s="4">
        <f t="shared" si="1750"/>
        <v>0</v>
      </c>
      <c r="AP448" s="4">
        <f t="shared" si="1750"/>
        <v>0</v>
      </c>
      <c r="AQ448" s="4">
        <f t="shared" si="1750"/>
        <v>0</v>
      </c>
      <c r="AR448" s="4">
        <f t="shared" si="1750"/>
        <v>0</v>
      </c>
      <c r="AS448" s="4">
        <f t="shared" si="1750"/>
        <v>0</v>
      </c>
      <c r="AT448" s="4">
        <f t="shared" si="1750"/>
        <v>0</v>
      </c>
      <c r="AU448" s="4">
        <f t="shared" si="1750"/>
        <v>0</v>
      </c>
      <c r="AV448" s="4">
        <f t="shared" si="1750"/>
        <v>0</v>
      </c>
      <c r="AW448" s="4">
        <f t="shared" si="1750"/>
        <v>0</v>
      </c>
      <c r="AX448" s="4">
        <f t="shared" si="1750"/>
        <v>0</v>
      </c>
      <c r="AY448" s="4">
        <f t="shared" si="1750"/>
        <v>0</v>
      </c>
      <c r="AZ448" s="24"/>
      <c r="BA448" s="4"/>
      <c r="BB448" s="4"/>
      <c r="BC448" s="4"/>
      <c r="BD448" s="4"/>
      <c r="BE448" s="4"/>
      <c r="BF448" s="4"/>
      <c r="BG448" s="4"/>
      <c r="BH448" s="4"/>
      <c r="BI448" s="4"/>
      <c r="BJ448" s="4"/>
      <c r="BK448" s="4"/>
      <c r="BL448" s="4"/>
      <c r="BM448" s="4"/>
      <c r="BN448" s="4"/>
    </row>
    <row r="449" spans="1:66">
      <c r="A449" s="22"/>
      <c r="B449" t="s">
        <v>130</v>
      </c>
      <c r="C449" s="4"/>
      <c r="D449" s="28"/>
      <c r="E449" s="28"/>
      <c r="F449" s="28"/>
      <c r="G449" s="28"/>
      <c r="H449" s="4"/>
      <c r="I449" s="7"/>
      <c r="J449" s="4"/>
      <c r="K449" s="4"/>
      <c r="L449" s="4"/>
      <c r="M449" s="7">
        <v>300</v>
      </c>
      <c r="N449" s="4">
        <f t="shared" ref="N449:U449" si="1751">+SUM(N446:N448)</f>
        <v>297.67099999999999</v>
      </c>
      <c r="O449" s="4">
        <f t="shared" si="1751"/>
        <v>297.72899999999998</v>
      </c>
      <c r="P449" s="4">
        <f t="shared" si="1751"/>
        <v>297.791</v>
      </c>
      <c r="Q449" s="4">
        <f t="shared" si="1751"/>
        <v>297.85199999999998</v>
      </c>
      <c r="R449" s="4">
        <f t="shared" si="1751"/>
        <v>297.91399999999999</v>
      </c>
      <c r="S449" s="4">
        <f t="shared" si="1751"/>
        <v>297.976</v>
      </c>
      <c r="T449" s="4">
        <f t="shared" si="1751"/>
        <v>288.291</v>
      </c>
      <c r="U449" s="4">
        <f t="shared" si="1751"/>
        <v>288.77600000000001</v>
      </c>
      <c r="V449" s="4">
        <f>+SUM(V446:V448)</f>
        <v>289.23700000000002</v>
      </c>
      <c r="W449" s="4">
        <f>+SUM(W446:W448)</f>
        <v>288.11799999999999</v>
      </c>
      <c r="X449" s="4">
        <f>+SUM(X446:X448)</f>
        <v>288.62299999999999</v>
      </c>
      <c r="Y449" s="4">
        <f t="shared" ref="Y449:AM449" si="1752">+SUM(Y446:Y448)</f>
        <v>289.16500000000002</v>
      </c>
      <c r="Z449" s="4">
        <f t="shared" ref="Z449" si="1753">+SUM(Z446:Z448)</f>
        <v>289.58999999999997</v>
      </c>
      <c r="AA449" s="4">
        <f t="shared" si="1752"/>
        <v>388.36399999999998</v>
      </c>
      <c r="AB449" s="4">
        <f t="shared" si="1752"/>
        <v>388.36399999999998</v>
      </c>
      <c r="AC449" s="4">
        <f t="shared" si="1752"/>
        <v>388.36399999999998</v>
      </c>
      <c r="AD449" s="4">
        <f t="shared" si="1752"/>
        <v>388.36399999999998</v>
      </c>
      <c r="AE449" s="4">
        <f t="shared" si="1752"/>
        <v>388.36399999999998</v>
      </c>
      <c r="AF449" s="4">
        <f t="shared" si="1752"/>
        <v>388.36399999999998</v>
      </c>
      <c r="AG449" s="4">
        <f t="shared" si="1752"/>
        <v>388.36399999999998</v>
      </c>
      <c r="AH449" s="4">
        <f t="shared" si="1752"/>
        <v>388.36399999999998</v>
      </c>
      <c r="AI449" s="4">
        <f t="shared" si="1752"/>
        <v>388.36399999999998</v>
      </c>
      <c r="AJ449" s="4">
        <f t="shared" si="1752"/>
        <v>388.36399999999998</v>
      </c>
      <c r="AK449" s="4">
        <f t="shared" si="1752"/>
        <v>388.36399999999998</v>
      </c>
      <c r="AL449" s="4">
        <f t="shared" si="1752"/>
        <v>388.36399999999998</v>
      </c>
      <c r="AM449" s="4">
        <f t="shared" si="1752"/>
        <v>388.36399999999998</v>
      </c>
      <c r="AN449" s="4">
        <f t="shared" ref="AN449:AY449" si="1754">+SUM(AN446:AN448)</f>
        <v>388.36399999999998</v>
      </c>
      <c r="AO449" s="4">
        <f t="shared" si="1754"/>
        <v>388.36399999999998</v>
      </c>
      <c r="AP449" s="4">
        <f t="shared" si="1754"/>
        <v>388.36399999999998</v>
      </c>
      <c r="AQ449" s="4">
        <f t="shared" si="1754"/>
        <v>388.36399999999998</v>
      </c>
      <c r="AR449" s="4">
        <f t="shared" si="1754"/>
        <v>388.36399999999998</v>
      </c>
      <c r="AS449" s="4">
        <f t="shared" si="1754"/>
        <v>388.36399999999998</v>
      </c>
      <c r="AT449" s="4">
        <f t="shared" si="1754"/>
        <v>388.36399999999998</v>
      </c>
      <c r="AU449" s="4">
        <f t="shared" si="1754"/>
        <v>388.36399999999998</v>
      </c>
      <c r="AV449" s="4">
        <f t="shared" si="1754"/>
        <v>388.36399999999998</v>
      </c>
      <c r="AW449" s="4">
        <f t="shared" si="1754"/>
        <v>388.36399999999998</v>
      </c>
      <c r="AX449" s="4">
        <f t="shared" si="1754"/>
        <v>388.36399999999998</v>
      </c>
      <c r="AY449" s="4">
        <f t="shared" si="1754"/>
        <v>388.36399999999998</v>
      </c>
      <c r="AZ449" s="24"/>
      <c r="BA449" s="4"/>
      <c r="BB449" s="4"/>
      <c r="BC449" s="4"/>
      <c r="BD449" s="4"/>
      <c r="BE449" s="4"/>
      <c r="BF449" s="4"/>
      <c r="BG449" s="4"/>
      <c r="BH449" s="4"/>
      <c r="BI449" s="4"/>
      <c r="BJ449" s="4"/>
      <c r="BK449" s="4"/>
      <c r="BL449" s="4"/>
      <c r="BM449" s="4"/>
      <c r="BN449" s="4"/>
    </row>
    <row r="450" spans="1:66">
      <c r="A450" s="22"/>
      <c r="C450" s="4"/>
      <c r="D450" s="24"/>
      <c r="E450" s="24"/>
      <c r="F450" s="24"/>
      <c r="G450" s="2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24"/>
      <c r="BA450" s="4"/>
      <c r="BB450" s="4"/>
      <c r="BC450" s="4"/>
      <c r="BD450" s="4"/>
      <c r="BE450" s="4"/>
      <c r="BF450" s="4"/>
      <c r="BG450" s="4"/>
      <c r="BH450" s="4"/>
      <c r="BI450" s="4"/>
      <c r="BJ450" s="4"/>
      <c r="BK450" s="4"/>
      <c r="BL450" s="4"/>
      <c r="BM450" s="4"/>
      <c r="BN450" s="4"/>
    </row>
    <row r="451" spans="1:66">
      <c r="A451" s="22"/>
      <c r="B451" s="294" t="s">
        <v>434</v>
      </c>
      <c r="C451" s="37">
        <v>44742</v>
      </c>
      <c r="D451" s="34"/>
      <c r="E451" s="34"/>
      <c r="F451" s="34"/>
      <c r="G451" s="34"/>
      <c r="H451" s="33"/>
      <c r="I451" s="34"/>
      <c r="J451" s="33"/>
      <c r="K451" s="33"/>
      <c r="L451" s="33"/>
      <c r="M451" s="34"/>
      <c r="N451" s="33"/>
      <c r="O451" s="33"/>
      <c r="P451" s="33"/>
      <c r="Q451" s="33"/>
      <c r="R451" s="33"/>
      <c r="S451" s="33"/>
      <c r="T451" s="33"/>
      <c r="U451" s="33"/>
      <c r="V451" s="33">
        <f>+IF($C451&gt;V$1,U451+V456,U451-U451)</f>
        <v>0</v>
      </c>
      <c r="W451" s="33">
        <f>+IF($C451&gt;W$1,V451+W456,V451-V451)</f>
        <v>0</v>
      </c>
      <c r="X451" s="33">
        <f t="shared" ref="X451:AM451" si="1755">+IF($C451&gt;X$1,W451+X456,W451-W451)</f>
        <v>0</v>
      </c>
      <c r="Y451" s="33">
        <f t="shared" si="1755"/>
        <v>0</v>
      </c>
      <c r="Z451" s="33">
        <f t="shared" si="1755"/>
        <v>0</v>
      </c>
      <c r="AA451" s="33">
        <f t="shared" si="1755"/>
        <v>0</v>
      </c>
      <c r="AB451" s="33">
        <f t="shared" si="1755"/>
        <v>0</v>
      </c>
      <c r="AC451" s="33">
        <f t="shared" si="1755"/>
        <v>0</v>
      </c>
      <c r="AD451" s="33">
        <f t="shared" si="1755"/>
        <v>0</v>
      </c>
      <c r="AE451" s="33">
        <f t="shared" si="1755"/>
        <v>0</v>
      </c>
      <c r="AF451" s="33">
        <f t="shared" si="1755"/>
        <v>0</v>
      </c>
      <c r="AG451" s="33">
        <f t="shared" si="1755"/>
        <v>0</v>
      </c>
      <c r="AH451" s="33">
        <f t="shared" si="1755"/>
        <v>0</v>
      </c>
      <c r="AI451" s="33">
        <f t="shared" si="1755"/>
        <v>0</v>
      </c>
      <c r="AJ451" s="33">
        <f t="shared" si="1755"/>
        <v>0</v>
      </c>
      <c r="AK451" s="33">
        <f t="shared" si="1755"/>
        <v>0</v>
      </c>
      <c r="AL451" s="33">
        <f t="shared" si="1755"/>
        <v>0</v>
      </c>
      <c r="AM451" s="33">
        <f t="shared" si="1755"/>
        <v>0</v>
      </c>
      <c r="AN451" s="33">
        <f t="shared" ref="AN451" si="1756">+IF($C451&gt;AN$1,AM451+AN456,AM451-AM451)</f>
        <v>0</v>
      </c>
      <c r="AO451" s="33">
        <f t="shared" ref="AO451" si="1757">+IF($C451&gt;AO$1,AN451+AO456,AN451-AN451)</f>
        <v>0</v>
      </c>
      <c r="AP451" s="33">
        <f t="shared" ref="AP451" si="1758">+IF($C451&gt;AP$1,AO451+AP456,AO451-AO451)</f>
        <v>0</v>
      </c>
      <c r="AQ451" s="33">
        <f t="shared" ref="AQ451" si="1759">+IF($C451&gt;AQ$1,AP451+AQ456,AP451-AP451)</f>
        <v>0</v>
      </c>
      <c r="AR451" s="33">
        <f t="shared" ref="AR451" si="1760">+IF($C451&gt;AR$1,AQ451+AR456,AQ451-AQ451)</f>
        <v>0</v>
      </c>
      <c r="AS451" s="33">
        <f t="shared" ref="AS451" si="1761">+IF($C451&gt;AS$1,AR451+AS456,AR451-AR451)</f>
        <v>0</v>
      </c>
      <c r="AT451" s="33">
        <f t="shared" ref="AT451" si="1762">+IF($C451&gt;AT$1,AS451+AT456,AS451-AS451)</f>
        <v>0</v>
      </c>
      <c r="AU451" s="33">
        <f t="shared" ref="AU451" si="1763">+IF($C451&gt;AU$1,AT451+AU456,AT451-AT451)</f>
        <v>0</v>
      </c>
      <c r="AV451" s="33">
        <f t="shared" ref="AV451" si="1764">+IF($C451&gt;AV$1,AU451+AV456,AU451-AU451)</f>
        <v>0</v>
      </c>
      <c r="AW451" s="33">
        <f t="shared" ref="AW451" si="1765">+IF($C451&gt;AW$1,AV451+AW456,AV451-AV451)</f>
        <v>0</v>
      </c>
      <c r="AX451" s="33">
        <f t="shared" ref="AX451" si="1766">+IF($C451&gt;AX$1,AW451+AX456,AW451-AW451)</f>
        <v>0</v>
      </c>
      <c r="AY451" s="33">
        <f t="shared" ref="AY451" si="1767">+IF($C451&gt;AY$1,AX451+AY456,AX451-AX451)</f>
        <v>0</v>
      </c>
      <c r="AZ451" s="24"/>
      <c r="BA451" s="33"/>
      <c r="BB451" s="33"/>
      <c r="BC451" s="33"/>
      <c r="BD451" s="33"/>
      <c r="BE451" s="33"/>
      <c r="BF451" s="33"/>
      <c r="BG451" s="33"/>
      <c r="BH451" s="33"/>
      <c r="BI451" s="33"/>
      <c r="BJ451" s="33"/>
      <c r="BK451" s="33"/>
      <c r="BL451" s="33"/>
      <c r="BM451" s="33"/>
      <c r="BN451" s="33"/>
    </row>
    <row r="452" spans="1:66">
      <c r="A452" s="22"/>
      <c r="B452" t="s">
        <v>126</v>
      </c>
      <c r="C452" s="17">
        <v>0.06</v>
      </c>
      <c r="D452" s="24"/>
      <c r="E452" s="24"/>
      <c r="F452" s="24"/>
      <c r="G452" s="24"/>
      <c r="H452" s="4"/>
      <c r="I452" s="4"/>
      <c r="J452" s="4"/>
      <c r="K452" s="4"/>
      <c r="L452" s="4"/>
      <c r="M452" s="4"/>
      <c r="N452" s="4"/>
      <c r="O452" s="4"/>
      <c r="P452" s="4"/>
      <c r="Q452" s="4"/>
      <c r="R452" s="4"/>
      <c r="S452" s="4"/>
      <c r="T452" s="4"/>
      <c r="U452" s="4"/>
      <c r="V452" s="4">
        <f>AVERAGE(U451:V451)*($C452/4)</f>
        <v>0</v>
      </c>
      <c r="W452" s="4">
        <f>AVERAGE(V451:W451)*($C452/4)</f>
        <v>0</v>
      </c>
      <c r="X452" s="4">
        <f t="shared" ref="X452:AM452" si="1768">AVERAGE(W451:X451)*($C452/4)</f>
        <v>0</v>
      </c>
      <c r="Y452" s="4">
        <f t="shared" si="1768"/>
        <v>0</v>
      </c>
      <c r="Z452" s="4">
        <f t="shared" si="1768"/>
        <v>0</v>
      </c>
      <c r="AA452" s="4">
        <f t="shared" si="1768"/>
        <v>0</v>
      </c>
      <c r="AB452" s="4">
        <f t="shared" si="1768"/>
        <v>0</v>
      </c>
      <c r="AC452" s="4">
        <f t="shared" si="1768"/>
        <v>0</v>
      </c>
      <c r="AD452" s="4">
        <f t="shared" si="1768"/>
        <v>0</v>
      </c>
      <c r="AE452" s="4">
        <f t="shared" si="1768"/>
        <v>0</v>
      </c>
      <c r="AF452" s="4">
        <f t="shared" si="1768"/>
        <v>0</v>
      </c>
      <c r="AG452" s="4">
        <f t="shared" si="1768"/>
        <v>0</v>
      </c>
      <c r="AH452" s="4">
        <f t="shared" si="1768"/>
        <v>0</v>
      </c>
      <c r="AI452" s="4">
        <f t="shared" si="1768"/>
        <v>0</v>
      </c>
      <c r="AJ452" s="4">
        <f t="shared" si="1768"/>
        <v>0</v>
      </c>
      <c r="AK452" s="4">
        <f t="shared" si="1768"/>
        <v>0</v>
      </c>
      <c r="AL452" s="4">
        <f t="shared" si="1768"/>
        <v>0</v>
      </c>
      <c r="AM452" s="4">
        <f t="shared" si="1768"/>
        <v>0</v>
      </c>
      <c r="AN452" s="4">
        <f t="shared" ref="AN452" si="1769">AVERAGE(AM451:AN451)*($C452/4)</f>
        <v>0</v>
      </c>
      <c r="AO452" s="4">
        <f t="shared" ref="AO452" si="1770">AVERAGE(AN451:AO451)*($C452/4)</f>
        <v>0</v>
      </c>
      <c r="AP452" s="4">
        <f t="shared" ref="AP452" si="1771">AVERAGE(AO451:AP451)*($C452/4)</f>
        <v>0</v>
      </c>
      <c r="AQ452" s="4">
        <f t="shared" ref="AQ452" si="1772">AVERAGE(AP451:AQ451)*($C452/4)</f>
        <v>0</v>
      </c>
      <c r="AR452" s="4">
        <f t="shared" ref="AR452" si="1773">AVERAGE(AQ451:AR451)*($C452/4)</f>
        <v>0</v>
      </c>
      <c r="AS452" s="4">
        <f t="shared" ref="AS452" si="1774">AVERAGE(AR451:AS451)*($C452/4)</f>
        <v>0</v>
      </c>
      <c r="AT452" s="4">
        <f t="shared" ref="AT452" si="1775">AVERAGE(AS451:AT451)*($C452/4)</f>
        <v>0</v>
      </c>
      <c r="AU452" s="4">
        <f t="shared" ref="AU452" si="1776">AVERAGE(AT451:AU451)*($C452/4)</f>
        <v>0</v>
      </c>
      <c r="AV452" s="4">
        <f t="shared" ref="AV452" si="1777">AVERAGE(AU451:AV451)*($C452/4)</f>
        <v>0</v>
      </c>
      <c r="AW452" s="4">
        <f t="shared" ref="AW452" si="1778">AVERAGE(AV451:AW451)*($C452/4)</f>
        <v>0</v>
      </c>
      <c r="AX452" s="4">
        <f t="shared" ref="AX452" si="1779">AVERAGE(AW451:AX451)*($C452/4)</f>
        <v>0</v>
      </c>
      <c r="AY452" s="4">
        <f t="shared" ref="AY452" si="1780">AVERAGE(AX451:AY451)*($C452/4)</f>
        <v>0</v>
      </c>
      <c r="AZ452" s="24"/>
      <c r="BA452" s="4"/>
      <c r="BB452" s="4"/>
      <c r="BC452" s="4"/>
      <c r="BD452" s="4"/>
      <c r="BE452" s="4"/>
      <c r="BF452" s="4"/>
      <c r="BG452" s="4"/>
      <c r="BH452" s="4"/>
      <c r="BI452" s="4"/>
      <c r="BJ452" s="4"/>
      <c r="BK452" s="4"/>
      <c r="BL452" s="4"/>
      <c r="BM452" s="4"/>
      <c r="BN452" s="4"/>
    </row>
    <row r="453" spans="1:66">
      <c r="A453" s="22"/>
      <c r="B453" t="s">
        <v>1</v>
      </c>
      <c r="C453" s="17">
        <v>0.06</v>
      </c>
      <c r="D453" s="24"/>
      <c r="E453" s="24"/>
      <c r="F453" s="24"/>
      <c r="G453" s="24"/>
      <c r="H453" s="4"/>
      <c r="I453" s="4"/>
      <c r="J453" s="4"/>
      <c r="K453" s="4"/>
      <c r="L453" s="4"/>
      <c r="M453" s="4"/>
      <c r="N453" s="4"/>
      <c r="O453" s="4"/>
      <c r="P453" s="4"/>
      <c r="Q453" s="4"/>
      <c r="R453" s="4"/>
      <c r="S453" s="4"/>
      <c r="T453" s="4"/>
      <c r="U453" s="4"/>
      <c r="V453" s="4">
        <f>AVERAGE(U451:V451)*($C453/4)</f>
        <v>0</v>
      </c>
      <c r="W453" s="4">
        <f>AVERAGE(V451:W451)*($C453/4)</f>
        <v>0</v>
      </c>
      <c r="X453" s="4">
        <f t="shared" ref="X453:AM453" si="1781">AVERAGE(W451:X451)*($C453/4)</f>
        <v>0</v>
      </c>
      <c r="Y453" s="4">
        <f t="shared" si="1781"/>
        <v>0</v>
      </c>
      <c r="Z453" s="4">
        <f t="shared" si="1781"/>
        <v>0</v>
      </c>
      <c r="AA453" s="4">
        <f t="shared" si="1781"/>
        <v>0</v>
      </c>
      <c r="AB453" s="4">
        <f t="shared" si="1781"/>
        <v>0</v>
      </c>
      <c r="AC453" s="4">
        <f t="shared" si="1781"/>
        <v>0</v>
      </c>
      <c r="AD453" s="4">
        <f t="shared" si="1781"/>
        <v>0</v>
      </c>
      <c r="AE453" s="4">
        <f t="shared" si="1781"/>
        <v>0</v>
      </c>
      <c r="AF453" s="4">
        <f t="shared" si="1781"/>
        <v>0</v>
      </c>
      <c r="AG453" s="4">
        <f t="shared" si="1781"/>
        <v>0</v>
      </c>
      <c r="AH453" s="4">
        <f t="shared" si="1781"/>
        <v>0</v>
      </c>
      <c r="AI453" s="4">
        <f t="shared" si="1781"/>
        <v>0</v>
      </c>
      <c r="AJ453" s="4">
        <f t="shared" si="1781"/>
        <v>0</v>
      </c>
      <c r="AK453" s="4">
        <f t="shared" si="1781"/>
        <v>0</v>
      </c>
      <c r="AL453" s="4">
        <f t="shared" si="1781"/>
        <v>0</v>
      </c>
      <c r="AM453" s="4">
        <f t="shared" si="1781"/>
        <v>0</v>
      </c>
      <c r="AN453" s="4">
        <f t="shared" ref="AN453" si="1782">AVERAGE(AM451:AN451)*($C453/4)</f>
        <v>0</v>
      </c>
      <c r="AO453" s="4">
        <f t="shared" ref="AO453" si="1783">AVERAGE(AN451:AO451)*($C453/4)</f>
        <v>0</v>
      </c>
      <c r="AP453" s="4">
        <f t="shared" ref="AP453" si="1784">AVERAGE(AO451:AP451)*($C453/4)</f>
        <v>0</v>
      </c>
      <c r="AQ453" s="4">
        <f t="shared" ref="AQ453" si="1785">AVERAGE(AP451:AQ451)*($C453/4)</f>
        <v>0</v>
      </c>
      <c r="AR453" s="4">
        <f t="shared" ref="AR453" si="1786">AVERAGE(AQ451:AR451)*($C453/4)</f>
        <v>0</v>
      </c>
      <c r="AS453" s="4">
        <f t="shared" ref="AS453" si="1787">AVERAGE(AR451:AS451)*($C453/4)</f>
        <v>0</v>
      </c>
      <c r="AT453" s="4">
        <f t="shared" ref="AT453" si="1788">AVERAGE(AS451:AT451)*($C453/4)</f>
        <v>0</v>
      </c>
      <c r="AU453" s="4">
        <f t="shared" ref="AU453" si="1789">AVERAGE(AT451:AU451)*($C453/4)</f>
        <v>0</v>
      </c>
      <c r="AV453" s="4">
        <f t="shared" ref="AV453" si="1790">AVERAGE(AU451:AV451)*($C453/4)</f>
        <v>0</v>
      </c>
      <c r="AW453" s="4">
        <f t="shared" ref="AW453" si="1791">AVERAGE(AV451:AW451)*($C453/4)</f>
        <v>0</v>
      </c>
      <c r="AX453" s="4">
        <f t="shared" ref="AX453" si="1792">AVERAGE(AW451:AX451)*($C453/4)</f>
        <v>0</v>
      </c>
      <c r="AY453" s="4">
        <f t="shared" ref="AY453" si="1793">AVERAGE(AX451:AY451)*($C453/4)</f>
        <v>0</v>
      </c>
      <c r="AZ453" s="24"/>
      <c r="BA453" s="4"/>
      <c r="BB453" s="4"/>
      <c r="BC453" s="4"/>
      <c r="BD453" s="4"/>
      <c r="BE453" s="4"/>
      <c r="BF453" s="4"/>
      <c r="BG453" s="4"/>
      <c r="BH453" s="4"/>
      <c r="BI453" s="4"/>
      <c r="BJ453" s="4"/>
      <c r="BK453" s="4"/>
      <c r="BL453" s="4"/>
      <c r="BM453" s="4"/>
      <c r="BN453" s="4"/>
    </row>
    <row r="454" spans="1:66">
      <c r="A454" s="22"/>
      <c r="B454" t="s">
        <v>127</v>
      </c>
      <c r="C454" s="4"/>
      <c r="D454" s="24"/>
      <c r="E454" s="24"/>
      <c r="F454" s="24"/>
      <c r="G454" s="24"/>
      <c r="H454" s="4"/>
      <c r="I454" s="4"/>
      <c r="J454" s="4"/>
      <c r="K454" s="4"/>
      <c r="L454" s="4"/>
      <c r="M454" s="4"/>
      <c r="N454" s="4"/>
      <c r="O454" s="4"/>
      <c r="P454" s="4"/>
      <c r="Q454" s="4"/>
      <c r="R454" s="4"/>
      <c r="S454" s="4"/>
      <c r="T454" s="4"/>
      <c r="U454" s="4"/>
      <c r="V454" s="4">
        <f>+U457</f>
        <v>0</v>
      </c>
      <c r="W454" s="4">
        <f>+V457</f>
        <v>0</v>
      </c>
      <c r="X454" s="4">
        <f t="shared" ref="X454:AM454" si="1794">+W457</f>
        <v>0</v>
      </c>
      <c r="Y454" s="4">
        <f t="shared" si="1794"/>
        <v>0</v>
      </c>
      <c r="Z454" s="4">
        <f t="shared" si="1794"/>
        <v>0</v>
      </c>
      <c r="AA454" s="4">
        <f t="shared" si="1794"/>
        <v>0</v>
      </c>
      <c r="AB454" s="4">
        <f t="shared" si="1794"/>
        <v>0</v>
      </c>
      <c r="AC454" s="4">
        <f t="shared" si="1794"/>
        <v>0</v>
      </c>
      <c r="AD454" s="4">
        <f t="shared" si="1794"/>
        <v>0</v>
      </c>
      <c r="AE454" s="4">
        <f t="shared" si="1794"/>
        <v>0</v>
      </c>
      <c r="AF454" s="4">
        <f t="shared" si="1794"/>
        <v>0</v>
      </c>
      <c r="AG454" s="4">
        <f t="shared" si="1794"/>
        <v>0</v>
      </c>
      <c r="AH454" s="4">
        <f t="shared" si="1794"/>
        <v>0</v>
      </c>
      <c r="AI454" s="4">
        <f t="shared" si="1794"/>
        <v>0</v>
      </c>
      <c r="AJ454" s="4">
        <f t="shared" si="1794"/>
        <v>0</v>
      </c>
      <c r="AK454" s="4">
        <f t="shared" si="1794"/>
        <v>0</v>
      </c>
      <c r="AL454" s="4">
        <f t="shared" si="1794"/>
        <v>0</v>
      </c>
      <c r="AM454" s="4">
        <f t="shared" si="1794"/>
        <v>0</v>
      </c>
      <c r="AN454" s="4">
        <f t="shared" ref="AN454" si="1795">+AM457</f>
        <v>0</v>
      </c>
      <c r="AO454" s="4">
        <f t="shared" ref="AO454" si="1796">+AN457</f>
        <v>0</v>
      </c>
      <c r="AP454" s="4">
        <f t="shared" ref="AP454" si="1797">+AO457</f>
        <v>0</v>
      </c>
      <c r="AQ454" s="4">
        <f t="shared" ref="AQ454" si="1798">+AP457</f>
        <v>0</v>
      </c>
      <c r="AR454" s="4">
        <f t="shared" ref="AR454" si="1799">+AQ457</f>
        <v>0</v>
      </c>
      <c r="AS454" s="4">
        <f t="shared" ref="AS454" si="1800">+AR457</f>
        <v>0</v>
      </c>
      <c r="AT454" s="4">
        <f t="shared" ref="AT454" si="1801">+AS457</f>
        <v>0</v>
      </c>
      <c r="AU454" s="4">
        <f t="shared" ref="AU454" si="1802">+AT457</f>
        <v>0</v>
      </c>
      <c r="AV454" s="4">
        <f t="shared" ref="AV454" si="1803">+AU457</f>
        <v>0</v>
      </c>
      <c r="AW454" s="4">
        <f t="shared" ref="AW454" si="1804">+AV457</f>
        <v>0</v>
      </c>
      <c r="AX454" s="4">
        <f t="shared" ref="AX454" si="1805">+AW457</f>
        <v>0</v>
      </c>
      <c r="AY454" s="4">
        <f t="shared" ref="AY454" si="1806">+AX457</f>
        <v>0</v>
      </c>
      <c r="AZ454" s="24"/>
      <c r="BA454" s="4"/>
      <c r="BB454" s="4"/>
      <c r="BC454" s="4"/>
      <c r="BD454" s="4"/>
      <c r="BE454" s="4"/>
      <c r="BF454" s="4"/>
      <c r="BG454" s="4"/>
      <c r="BH454" s="4"/>
      <c r="BI454" s="4"/>
      <c r="BJ454" s="4"/>
      <c r="BK454" s="4"/>
      <c r="BL454" s="4"/>
      <c r="BM454" s="4"/>
      <c r="BN454" s="4"/>
    </row>
    <row r="455" spans="1:66">
      <c r="A455" s="22"/>
      <c r="B455" t="s">
        <v>128</v>
      </c>
      <c r="C455" s="4"/>
      <c r="D455" s="24"/>
      <c r="E455" s="24"/>
      <c r="F455" s="24"/>
      <c r="G455" s="24"/>
      <c r="H455" s="4"/>
      <c r="I455" s="4"/>
      <c r="J455" s="4"/>
      <c r="K455" s="4"/>
      <c r="L455" s="4"/>
      <c r="M455" s="4"/>
      <c r="N455" s="292"/>
      <c r="O455" s="292"/>
      <c r="P455" s="292"/>
      <c r="Q455" s="292"/>
      <c r="R455" s="292"/>
      <c r="S455" s="292"/>
      <c r="T455" s="292"/>
      <c r="U455" s="292"/>
      <c r="V455" s="4">
        <f>+V453-V452</f>
        <v>0</v>
      </c>
      <c r="W455" s="4">
        <f>+W453-W452</f>
        <v>0</v>
      </c>
      <c r="X455" s="4">
        <f t="shared" ref="X455:AM455" si="1807">+X453-X452</f>
        <v>0</v>
      </c>
      <c r="Y455" s="4">
        <f t="shared" si="1807"/>
        <v>0</v>
      </c>
      <c r="Z455" s="4">
        <f t="shared" si="1807"/>
        <v>0</v>
      </c>
      <c r="AA455" s="4">
        <f t="shared" si="1807"/>
        <v>0</v>
      </c>
      <c r="AB455" s="4">
        <f t="shared" si="1807"/>
        <v>0</v>
      </c>
      <c r="AC455" s="4">
        <f t="shared" si="1807"/>
        <v>0</v>
      </c>
      <c r="AD455" s="4">
        <f t="shared" si="1807"/>
        <v>0</v>
      </c>
      <c r="AE455" s="4">
        <f t="shared" si="1807"/>
        <v>0</v>
      </c>
      <c r="AF455" s="4">
        <f t="shared" si="1807"/>
        <v>0</v>
      </c>
      <c r="AG455" s="4">
        <f t="shared" si="1807"/>
        <v>0</v>
      </c>
      <c r="AH455" s="4">
        <f t="shared" si="1807"/>
        <v>0</v>
      </c>
      <c r="AI455" s="4">
        <f t="shared" si="1807"/>
        <v>0</v>
      </c>
      <c r="AJ455" s="4">
        <f t="shared" si="1807"/>
        <v>0</v>
      </c>
      <c r="AK455" s="4">
        <f t="shared" si="1807"/>
        <v>0</v>
      </c>
      <c r="AL455" s="4">
        <f t="shared" si="1807"/>
        <v>0</v>
      </c>
      <c r="AM455" s="4">
        <f t="shared" si="1807"/>
        <v>0</v>
      </c>
      <c r="AN455" s="4">
        <f t="shared" ref="AN455:AY455" si="1808">+AN453-AN452</f>
        <v>0</v>
      </c>
      <c r="AO455" s="4">
        <f t="shared" si="1808"/>
        <v>0</v>
      </c>
      <c r="AP455" s="4">
        <f t="shared" si="1808"/>
        <v>0</v>
      </c>
      <c r="AQ455" s="4">
        <f t="shared" si="1808"/>
        <v>0</v>
      </c>
      <c r="AR455" s="4">
        <f t="shared" si="1808"/>
        <v>0</v>
      </c>
      <c r="AS455" s="4">
        <f t="shared" si="1808"/>
        <v>0</v>
      </c>
      <c r="AT455" s="4">
        <f t="shared" si="1808"/>
        <v>0</v>
      </c>
      <c r="AU455" s="4">
        <f t="shared" si="1808"/>
        <v>0</v>
      </c>
      <c r="AV455" s="4">
        <f t="shared" si="1808"/>
        <v>0</v>
      </c>
      <c r="AW455" s="4">
        <f t="shared" si="1808"/>
        <v>0</v>
      </c>
      <c r="AX455" s="4">
        <f t="shared" si="1808"/>
        <v>0</v>
      </c>
      <c r="AY455" s="4">
        <f t="shared" si="1808"/>
        <v>0</v>
      </c>
      <c r="AZ455" s="24"/>
      <c r="BA455" s="4"/>
      <c r="BB455" s="4"/>
      <c r="BC455" s="4"/>
      <c r="BD455" s="4"/>
      <c r="BE455" s="4"/>
      <c r="BF455" s="4"/>
      <c r="BG455" s="4"/>
      <c r="BH455" s="4"/>
      <c r="BI455" s="4"/>
      <c r="BJ455" s="4"/>
      <c r="BK455" s="4"/>
      <c r="BL455" s="4"/>
      <c r="BM455" s="4"/>
      <c r="BN455" s="4"/>
    </row>
    <row r="456" spans="1:66">
      <c r="A456" s="22"/>
      <c r="B456" t="s">
        <v>129</v>
      </c>
      <c r="C456" s="4"/>
      <c r="D456" s="24"/>
      <c r="E456" s="24"/>
      <c r="F456" s="24"/>
      <c r="G456" s="24"/>
      <c r="H456" s="4"/>
      <c r="M456" s="4"/>
      <c r="N456" s="4"/>
      <c r="O456" s="4"/>
      <c r="P456" s="4"/>
      <c r="Q456" s="4"/>
      <c r="R456" s="4"/>
      <c r="S456" s="4"/>
      <c r="T456" s="4"/>
      <c r="U456" s="4"/>
      <c r="V456" s="7">
        <v>0</v>
      </c>
      <c r="W456" s="7">
        <v>0</v>
      </c>
      <c r="X456" s="4">
        <f t="shared" ref="X456:AM456" si="1809">+IF($C451&lt;X$1,-(X454+X455),0)</f>
        <v>0</v>
      </c>
      <c r="Y456" s="4">
        <f t="shared" si="1809"/>
        <v>0</v>
      </c>
      <c r="Z456" s="4">
        <f t="shared" si="1809"/>
        <v>0</v>
      </c>
      <c r="AA456" s="4">
        <f t="shared" si="1809"/>
        <v>0</v>
      </c>
      <c r="AB456" s="4">
        <f t="shared" si="1809"/>
        <v>0</v>
      </c>
      <c r="AC456" s="4">
        <f t="shared" si="1809"/>
        <v>0</v>
      </c>
      <c r="AD456" s="4">
        <f t="shared" si="1809"/>
        <v>0</v>
      </c>
      <c r="AE456" s="4">
        <f t="shared" si="1809"/>
        <v>0</v>
      </c>
      <c r="AF456" s="4">
        <f t="shared" si="1809"/>
        <v>0</v>
      </c>
      <c r="AG456" s="4">
        <f t="shared" si="1809"/>
        <v>0</v>
      </c>
      <c r="AH456" s="4">
        <f t="shared" si="1809"/>
        <v>0</v>
      </c>
      <c r="AI456" s="4">
        <f t="shared" si="1809"/>
        <v>0</v>
      </c>
      <c r="AJ456" s="4">
        <f t="shared" si="1809"/>
        <v>0</v>
      </c>
      <c r="AK456" s="4">
        <f t="shared" si="1809"/>
        <v>0</v>
      </c>
      <c r="AL456" s="4">
        <f t="shared" si="1809"/>
        <v>0</v>
      </c>
      <c r="AM456" s="4">
        <f t="shared" si="1809"/>
        <v>0</v>
      </c>
      <c r="AN456" s="4">
        <f t="shared" ref="AN456:AY456" si="1810">+IF($C451&lt;AN$1,-(AN454+AN455),0)</f>
        <v>0</v>
      </c>
      <c r="AO456" s="4">
        <f t="shared" si="1810"/>
        <v>0</v>
      </c>
      <c r="AP456" s="4">
        <f t="shared" si="1810"/>
        <v>0</v>
      </c>
      <c r="AQ456" s="4">
        <f t="shared" si="1810"/>
        <v>0</v>
      </c>
      <c r="AR456" s="4">
        <f t="shared" si="1810"/>
        <v>0</v>
      </c>
      <c r="AS456" s="4">
        <f t="shared" si="1810"/>
        <v>0</v>
      </c>
      <c r="AT456" s="4">
        <f t="shared" si="1810"/>
        <v>0</v>
      </c>
      <c r="AU456" s="4">
        <f t="shared" si="1810"/>
        <v>0</v>
      </c>
      <c r="AV456" s="4">
        <f t="shared" si="1810"/>
        <v>0</v>
      </c>
      <c r="AW456" s="4">
        <f t="shared" si="1810"/>
        <v>0</v>
      </c>
      <c r="AX456" s="4">
        <f t="shared" si="1810"/>
        <v>0</v>
      </c>
      <c r="AY456" s="4">
        <f t="shared" si="1810"/>
        <v>0</v>
      </c>
      <c r="AZ456" s="24"/>
      <c r="BA456" s="4"/>
      <c r="BB456" s="4"/>
      <c r="BC456" s="4"/>
      <c r="BD456" s="4"/>
      <c r="BE456" s="4"/>
      <c r="BF456" s="4"/>
      <c r="BG456" s="4"/>
      <c r="BH456" s="4"/>
      <c r="BI456" s="4"/>
      <c r="BJ456" s="4"/>
      <c r="BK456" s="4"/>
      <c r="BL456" s="4"/>
      <c r="BM456" s="4"/>
      <c r="BN456" s="4"/>
    </row>
    <row r="457" spans="1:66">
      <c r="A457" s="22"/>
      <c r="B457" t="s">
        <v>130</v>
      </c>
      <c r="C457" s="4"/>
      <c r="D457" s="28"/>
      <c r="E457" s="28"/>
      <c r="F457" s="28"/>
      <c r="G457" s="28"/>
      <c r="H457" s="4"/>
      <c r="I457" s="7"/>
      <c r="J457" s="4"/>
      <c r="K457" s="4"/>
      <c r="L457" s="4"/>
      <c r="M457" s="7"/>
      <c r="N457" s="4"/>
      <c r="O457" s="4"/>
      <c r="P457" s="4"/>
      <c r="Q457" s="4"/>
      <c r="R457" s="4"/>
      <c r="S457" s="4"/>
      <c r="T457" s="4"/>
      <c r="U457" s="4"/>
      <c r="V457" s="4">
        <f>+SUM(V454:V456)</f>
        <v>0</v>
      </c>
      <c r="W457" s="4">
        <f>+SUM(W454:W456)</f>
        <v>0</v>
      </c>
      <c r="X457" s="4">
        <f t="shared" ref="X457:AM457" si="1811">+SUM(X454:X456)</f>
        <v>0</v>
      </c>
      <c r="Y457" s="4">
        <f t="shared" si="1811"/>
        <v>0</v>
      </c>
      <c r="Z457" s="4">
        <f t="shared" si="1811"/>
        <v>0</v>
      </c>
      <c r="AA457" s="4">
        <f t="shared" si="1811"/>
        <v>0</v>
      </c>
      <c r="AB457" s="4">
        <f t="shared" si="1811"/>
        <v>0</v>
      </c>
      <c r="AC457" s="4">
        <f t="shared" si="1811"/>
        <v>0</v>
      </c>
      <c r="AD457" s="4">
        <f t="shared" si="1811"/>
        <v>0</v>
      </c>
      <c r="AE457" s="4">
        <f t="shared" si="1811"/>
        <v>0</v>
      </c>
      <c r="AF457" s="4">
        <f t="shared" si="1811"/>
        <v>0</v>
      </c>
      <c r="AG457" s="4">
        <f t="shared" si="1811"/>
        <v>0</v>
      </c>
      <c r="AH457" s="4">
        <f t="shared" si="1811"/>
        <v>0</v>
      </c>
      <c r="AI457" s="4">
        <f t="shared" si="1811"/>
        <v>0</v>
      </c>
      <c r="AJ457" s="4">
        <f t="shared" si="1811"/>
        <v>0</v>
      </c>
      <c r="AK457" s="4">
        <f t="shared" si="1811"/>
        <v>0</v>
      </c>
      <c r="AL457" s="4">
        <f t="shared" si="1811"/>
        <v>0</v>
      </c>
      <c r="AM457" s="4">
        <f t="shared" si="1811"/>
        <v>0</v>
      </c>
      <c r="AN457" s="4">
        <f t="shared" ref="AN457:AY457" si="1812">+SUM(AN454:AN456)</f>
        <v>0</v>
      </c>
      <c r="AO457" s="4">
        <f t="shared" si="1812"/>
        <v>0</v>
      </c>
      <c r="AP457" s="4">
        <f t="shared" si="1812"/>
        <v>0</v>
      </c>
      <c r="AQ457" s="4">
        <f t="shared" si="1812"/>
        <v>0</v>
      </c>
      <c r="AR457" s="4">
        <f t="shared" si="1812"/>
        <v>0</v>
      </c>
      <c r="AS457" s="4">
        <f t="shared" si="1812"/>
        <v>0</v>
      </c>
      <c r="AT457" s="4">
        <f t="shared" si="1812"/>
        <v>0</v>
      </c>
      <c r="AU457" s="4">
        <f t="shared" si="1812"/>
        <v>0</v>
      </c>
      <c r="AV457" s="4">
        <f t="shared" si="1812"/>
        <v>0</v>
      </c>
      <c r="AW457" s="4">
        <f t="shared" si="1812"/>
        <v>0</v>
      </c>
      <c r="AX457" s="4">
        <f t="shared" si="1812"/>
        <v>0</v>
      </c>
      <c r="AY457" s="4">
        <f t="shared" si="1812"/>
        <v>0</v>
      </c>
      <c r="AZ457" s="24"/>
      <c r="BA457" s="4"/>
      <c r="BB457" s="4"/>
      <c r="BC457" s="4"/>
      <c r="BD457" s="4"/>
      <c r="BE457" s="4"/>
      <c r="BF457" s="4"/>
      <c r="BG457" s="4"/>
      <c r="BH457" s="4"/>
      <c r="BI457" s="4"/>
      <c r="BJ457" s="4"/>
      <c r="BK457" s="4"/>
      <c r="BL457" s="4"/>
      <c r="BM457" s="4"/>
      <c r="BN457" s="4"/>
    </row>
    <row r="458" spans="1:66">
      <c r="A458" s="22"/>
      <c r="C458" s="4"/>
      <c r="D458" s="24"/>
      <c r="E458" s="24"/>
      <c r="F458" s="24"/>
      <c r="G458" s="2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24"/>
      <c r="BA458" s="4"/>
      <c r="BB458" s="4"/>
      <c r="BC458" s="4"/>
      <c r="BD458" s="4"/>
      <c r="BE458" s="4"/>
      <c r="BF458" s="4"/>
      <c r="BG458" s="4"/>
      <c r="BH458" s="4"/>
      <c r="BI458" s="4"/>
      <c r="BJ458" s="4"/>
      <c r="BK458" s="4"/>
      <c r="BL458" s="4"/>
      <c r="BM458" s="4"/>
      <c r="BN458" s="4"/>
    </row>
    <row r="459" spans="1:66" hidden="1" outlineLevel="1">
      <c r="A459" s="357"/>
      <c r="B459" s="32" t="s">
        <v>136</v>
      </c>
      <c r="C459" s="37">
        <v>43983</v>
      </c>
      <c r="D459" s="34"/>
      <c r="E459" s="34"/>
      <c r="F459" s="34"/>
      <c r="G459" s="34"/>
      <c r="H459" s="33"/>
      <c r="I459" s="34">
        <v>19.902835</v>
      </c>
      <c r="J459" s="33">
        <f t="shared" ref="J459:W459" si="1813">+IF($C459&gt;J$1,I459+J464,I459-I459)</f>
        <v>19.376000000000001</v>
      </c>
      <c r="K459" s="33">
        <f t="shared" si="1813"/>
        <v>18.838999999999999</v>
      </c>
      <c r="L459" s="33">
        <f t="shared" si="1813"/>
        <v>18.293999999999997</v>
      </c>
      <c r="M459" s="33">
        <f t="shared" si="1813"/>
        <v>17.739000000000004</v>
      </c>
      <c r="N459" s="33">
        <f t="shared" si="1813"/>
        <v>17.174999999999997</v>
      </c>
      <c r="O459" s="33">
        <f t="shared" si="1813"/>
        <v>16.599999999999994</v>
      </c>
      <c r="P459" s="33">
        <f t="shared" si="1813"/>
        <v>16.016000000000005</v>
      </c>
      <c r="Q459" s="33">
        <f t="shared" si="1813"/>
        <v>0</v>
      </c>
      <c r="R459" s="33">
        <f t="shared" si="1813"/>
        <v>0</v>
      </c>
      <c r="S459" s="33">
        <f t="shared" si="1813"/>
        <v>0</v>
      </c>
      <c r="T459" s="33">
        <f t="shared" si="1813"/>
        <v>0</v>
      </c>
      <c r="U459" s="33">
        <f t="shared" si="1813"/>
        <v>0</v>
      </c>
      <c r="V459" s="33">
        <f t="shared" si="1813"/>
        <v>0</v>
      </c>
      <c r="W459" s="33">
        <f t="shared" si="1813"/>
        <v>0</v>
      </c>
      <c r="X459" s="33">
        <f t="shared" ref="X459:AM459" si="1814">+IF($C459&gt;X$1,W459+X464,W459-W459)</f>
        <v>0</v>
      </c>
      <c r="Y459" s="33">
        <f t="shared" si="1814"/>
        <v>0</v>
      </c>
      <c r="Z459" s="33">
        <f t="shared" si="1814"/>
        <v>0</v>
      </c>
      <c r="AA459" s="33">
        <f t="shared" si="1814"/>
        <v>0</v>
      </c>
      <c r="AB459" s="33">
        <f t="shared" si="1814"/>
        <v>0</v>
      </c>
      <c r="AC459" s="33">
        <f t="shared" si="1814"/>
        <v>0</v>
      </c>
      <c r="AD459" s="33">
        <f t="shared" si="1814"/>
        <v>0</v>
      </c>
      <c r="AE459" s="33">
        <f t="shared" si="1814"/>
        <v>0</v>
      </c>
      <c r="AF459" s="33">
        <f t="shared" si="1814"/>
        <v>0</v>
      </c>
      <c r="AG459" s="33">
        <f t="shared" si="1814"/>
        <v>0</v>
      </c>
      <c r="AH459" s="33">
        <f t="shared" si="1814"/>
        <v>0</v>
      </c>
      <c r="AI459" s="33">
        <f t="shared" si="1814"/>
        <v>0</v>
      </c>
      <c r="AJ459" s="33">
        <f t="shared" si="1814"/>
        <v>0</v>
      </c>
      <c r="AK459" s="33">
        <f t="shared" si="1814"/>
        <v>0</v>
      </c>
      <c r="AL459" s="33">
        <f t="shared" si="1814"/>
        <v>0</v>
      </c>
      <c r="AM459" s="33">
        <f t="shared" si="1814"/>
        <v>0</v>
      </c>
      <c r="AN459" s="33">
        <f t="shared" ref="AN459" si="1815">+IF($C459&gt;AN$1,AM459+AN464,AM459-AM459)</f>
        <v>0</v>
      </c>
      <c r="AO459" s="33">
        <f t="shared" ref="AO459" si="1816">+IF($C459&gt;AO$1,AN459+AO464,AN459-AN459)</f>
        <v>0</v>
      </c>
      <c r="AP459" s="33">
        <f t="shared" ref="AP459" si="1817">+IF($C459&gt;AP$1,AO459+AP464,AO459-AO459)</f>
        <v>0</v>
      </c>
      <c r="AQ459" s="33">
        <f t="shared" ref="AQ459" si="1818">+IF($C459&gt;AQ$1,AP459+AQ464,AP459-AP459)</f>
        <v>0</v>
      </c>
      <c r="AR459" s="33">
        <f t="shared" ref="AR459" si="1819">+IF($C459&gt;AR$1,AQ459+AR464,AQ459-AQ459)</f>
        <v>0</v>
      </c>
      <c r="AS459" s="33">
        <f t="shared" ref="AS459" si="1820">+IF($C459&gt;AS$1,AR459+AS464,AR459-AR459)</f>
        <v>0</v>
      </c>
      <c r="AT459" s="33">
        <f t="shared" ref="AT459" si="1821">+IF($C459&gt;AT$1,AS459+AT464,AS459-AS459)</f>
        <v>0</v>
      </c>
      <c r="AU459" s="33">
        <f t="shared" ref="AU459" si="1822">+IF($C459&gt;AU$1,AT459+AU464,AT459-AT459)</f>
        <v>0</v>
      </c>
      <c r="AV459" s="33">
        <f t="shared" ref="AV459" si="1823">+IF($C459&gt;AV$1,AU459+AV464,AU459-AU459)</f>
        <v>0</v>
      </c>
      <c r="AW459" s="33">
        <f t="shared" ref="AW459" si="1824">+IF($C459&gt;AW$1,AV459+AW464,AV459-AV459)</f>
        <v>0</v>
      </c>
      <c r="AX459" s="33">
        <f t="shared" ref="AX459" si="1825">+IF($C459&gt;AX$1,AW459+AX464,AW459-AW459)</f>
        <v>0</v>
      </c>
      <c r="AY459" s="33">
        <f t="shared" ref="AY459" si="1826">+IF($C459&gt;AY$1,AX459+AY464,AX459-AX459)</f>
        <v>0</v>
      </c>
      <c r="AZ459" s="24"/>
      <c r="BA459" s="33"/>
      <c r="BB459" s="33"/>
      <c r="BC459" s="33"/>
      <c r="BD459" s="33"/>
      <c r="BE459" s="33"/>
      <c r="BF459" s="33"/>
      <c r="BG459" s="33"/>
      <c r="BH459" s="33"/>
      <c r="BI459" s="33"/>
      <c r="BJ459" s="33"/>
      <c r="BK459" s="33"/>
      <c r="BL459" s="33"/>
      <c r="BM459" s="33"/>
      <c r="BN459" s="33"/>
    </row>
    <row r="460" spans="1:66" hidden="1" outlineLevel="1">
      <c r="A460" s="357"/>
      <c r="B460" t="s">
        <v>126</v>
      </c>
      <c r="C460" s="17">
        <v>6.8500000000000005E-2</v>
      </c>
      <c r="D460" s="24"/>
      <c r="E460" s="24"/>
      <c r="F460" s="24"/>
      <c r="G460" s="24"/>
      <c r="H460" s="4"/>
      <c r="I460" s="4"/>
      <c r="J460" s="4">
        <f t="shared" ref="J460:W460" si="1827">AVERAGE(I459:J459)*($C460/4)</f>
        <v>0.33632502468750003</v>
      </c>
      <c r="K460" s="4">
        <f t="shared" si="1827"/>
        <v>0.32721593750000005</v>
      </c>
      <c r="L460" s="4">
        <f t="shared" si="1827"/>
        <v>0.31795131249999997</v>
      </c>
      <c r="M460" s="4">
        <f t="shared" si="1827"/>
        <v>0.30853256250000005</v>
      </c>
      <c r="N460" s="4">
        <f t="shared" si="1827"/>
        <v>0.29895112500000004</v>
      </c>
      <c r="O460" s="4">
        <f t="shared" si="1827"/>
        <v>0.28919843749999996</v>
      </c>
      <c r="P460" s="4">
        <f t="shared" si="1827"/>
        <v>0.27927450000000004</v>
      </c>
      <c r="Q460" s="4">
        <f t="shared" si="1827"/>
        <v>0.13713700000000006</v>
      </c>
      <c r="R460" s="4">
        <f t="shared" si="1827"/>
        <v>0</v>
      </c>
      <c r="S460" s="4">
        <f t="shared" si="1827"/>
        <v>0</v>
      </c>
      <c r="T460" s="4">
        <f t="shared" si="1827"/>
        <v>0</v>
      </c>
      <c r="U460" s="4">
        <f t="shared" si="1827"/>
        <v>0</v>
      </c>
      <c r="V460" s="4">
        <f t="shared" si="1827"/>
        <v>0</v>
      </c>
      <c r="W460" s="4">
        <f t="shared" si="1827"/>
        <v>0</v>
      </c>
      <c r="X460" s="4">
        <f t="shared" ref="X460:AM460" si="1828">AVERAGE(W459:X459)*($C460/4)</f>
        <v>0</v>
      </c>
      <c r="Y460" s="4">
        <f t="shared" si="1828"/>
        <v>0</v>
      </c>
      <c r="Z460" s="4">
        <f t="shared" si="1828"/>
        <v>0</v>
      </c>
      <c r="AA460" s="4">
        <f t="shared" si="1828"/>
        <v>0</v>
      </c>
      <c r="AB460" s="4">
        <f t="shared" si="1828"/>
        <v>0</v>
      </c>
      <c r="AC460" s="4">
        <f t="shared" si="1828"/>
        <v>0</v>
      </c>
      <c r="AD460" s="4">
        <f t="shared" si="1828"/>
        <v>0</v>
      </c>
      <c r="AE460" s="4">
        <f t="shared" si="1828"/>
        <v>0</v>
      </c>
      <c r="AF460" s="4">
        <f t="shared" si="1828"/>
        <v>0</v>
      </c>
      <c r="AG460" s="4">
        <f t="shared" si="1828"/>
        <v>0</v>
      </c>
      <c r="AH460" s="4">
        <f t="shared" si="1828"/>
        <v>0</v>
      </c>
      <c r="AI460" s="4">
        <f t="shared" si="1828"/>
        <v>0</v>
      </c>
      <c r="AJ460" s="4">
        <f t="shared" si="1828"/>
        <v>0</v>
      </c>
      <c r="AK460" s="4">
        <f t="shared" si="1828"/>
        <v>0</v>
      </c>
      <c r="AL460" s="4">
        <f t="shared" si="1828"/>
        <v>0</v>
      </c>
      <c r="AM460" s="4">
        <f t="shared" si="1828"/>
        <v>0</v>
      </c>
      <c r="AN460" s="4">
        <f t="shared" ref="AN460" si="1829">AVERAGE(AM459:AN459)*($C460/4)</f>
        <v>0</v>
      </c>
      <c r="AO460" s="4">
        <f t="shared" ref="AO460" si="1830">AVERAGE(AN459:AO459)*($C460/4)</f>
        <v>0</v>
      </c>
      <c r="AP460" s="4">
        <f t="shared" ref="AP460" si="1831">AVERAGE(AO459:AP459)*($C460/4)</f>
        <v>0</v>
      </c>
      <c r="AQ460" s="4">
        <f t="shared" ref="AQ460" si="1832">AVERAGE(AP459:AQ459)*($C460/4)</f>
        <v>0</v>
      </c>
      <c r="AR460" s="4">
        <f t="shared" ref="AR460" si="1833">AVERAGE(AQ459:AR459)*($C460/4)</f>
        <v>0</v>
      </c>
      <c r="AS460" s="4">
        <f t="shared" ref="AS460" si="1834">AVERAGE(AR459:AS459)*($C460/4)</f>
        <v>0</v>
      </c>
      <c r="AT460" s="4">
        <f t="shared" ref="AT460" si="1835">AVERAGE(AS459:AT459)*($C460/4)</f>
        <v>0</v>
      </c>
      <c r="AU460" s="4">
        <f t="shared" ref="AU460" si="1836">AVERAGE(AT459:AU459)*($C460/4)</f>
        <v>0</v>
      </c>
      <c r="AV460" s="4">
        <f t="shared" ref="AV460" si="1837">AVERAGE(AU459:AV459)*($C460/4)</f>
        <v>0</v>
      </c>
      <c r="AW460" s="4">
        <f t="shared" ref="AW460" si="1838">AVERAGE(AV459:AW459)*($C460/4)</f>
        <v>0</v>
      </c>
      <c r="AX460" s="4">
        <f t="shared" ref="AX460" si="1839">AVERAGE(AW459:AX459)*($C460/4)</f>
        <v>0</v>
      </c>
      <c r="AY460" s="4">
        <f t="shared" ref="AY460" si="1840">AVERAGE(AX459:AY459)*($C460/4)</f>
        <v>0</v>
      </c>
      <c r="AZ460" s="24"/>
      <c r="BA460" s="4"/>
      <c r="BB460" s="4"/>
      <c r="BC460" s="4"/>
      <c r="BD460" s="4"/>
      <c r="BE460" s="4"/>
      <c r="BF460" s="4"/>
      <c r="BG460" s="4"/>
      <c r="BH460" s="4"/>
      <c r="BI460" s="4"/>
      <c r="BJ460" s="4"/>
      <c r="BK460" s="4"/>
      <c r="BL460" s="4"/>
      <c r="BM460" s="4"/>
      <c r="BN460" s="4"/>
    </row>
    <row r="461" spans="1:66" hidden="1" outlineLevel="1">
      <c r="A461" s="357"/>
      <c r="B461" t="s">
        <v>1</v>
      </c>
      <c r="C461" s="17">
        <v>6.8500000000000005E-2</v>
      </c>
      <c r="D461" s="24"/>
      <c r="E461" s="24"/>
      <c r="F461" s="24"/>
      <c r="G461" s="24"/>
      <c r="H461" s="4"/>
      <c r="I461" s="4"/>
      <c r="J461" s="4">
        <f t="shared" ref="J461:W461" si="1841">AVERAGE(I459:J459)*($C461/4)</f>
        <v>0.33632502468750003</v>
      </c>
      <c r="K461" s="4">
        <f t="shared" si="1841"/>
        <v>0.32721593750000005</v>
      </c>
      <c r="L461" s="4">
        <f t="shared" si="1841"/>
        <v>0.31795131249999997</v>
      </c>
      <c r="M461" s="4">
        <f t="shared" si="1841"/>
        <v>0.30853256250000005</v>
      </c>
      <c r="N461" s="4">
        <f t="shared" si="1841"/>
        <v>0.29895112500000004</v>
      </c>
      <c r="O461" s="4">
        <f t="shared" si="1841"/>
        <v>0.28919843749999996</v>
      </c>
      <c r="P461" s="4">
        <f t="shared" si="1841"/>
        <v>0.27927450000000004</v>
      </c>
      <c r="Q461" s="4">
        <f t="shared" si="1841"/>
        <v>0.13713700000000006</v>
      </c>
      <c r="R461" s="4">
        <f t="shared" si="1841"/>
        <v>0</v>
      </c>
      <c r="S461" s="4">
        <f t="shared" si="1841"/>
        <v>0</v>
      </c>
      <c r="T461" s="4">
        <f t="shared" si="1841"/>
        <v>0</v>
      </c>
      <c r="U461" s="4">
        <f t="shared" si="1841"/>
        <v>0</v>
      </c>
      <c r="V461" s="4">
        <f t="shared" si="1841"/>
        <v>0</v>
      </c>
      <c r="W461" s="4">
        <f t="shared" si="1841"/>
        <v>0</v>
      </c>
      <c r="X461" s="4">
        <f t="shared" ref="X461:AM461" si="1842">AVERAGE(W459:X459)*($C461/4)</f>
        <v>0</v>
      </c>
      <c r="Y461" s="4">
        <f t="shared" si="1842"/>
        <v>0</v>
      </c>
      <c r="Z461" s="4">
        <f t="shared" si="1842"/>
        <v>0</v>
      </c>
      <c r="AA461" s="4">
        <f t="shared" si="1842"/>
        <v>0</v>
      </c>
      <c r="AB461" s="4">
        <f t="shared" si="1842"/>
        <v>0</v>
      </c>
      <c r="AC461" s="4">
        <f t="shared" si="1842"/>
        <v>0</v>
      </c>
      <c r="AD461" s="4">
        <f t="shared" si="1842"/>
        <v>0</v>
      </c>
      <c r="AE461" s="4">
        <f t="shared" si="1842"/>
        <v>0</v>
      </c>
      <c r="AF461" s="4">
        <f t="shared" si="1842"/>
        <v>0</v>
      </c>
      <c r="AG461" s="4">
        <f t="shared" si="1842"/>
        <v>0</v>
      </c>
      <c r="AH461" s="4">
        <f t="shared" si="1842"/>
        <v>0</v>
      </c>
      <c r="AI461" s="4">
        <f t="shared" si="1842"/>
        <v>0</v>
      </c>
      <c r="AJ461" s="4">
        <f t="shared" si="1842"/>
        <v>0</v>
      </c>
      <c r="AK461" s="4">
        <f t="shared" si="1842"/>
        <v>0</v>
      </c>
      <c r="AL461" s="4">
        <f t="shared" si="1842"/>
        <v>0</v>
      </c>
      <c r="AM461" s="4">
        <f t="shared" si="1842"/>
        <v>0</v>
      </c>
      <c r="AN461" s="4">
        <f t="shared" ref="AN461" si="1843">AVERAGE(AM459:AN459)*($C461/4)</f>
        <v>0</v>
      </c>
      <c r="AO461" s="4">
        <f t="shared" ref="AO461" si="1844">AVERAGE(AN459:AO459)*($C461/4)</f>
        <v>0</v>
      </c>
      <c r="AP461" s="4">
        <f t="shared" ref="AP461" si="1845">AVERAGE(AO459:AP459)*($C461/4)</f>
        <v>0</v>
      </c>
      <c r="AQ461" s="4">
        <f t="shared" ref="AQ461" si="1846">AVERAGE(AP459:AQ459)*($C461/4)</f>
        <v>0</v>
      </c>
      <c r="AR461" s="4">
        <f t="shared" ref="AR461" si="1847">AVERAGE(AQ459:AR459)*($C461/4)</f>
        <v>0</v>
      </c>
      <c r="AS461" s="4">
        <f t="shared" ref="AS461" si="1848">AVERAGE(AR459:AS459)*($C461/4)</f>
        <v>0</v>
      </c>
      <c r="AT461" s="4">
        <f t="shared" ref="AT461" si="1849">AVERAGE(AS459:AT459)*($C461/4)</f>
        <v>0</v>
      </c>
      <c r="AU461" s="4">
        <f t="shared" ref="AU461" si="1850">AVERAGE(AT459:AU459)*($C461/4)</f>
        <v>0</v>
      </c>
      <c r="AV461" s="4">
        <f t="shared" ref="AV461" si="1851">AVERAGE(AU459:AV459)*($C461/4)</f>
        <v>0</v>
      </c>
      <c r="AW461" s="4">
        <f t="shared" ref="AW461" si="1852">AVERAGE(AV459:AW459)*($C461/4)</f>
        <v>0</v>
      </c>
      <c r="AX461" s="4">
        <f t="shared" ref="AX461" si="1853">AVERAGE(AW459:AX459)*($C461/4)</f>
        <v>0</v>
      </c>
      <c r="AY461" s="4">
        <f t="shared" ref="AY461" si="1854">AVERAGE(AX459:AY459)*($C461/4)</f>
        <v>0</v>
      </c>
      <c r="AZ461" s="24"/>
      <c r="BA461" s="4"/>
      <c r="BB461" s="4"/>
      <c r="BC461" s="4"/>
      <c r="BD461" s="4"/>
      <c r="BE461" s="4"/>
      <c r="BF461" s="4"/>
      <c r="BG461" s="4"/>
      <c r="BH461" s="4"/>
      <c r="BI461" s="4"/>
      <c r="BJ461" s="4"/>
      <c r="BK461" s="4"/>
      <c r="BL461" s="4"/>
      <c r="BM461" s="4"/>
      <c r="BN461" s="4"/>
    </row>
    <row r="462" spans="1:66" hidden="1" outlineLevel="1">
      <c r="A462" s="357"/>
      <c r="B462" t="s">
        <v>127</v>
      </c>
      <c r="C462" s="4"/>
      <c r="D462" s="24"/>
      <c r="E462" s="24"/>
      <c r="F462" s="24"/>
      <c r="G462" s="24"/>
      <c r="H462" s="4"/>
      <c r="I462" s="4"/>
      <c r="J462" s="4">
        <f t="shared" ref="J462:W462" si="1855">+I465</f>
        <v>19.902835</v>
      </c>
      <c r="K462" s="4">
        <f t="shared" si="1855"/>
        <v>19.376000000000001</v>
      </c>
      <c r="L462" s="4">
        <f t="shared" si="1855"/>
        <v>18.838999999999999</v>
      </c>
      <c r="M462" s="4">
        <f t="shared" si="1855"/>
        <v>18.293999999999997</v>
      </c>
      <c r="N462" s="4">
        <f t="shared" si="1855"/>
        <v>17.739000000000004</v>
      </c>
      <c r="O462" s="4">
        <f t="shared" si="1855"/>
        <v>17.174999999999997</v>
      </c>
      <c r="P462" s="4">
        <f t="shared" si="1855"/>
        <v>16.599999999999994</v>
      </c>
      <c r="Q462" s="4">
        <f t="shared" si="1855"/>
        <v>16.016000000000005</v>
      </c>
      <c r="R462" s="4">
        <f t="shared" si="1855"/>
        <v>0</v>
      </c>
      <c r="S462" s="4">
        <f t="shared" si="1855"/>
        <v>0</v>
      </c>
      <c r="T462" s="4">
        <f t="shared" si="1855"/>
        <v>0</v>
      </c>
      <c r="U462" s="4">
        <f t="shared" si="1855"/>
        <v>0</v>
      </c>
      <c r="V462" s="4">
        <f t="shared" si="1855"/>
        <v>0</v>
      </c>
      <c r="W462" s="4">
        <f t="shared" si="1855"/>
        <v>0</v>
      </c>
      <c r="X462" s="4">
        <f t="shared" ref="X462:AM462" si="1856">+W465</f>
        <v>0</v>
      </c>
      <c r="Y462" s="4">
        <f t="shared" si="1856"/>
        <v>0</v>
      </c>
      <c r="Z462" s="4">
        <f t="shared" si="1856"/>
        <v>0</v>
      </c>
      <c r="AA462" s="4">
        <f t="shared" si="1856"/>
        <v>0</v>
      </c>
      <c r="AB462" s="4">
        <f t="shared" si="1856"/>
        <v>0</v>
      </c>
      <c r="AC462" s="4">
        <f t="shared" si="1856"/>
        <v>0</v>
      </c>
      <c r="AD462" s="4">
        <f t="shared" si="1856"/>
        <v>0</v>
      </c>
      <c r="AE462" s="4">
        <f t="shared" si="1856"/>
        <v>0</v>
      </c>
      <c r="AF462" s="4">
        <f t="shared" si="1856"/>
        <v>0</v>
      </c>
      <c r="AG462" s="4">
        <f t="shared" si="1856"/>
        <v>0</v>
      </c>
      <c r="AH462" s="4">
        <f t="shared" si="1856"/>
        <v>0</v>
      </c>
      <c r="AI462" s="4">
        <f t="shared" si="1856"/>
        <v>0</v>
      </c>
      <c r="AJ462" s="4">
        <f t="shared" si="1856"/>
        <v>0</v>
      </c>
      <c r="AK462" s="4">
        <f t="shared" si="1856"/>
        <v>0</v>
      </c>
      <c r="AL462" s="4">
        <f t="shared" si="1856"/>
        <v>0</v>
      </c>
      <c r="AM462" s="4">
        <f t="shared" si="1856"/>
        <v>0</v>
      </c>
      <c r="AN462" s="4">
        <f t="shared" ref="AN462" si="1857">+AM465</f>
        <v>0</v>
      </c>
      <c r="AO462" s="4">
        <f t="shared" ref="AO462" si="1858">+AN465</f>
        <v>0</v>
      </c>
      <c r="AP462" s="4">
        <f t="shared" ref="AP462" si="1859">+AO465</f>
        <v>0</v>
      </c>
      <c r="AQ462" s="4">
        <f t="shared" ref="AQ462" si="1860">+AP465</f>
        <v>0</v>
      </c>
      <c r="AR462" s="4">
        <f t="shared" ref="AR462" si="1861">+AQ465</f>
        <v>0</v>
      </c>
      <c r="AS462" s="4">
        <f t="shared" ref="AS462" si="1862">+AR465</f>
        <v>0</v>
      </c>
      <c r="AT462" s="4">
        <f t="shared" ref="AT462" si="1863">+AS465</f>
        <v>0</v>
      </c>
      <c r="AU462" s="4">
        <f t="shared" ref="AU462" si="1864">+AT465</f>
        <v>0</v>
      </c>
      <c r="AV462" s="4">
        <f t="shared" ref="AV462" si="1865">+AU465</f>
        <v>0</v>
      </c>
      <c r="AW462" s="4">
        <f t="shared" ref="AW462" si="1866">+AV465</f>
        <v>0</v>
      </c>
      <c r="AX462" s="4">
        <f t="shared" ref="AX462" si="1867">+AW465</f>
        <v>0</v>
      </c>
      <c r="AY462" s="4">
        <f t="shared" ref="AY462" si="1868">+AX465</f>
        <v>0</v>
      </c>
      <c r="AZ462" s="24"/>
      <c r="BA462" s="4"/>
      <c r="BB462" s="4"/>
      <c r="BC462" s="4"/>
      <c r="BD462" s="4"/>
      <c r="BE462" s="4"/>
      <c r="BF462" s="4"/>
      <c r="BG462" s="4"/>
      <c r="BH462" s="4"/>
      <c r="BI462" s="4"/>
      <c r="BJ462" s="4"/>
      <c r="BK462" s="4"/>
      <c r="BL462" s="4"/>
      <c r="BM462" s="4"/>
      <c r="BN462" s="4"/>
    </row>
    <row r="463" spans="1:66" hidden="1" outlineLevel="1">
      <c r="A463" s="357"/>
      <c r="B463" t="s">
        <v>128</v>
      </c>
      <c r="C463" s="4"/>
      <c r="D463" s="24"/>
      <c r="E463" s="24"/>
      <c r="F463" s="24"/>
      <c r="G463" s="24"/>
      <c r="H463" s="4"/>
      <c r="I463" s="4"/>
      <c r="J463" s="4">
        <f t="shared" ref="J463:O463" si="1869">+J461-J460</f>
        <v>0</v>
      </c>
      <c r="K463" s="4">
        <f t="shared" si="1869"/>
        <v>0</v>
      </c>
      <c r="L463" s="4">
        <f t="shared" si="1869"/>
        <v>0</v>
      </c>
      <c r="M463" s="4">
        <f t="shared" si="1869"/>
        <v>0</v>
      </c>
      <c r="N463" s="4">
        <f t="shared" si="1869"/>
        <v>0</v>
      </c>
      <c r="O463" s="4">
        <f t="shared" si="1869"/>
        <v>0</v>
      </c>
      <c r="P463" s="4">
        <f t="shared" ref="P463:W463" si="1870">+P461-P460</f>
        <v>0</v>
      </c>
      <c r="Q463" s="4">
        <f t="shared" si="1870"/>
        <v>0</v>
      </c>
      <c r="R463" s="4">
        <f t="shared" si="1870"/>
        <v>0</v>
      </c>
      <c r="S463" s="4">
        <f t="shared" si="1870"/>
        <v>0</v>
      </c>
      <c r="T463" s="4">
        <f t="shared" si="1870"/>
        <v>0</v>
      </c>
      <c r="U463" s="4">
        <f t="shared" si="1870"/>
        <v>0</v>
      </c>
      <c r="V463" s="4">
        <f t="shared" si="1870"/>
        <v>0</v>
      </c>
      <c r="W463" s="4">
        <f t="shared" si="1870"/>
        <v>0</v>
      </c>
      <c r="X463" s="4">
        <f t="shared" ref="X463:AM463" si="1871">+X461-X460</f>
        <v>0</v>
      </c>
      <c r="Y463" s="4">
        <f t="shared" si="1871"/>
        <v>0</v>
      </c>
      <c r="Z463" s="4">
        <f t="shared" si="1871"/>
        <v>0</v>
      </c>
      <c r="AA463" s="4">
        <f t="shared" si="1871"/>
        <v>0</v>
      </c>
      <c r="AB463" s="4">
        <f t="shared" si="1871"/>
        <v>0</v>
      </c>
      <c r="AC463" s="4">
        <f t="shared" si="1871"/>
        <v>0</v>
      </c>
      <c r="AD463" s="4">
        <f t="shared" si="1871"/>
        <v>0</v>
      </c>
      <c r="AE463" s="4">
        <f t="shared" si="1871"/>
        <v>0</v>
      </c>
      <c r="AF463" s="4">
        <f t="shared" si="1871"/>
        <v>0</v>
      </c>
      <c r="AG463" s="4">
        <f t="shared" si="1871"/>
        <v>0</v>
      </c>
      <c r="AH463" s="4">
        <f t="shared" si="1871"/>
        <v>0</v>
      </c>
      <c r="AI463" s="4">
        <f t="shared" si="1871"/>
        <v>0</v>
      </c>
      <c r="AJ463" s="4">
        <f t="shared" si="1871"/>
        <v>0</v>
      </c>
      <c r="AK463" s="4">
        <f t="shared" si="1871"/>
        <v>0</v>
      </c>
      <c r="AL463" s="4">
        <f t="shared" si="1871"/>
        <v>0</v>
      </c>
      <c r="AM463" s="4">
        <f t="shared" si="1871"/>
        <v>0</v>
      </c>
      <c r="AN463" s="4">
        <f t="shared" ref="AN463:AY463" si="1872">+AN461-AN460</f>
        <v>0</v>
      </c>
      <c r="AO463" s="4">
        <f t="shared" si="1872"/>
        <v>0</v>
      </c>
      <c r="AP463" s="4">
        <f t="shared" si="1872"/>
        <v>0</v>
      </c>
      <c r="AQ463" s="4">
        <f t="shared" si="1872"/>
        <v>0</v>
      </c>
      <c r="AR463" s="4">
        <f t="shared" si="1872"/>
        <v>0</v>
      </c>
      <c r="AS463" s="4">
        <f t="shared" si="1872"/>
        <v>0</v>
      </c>
      <c r="AT463" s="4">
        <f t="shared" si="1872"/>
        <v>0</v>
      </c>
      <c r="AU463" s="4">
        <f t="shared" si="1872"/>
        <v>0</v>
      </c>
      <c r="AV463" s="4">
        <f t="shared" si="1872"/>
        <v>0</v>
      </c>
      <c r="AW463" s="4">
        <f t="shared" si="1872"/>
        <v>0</v>
      </c>
      <c r="AX463" s="4">
        <f t="shared" si="1872"/>
        <v>0</v>
      </c>
      <c r="AY463" s="4">
        <f t="shared" si="1872"/>
        <v>0</v>
      </c>
      <c r="AZ463" s="24"/>
      <c r="BA463" s="4"/>
      <c r="BB463" s="4"/>
      <c r="BC463" s="4"/>
      <c r="BD463" s="4"/>
      <c r="BE463" s="4"/>
      <c r="BF463" s="4"/>
      <c r="BG463" s="4"/>
      <c r="BH463" s="4"/>
      <c r="BI463" s="4"/>
      <c r="BJ463" s="4"/>
      <c r="BK463" s="4"/>
      <c r="BL463" s="4"/>
      <c r="BM463" s="4"/>
      <c r="BN463" s="4"/>
    </row>
    <row r="464" spans="1:66" hidden="1" outlineLevel="1">
      <c r="A464" s="357"/>
      <c r="B464" t="s">
        <v>129</v>
      </c>
      <c r="C464" s="4"/>
      <c r="D464" s="24"/>
      <c r="E464" s="24"/>
      <c r="F464" s="24"/>
      <c r="G464" s="24"/>
      <c r="H464" s="4"/>
      <c r="I464" s="4"/>
      <c r="J464" s="7">
        <f>19.376-I465</f>
        <v>-0.52683499999999839</v>
      </c>
      <c r="K464" s="7">
        <f>88.839-70-J465</f>
        <v>-0.53700000000000259</v>
      </c>
      <c r="L464" s="7">
        <f>88.294-70-K465</f>
        <v>-0.54500000000000171</v>
      </c>
      <c r="M464" s="7">
        <f>87.739-M473-L465</f>
        <v>-0.55499999999999261</v>
      </c>
      <c r="N464" s="7">
        <f>87.175-N473-M465</f>
        <v>-0.56400000000000716</v>
      </c>
      <c r="O464" s="7">
        <f>86.6-O473-N465</f>
        <v>-0.57500000000000284</v>
      </c>
      <c r="P464" s="7">
        <f>86.016-P473-O465</f>
        <v>-0.58399999999998897</v>
      </c>
      <c r="Q464" s="7">
        <f>70-Q473-P465</f>
        <v>-16.016000000000005</v>
      </c>
      <c r="R464" s="7">
        <f>70-R473-Q465</f>
        <v>0</v>
      </c>
      <c r="S464" s="7">
        <v>0</v>
      </c>
      <c r="T464" s="4">
        <f>+IF($C459&lt;T$1,-(T462+T463),0)</f>
        <v>0</v>
      </c>
      <c r="U464" s="4">
        <f>+IF($C459&lt;U$1,-(U462+U463),0)</f>
        <v>0</v>
      </c>
      <c r="V464" s="4">
        <f>+IF($C459&lt;V$1,-(V462+V463),0)</f>
        <v>0</v>
      </c>
      <c r="W464" s="4">
        <f>+IF($C459&lt;W$1,-(W462+W463),0)</f>
        <v>0</v>
      </c>
      <c r="X464" s="4">
        <f t="shared" ref="X464:AM464" si="1873">+IF($C459&lt;X$1,-(X462+X463),0)</f>
        <v>0</v>
      </c>
      <c r="Y464" s="4">
        <f t="shared" si="1873"/>
        <v>0</v>
      </c>
      <c r="Z464" s="4">
        <f t="shared" si="1873"/>
        <v>0</v>
      </c>
      <c r="AA464" s="4">
        <f t="shared" si="1873"/>
        <v>0</v>
      </c>
      <c r="AB464" s="4">
        <f t="shared" si="1873"/>
        <v>0</v>
      </c>
      <c r="AC464" s="4">
        <f t="shared" si="1873"/>
        <v>0</v>
      </c>
      <c r="AD464" s="4">
        <f t="shared" si="1873"/>
        <v>0</v>
      </c>
      <c r="AE464" s="4">
        <f t="shared" si="1873"/>
        <v>0</v>
      </c>
      <c r="AF464" s="4">
        <f t="shared" si="1873"/>
        <v>0</v>
      </c>
      <c r="AG464" s="4">
        <f t="shared" si="1873"/>
        <v>0</v>
      </c>
      <c r="AH464" s="4">
        <f t="shared" si="1873"/>
        <v>0</v>
      </c>
      <c r="AI464" s="4">
        <f t="shared" si="1873"/>
        <v>0</v>
      </c>
      <c r="AJ464" s="4">
        <f t="shared" si="1873"/>
        <v>0</v>
      </c>
      <c r="AK464" s="4">
        <f t="shared" si="1873"/>
        <v>0</v>
      </c>
      <c r="AL464" s="4">
        <f t="shared" si="1873"/>
        <v>0</v>
      </c>
      <c r="AM464" s="4">
        <f t="shared" si="1873"/>
        <v>0</v>
      </c>
      <c r="AN464" s="4">
        <f t="shared" ref="AN464:AY464" si="1874">+IF($C459&lt;AN$1,-(AN462+AN463),0)</f>
        <v>0</v>
      </c>
      <c r="AO464" s="4">
        <f t="shared" si="1874"/>
        <v>0</v>
      </c>
      <c r="AP464" s="4">
        <f t="shared" si="1874"/>
        <v>0</v>
      </c>
      <c r="AQ464" s="4">
        <f t="shared" si="1874"/>
        <v>0</v>
      </c>
      <c r="AR464" s="4">
        <f t="shared" si="1874"/>
        <v>0</v>
      </c>
      <c r="AS464" s="4">
        <f t="shared" si="1874"/>
        <v>0</v>
      </c>
      <c r="AT464" s="4">
        <f t="shared" si="1874"/>
        <v>0</v>
      </c>
      <c r="AU464" s="4">
        <f t="shared" si="1874"/>
        <v>0</v>
      </c>
      <c r="AV464" s="4">
        <f t="shared" si="1874"/>
        <v>0</v>
      </c>
      <c r="AW464" s="4">
        <f t="shared" si="1874"/>
        <v>0</v>
      </c>
      <c r="AX464" s="4">
        <f t="shared" si="1874"/>
        <v>0</v>
      </c>
      <c r="AY464" s="4">
        <f t="shared" si="1874"/>
        <v>0</v>
      </c>
      <c r="AZ464" s="24"/>
      <c r="BA464" s="4"/>
      <c r="BB464" s="4"/>
      <c r="BC464" s="4"/>
      <c r="BD464" s="4"/>
      <c r="BE464" s="4"/>
      <c r="BF464" s="4"/>
      <c r="BG464" s="4"/>
      <c r="BH464" s="4"/>
      <c r="BI464" s="4"/>
      <c r="BJ464" s="4"/>
      <c r="BK464" s="4"/>
      <c r="BL464" s="4"/>
      <c r="BM464" s="4"/>
      <c r="BN464" s="4"/>
    </row>
    <row r="465" spans="1:66" hidden="1" outlineLevel="1">
      <c r="A465" s="357"/>
      <c r="B465" t="s">
        <v>130</v>
      </c>
      <c r="C465" s="4"/>
      <c r="D465" s="28"/>
      <c r="E465" s="28"/>
      <c r="F465" s="28"/>
      <c r="G465" s="28"/>
      <c r="H465" s="4"/>
      <c r="I465" s="7">
        <v>19.902835</v>
      </c>
      <c r="J465" s="4">
        <f t="shared" ref="J465:R465" si="1875">+SUM(J462:J464)</f>
        <v>19.376000000000001</v>
      </c>
      <c r="K465" s="4">
        <f t="shared" si="1875"/>
        <v>18.838999999999999</v>
      </c>
      <c r="L465" s="4">
        <f t="shared" si="1875"/>
        <v>18.293999999999997</v>
      </c>
      <c r="M465" s="4">
        <f t="shared" si="1875"/>
        <v>17.739000000000004</v>
      </c>
      <c r="N465" s="4">
        <f t="shared" si="1875"/>
        <v>17.174999999999997</v>
      </c>
      <c r="O465" s="4">
        <f t="shared" si="1875"/>
        <v>16.599999999999994</v>
      </c>
      <c r="P465" s="4">
        <f t="shared" si="1875"/>
        <v>16.016000000000005</v>
      </c>
      <c r="Q465" s="4">
        <f t="shared" si="1875"/>
        <v>0</v>
      </c>
      <c r="R465" s="4">
        <f t="shared" si="1875"/>
        <v>0</v>
      </c>
      <c r="S465" s="4">
        <f>+SUM(S462:S464)</f>
        <v>0</v>
      </c>
      <c r="T465" s="4">
        <f>+SUM(T462:T464)</f>
        <v>0</v>
      </c>
      <c r="U465" s="4">
        <f>+SUM(U462:U464)</f>
        <v>0</v>
      </c>
      <c r="V465" s="4">
        <f>+SUM(V462:V464)</f>
        <v>0</v>
      </c>
      <c r="W465" s="4">
        <f>+SUM(W462:W464)</f>
        <v>0</v>
      </c>
      <c r="X465" s="4">
        <f t="shared" ref="X465:AM465" si="1876">+SUM(X462:X464)</f>
        <v>0</v>
      </c>
      <c r="Y465" s="4">
        <f t="shared" si="1876"/>
        <v>0</v>
      </c>
      <c r="Z465" s="4">
        <f t="shared" si="1876"/>
        <v>0</v>
      </c>
      <c r="AA465" s="4">
        <f t="shared" si="1876"/>
        <v>0</v>
      </c>
      <c r="AB465" s="4">
        <f t="shared" si="1876"/>
        <v>0</v>
      </c>
      <c r="AC465" s="4">
        <f t="shared" si="1876"/>
        <v>0</v>
      </c>
      <c r="AD465" s="4">
        <f t="shared" si="1876"/>
        <v>0</v>
      </c>
      <c r="AE465" s="4">
        <f t="shared" si="1876"/>
        <v>0</v>
      </c>
      <c r="AF465" s="4">
        <f t="shared" si="1876"/>
        <v>0</v>
      </c>
      <c r="AG465" s="4">
        <f t="shared" si="1876"/>
        <v>0</v>
      </c>
      <c r="AH465" s="4">
        <f t="shared" si="1876"/>
        <v>0</v>
      </c>
      <c r="AI465" s="4">
        <f t="shared" si="1876"/>
        <v>0</v>
      </c>
      <c r="AJ465" s="4">
        <f t="shared" si="1876"/>
        <v>0</v>
      </c>
      <c r="AK465" s="4">
        <f t="shared" si="1876"/>
        <v>0</v>
      </c>
      <c r="AL465" s="4">
        <f t="shared" si="1876"/>
        <v>0</v>
      </c>
      <c r="AM465" s="4">
        <f t="shared" si="1876"/>
        <v>0</v>
      </c>
      <c r="AN465" s="4">
        <f t="shared" ref="AN465:AY465" si="1877">+SUM(AN462:AN464)</f>
        <v>0</v>
      </c>
      <c r="AO465" s="4">
        <f t="shared" si="1877"/>
        <v>0</v>
      </c>
      <c r="AP465" s="4">
        <f t="shared" si="1877"/>
        <v>0</v>
      </c>
      <c r="AQ465" s="4">
        <f t="shared" si="1877"/>
        <v>0</v>
      </c>
      <c r="AR465" s="4">
        <f t="shared" si="1877"/>
        <v>0</v>
      </c>
      <c r="AS465" s="4">
        <f t="shared" si="1877"/>
        <v>0</v>
      </c>
      <c r="AT465" s="4">
        <f t="shared" si="1877"/>
        <v>0</v>
      </c>
      <c r="AU465" s="4">
        <f t="shared" si="1877"/>
        <v>0</v>
      </c>
      <c r="AV465" s="4">
        <f t="shared" si="1877"/>
        <v>0</v>
      </c>
      <c r="AW465" s="4">
        <f t="shared" si="1877"/>
        <v>0</v>
      </c>
      <c r="AX465" s="4">
        <f t="shared" si="1877"/>
        <v>0</v>
      </c>
      <c r="AY465" s="4">
        <f t="shared" si="1877"/>
        <v>0</v>
      </c>
      <c r="AZ465" s="24"/>
      <c r="BA465" s="4"/>
      <c r="BB465" s="4"/>
      <c r="BC465" s="4"/>
      <c r="BD465" s="4"/>
      <c r="BE465" s="4"/>
      <c r="BF465" s="4"/>
      <c r="BG465" s="4"/>
      <c r="BH465" s="4"/>
      <c r="BI465" s="4"/>
      <c r="BJ465" s="4"/>
      <c r="BK465" s="4"/>
      <c r="BL465" s="4"/>
      <c r="BM465" s="4"/>
      <c r="BN465" s="4"/>
    </row>
    <row r="466" spans="1:66" hidden="1" outlineLevel="1">
      <c r="A466" s="22"/>
      <c r="C466" s="4"/>
      <c r="D466" s="24"/>
      <c r="E466" s="24"/>
      <c r="F466" s="24"/>
      <c r="G466" s="2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24"/>
      <c r="BA466" s="4"/>
      <c r="BB466" s="4"/>
      <c r="BC466" s="4"/>
      <c r="BD466" s="4"/>
      <c r="BE466" s="4"/>
      <c r="BF466" s="4"/>
      <c r="BG466" s="4"/>
      <c r="BH466" s="4"/>
      <c r="BI466" s="4"/>
      <c r="BJ466" s="4"/>
      <c r="BK466" s="4"/>
      <c r="BL466" s="4"/>
      <c r="BM466" s="4"/>
      <c r="BN466" s="4"/>
    </row>
    <row r="467" spans="1:66" hidden="1" outlineLevel="1">
      <c r="A467" s="357"/>
      <c r="B467" s="32" t="s">
        <v>135</v>
      </c>
      <c r="C467" s="37">
        <v>42339</v>
      </c>
      <c r="D467" s="34"/>
      <c r="E467" s="34"/>
      <c r="F467" s="34"/>
      <c r="G467" s="34"/>
      <c r="H467" s="33"/>
      <c r="I467" s="34">
        <v>70</v>
      </c>
      <c r="J467" s="33">
        <f t="shared" ref="J467:W467" si="1878">+IF($C467&gt;J$1,I467+J472,I467-I467)</f>
        <v>70</v>
      </c>
      <c r="K467" s="33">
        <f t="shared" si="1878"/>
        <v>70</v>
      </c>
      <c r="L467" s="33">
        <f t="shared" si="1878"/>
        <v>70</v>
      </c>
      <c r="M467" s="33">
        <f t="shared" si="1878"/>
        <v>70</v>
      </c>
      <c r="N467" s="33">
        <f t="shared" si="1878"/>
        <v>70</v>
      </c>
      <c r="O467" s="33">
        <f t="shared" si="1878"/>
        <v>70</v>
      </c>
      <c r="P467" s="33">
        <f t="shared" si="1878"/>
        <v>70</v>
      </c>
      <c r="Q467" s="33">
        <f t="shared" si="1878"/>
        <v>70</v>
      </c>
      <c r="R467" s="33">
        <f t="shared" si="1878"/>
        <v>70</v>
      </c>
      <c r="S467" s="33">
        <f t="shared" si="1878"/>
        <v>0</v>
      </c>
      <c r="T467" s="33">
        <f t="shared" si="1878"/>
        <v>0</v>
      </c>
      <c r="U467" s="33">
        <f t="shared" si="1878"/>
        <v>0</v>
      </c>
      <c r="V467" s="33">
        <f t="shared" si="1878"/>
        <v>0</v>
      </c>
      <c r="W467" s="33">
        <f t="shared" si="1878"/>
        <v>0</v>
      </c>
      <c r="X467" s="33">
        <f t="shared" ref="X467:AM467" si="1879">+IF($C467&gt;X$1,W467+X472,W467-W467)</f>
        <v>0</v>
      </c>
      <c r="Y467" s="33">
        <f t="shared" si="1879"/>
        <v>0</v>
      </c>
      <c r="Z467" s="33">
        <f t="shared" si="1879"/>
        <v>0</v>
      </c>
      <c r="AA467" s="33">
        <f t="shared" si="1879"/>
        <v>0</v>
      </c>
      <c r="AB467" s="33">
        <f t="shared" si="1879"/>
        <v>0</v>
      </c>
      <c r="AC467" s="33">
        <f t="shared" si="1879"/>
        <v>0</v>
      </c>
      <c r="AD467" s="33">
        <f t="shared" si="1879"/>
        <v>0</v>
      </c>
      <c r="AE467" s="33">
        <f t="shared" si="1879"/>
        <v>0</v>
      </c>
      <c r="AF467" s="33">
        <f t="shared" si="1879"/>
        <v>0</v>
      </c>
      <c r="AG467" s="33">
        <f t="shared" si="1879"/>
        <v>0</v>
      </c>
      <c r="AH467" s="33">
        <f t="shared" si="1879"/>
        <v>0</v>
      </c>
      <c r="AI467" s="33">
        <f t="shared" si="1879"/>
        <v>0</v>
      </c>
      <c r="AJ467" s="33">
        <f t="shared" si="1879"/>
        <v>0</v>
      </c>
      <c r="AK467" s="33">
        <f t="shared" si="1879"/>
        <v>0</v>
      </c>
      <c r="AL467" s="33">
        <f t="shared" si="1879"/>
        <v>0</v>
      </c>
      <c r="AM467" s="33">
        <f t="shared" si="1879"/>
        <v>0</v>
      </c>
      <c r="AN467" s="33">
        <f t="shared" ref="AN467" si="1880">+IF($C467&gt;AN$1,AM467+AN472,AM467-AM467)</f>
        <v>0</v>
      </c>
      <c r="AO467" s="33">
        <f t="shared" ref="AO467" si="1881">+IF($C467&gt;AO$1,AN467+AO472,AN467-AN467)</f>
        <v>0</v>
      </c>
      <c r="AP467" s="33">
        <f t="shared" ref="AP467" si="1882">+IF($C467&gt;AP$1,AO467+AP472,AO467-AO467)</f>
        <v>0</v>
      </c>
      <c r="AQ467" s="33">
        <f t="shared" ref="AQ467" si="1883">+IF($C467&gt;AQ$1,AP467+AQ472,AP467-AP467)</f>
        <v>0</v>
      </c>
      <c r="AR467" s="33">
        <f t="shared" ref="AR467" si="1884">+IF($C467&gt;AR$1,AQ467+AR472,AQ467-AQ467)</f>
        <v>0</v>
      </c>
      <c r="AS467" s="33">
        <f t="shared" ref="AS467" si="1885">+IF($C467&gt;AS$1,AR467+AS472,AR467-AR467)</f>
        <v>0</v>
      </c>
      <c r="AT467" s="33">
        <f t="shared" ref="AT467" si="1886">+IF($C467&gt;AT$1,AS467+AT472,AS467-AS467)</f>
        <v>0</v>
      </c>
      <c r="AU467" s="33">
        <f t="shared" ref="AU467" si="1887">+IF($C467&gt;AU$1,AT467+AU472,AT467-AT467)</f>
        <v>0</v>
      </c>
      <c r="AV467" s="33">
        <f t="shared" ref="AV467" si="1888">+IF($C467&gt;AV$1,AU467+AV472,AU467-AU467)</f>
        <v>0</v>
      </c>
      <c r="AW467" s="33">
        <f t="shared" ref="AW467" si="1889">+IF($C467&gt;AW$1,AV467+AW472,AV467-AV467)</f>
        <v>0</v>
      </c>
      <c r="AX467" s="33">
        <f t="shared" ref="AX467" si="1890">+IF($C467&gt;AX$1,AW467+AX472,AW467-AW467)</f>
        <v>0</v>
      </c>
      <c r="AY467" s="33">
        <f t="shared" ref="AY467" si="1891">+IF($C467&gt;AY$1,AX467+AY472,AX467-AX467)</f>
        <v>0</v>
      </c>
      <c r="AZ467" s="24"/>
      <c r="BA467" s="33"/>
      <c r="BB467" s="33"/>
      <c r="BC467" s="33"/>
      <c r="BD467" s="33"/>
      <c r="BE467" s="33"/>
      <c r="BF467" s="33"/>
      <c r="BG467" s="33"/>
      <c r="BH467" s="33"/>
      <c r="BI467" s="33"/>
      <c r="BJ467" s="33"/>
      <c r="BK467" s="33"/>
      <c r="BL467" s="33"/>
      <c r="BM467" s="33"/>
      <c r="BN467" s="33"/>
    </row>
    <row r="468" spans="1:66" hidden="1" outlineLevel="1">
      <c r="A468" s="357"/>
      <c r="B468" t="s">
        <v>126</v>
      </c>
      <c r="C468" s="17">
        <v>1.0999999999999999E-2</v>
      </c>
      <c r="D468" s="24"/>
      <c r="E468" s="24"/>
      <c r="F468" s="24"/>
      <c r="G468" s="24"/>
      <c r="H468" s="4"/>
      <c r="I468" s="4"/>
      <c r="J468" s="4">
        <f t="shared" ref="J468:W468" si="1892">+IF(J$404&gt;$C474,AVERAGE(I467:J467)*((J$404+$C468)/4),AVERAGE(I467:J467)*(($C474+$C468)/4))</f>
        <v>0.22924999999999998</v>
      </c>
      <c r="K468" s="4">
        <f t="shared" si="1892"/>
        <v>0.23100000000000001</v>
      </c>
      <c r="L468" s="4">
        <f t="shared" si="1892"/>
        <v>0.23274999999999998</v>
      </c>
      <c r="M468" s="4">
        <f t="shared" si="1892"/>
        <v>0.23449999999999999</v>
      </c>
      <c r="N468" s="4">
        <f t="shared" si="1892"/>
        <v>0.23624999999999996</v>
      </c>
      <c r="O468" s="4">
        <f t="shared" si="1892"/>
        <v>0.23799999999999996</v>
      </c>
      <c r="P468" s="4">
        <f t="shared" si="1892"/>
        <v>0.23974999999999996</v>
      </c>
      <c r="Q468" s="4">
        <f t="shared" si="1892"/>
        <v>0.24149999999999996</v>
      </c>
      <c r="R468" s="4">
        <f t="shared" si="1892"/>
        <v>0.24324999999999997</v>
      </c>
      <c r="S468" s="4">
        <f t="shared" si="1892"/>
        <v>0.12249999999999998</v>
      </c>
      <c r="T468" s="4">
        <f t="shared" si="1892"/>
        <v>0</v>
      </c>
      <c r="U468" s="4">
        <f t="shared" si="1892"/>
        <v>0</v>
      </c>
      <c r="V468" s="4">
        <f t="shared" si="1892"/>
        <v>0</v>
      </c>
      <c r="W468" s="4">
        <f t="shared" si="1892"/>
        <v>0</v>
      </c>
      <c r="X468" s="4">
        <f t="shared" ref="X468:AM468" si="1893">+IF(X$404&gt;$C474,AVERAGE(W467:X467)*((X$404+$C468)/4),AVERAGE(W467:X467)*(($C474+$C468)/4))</f>
        <v>0</v>
      </c>
      <c r="Y468" s="4">
        <f t="shared" si="1893"/>
        <v>0</v>
      </c>
      <c r="Z468" s="4">
        <f t="shared" si="1893"/>
        <v>0</v>
      </c>
      <c r="AA468" s="4">
        <f t="shared" si="1893"/>
        <v>0</v>
      </c>
      <c r="AB468" s="4">
        <f t="shared" si="1893"/>
        <v>0</v>
      </c>
      <c r="AC468" s="4">
        <f t="shared" si="1893"/>
        <v>0</v>
      </c>
      <c r="AD468" s="4">
        <f t="shared" si="1893"/>
        <v>0</v>
      </c>
      <c r="AE468" s="4">
        <f t="shared" si="1893"/>
        <v>0</v>
      </c>
      <c r="AF468" s="4">
        <f t="shared" si="1893"/>
        <v>0</v>
      </c>
      <c r="AG468" s="4">
        <f t="shared" si="1893"/>
        <v>0</v>
      </c>
      <c r="AH468" s="4">
        <f t="shared" si="1893"/>
        <v>0</v>
      </c>
      <c r="AI468" s="4">
        <f t="shared" si="1893"/>
        <v>0</v>
      </c>
      <c r="AJ468" s="4">
        <f t="shared" si="1893"/>
        <v>0</v>
      </c>
      <c r="AK468" s="4">
        <f t="shared" si="1893"/>
        <v>0</v>
      </c>
      <c r="AL468" s="4">
        <f t="shared" si="1893"/>
        <v>0</v>
      </c>
      <c r="AM468" s="4">
        <f t="shared" si="1893"/>
        <v>0</v>
      </c>
      <c r="AN468" s="4">
        <f t="shared" ref="AN468" si="1894">+IF(AN$404&gt;$C474,AVERAGE(AM467:AN467)*((AN$404+$C468)/4),AVERAGE(AM467:AN467)*(($C474+$C468)/4))</f>
        <v>0</v>
      </c>
      <c r="AO468" s="4">
        <f t="shared" ref="AO468" si="1895">+IF(AO$404&gt;$C474,AVERAGE(AN467:AO467)*((AO$404+$C468)/4),AVERAGE(AN467:AO467)*(($C474+$C468)/4))</f>
        <v>0</v>
      </c>
      <c r="AP468" s="4">
        <f t="shared" ref="AP468" si="1896">+IF(AP$404&gt;$C474,AVERAGE(AO467:AP467)*((AP$404+$C468)/4),AVERAGE(AO467:AP467)*(($C474+$C468)/4))</f>
        <v>0</v>
      </c>
      <c r="AQ468" s="4">
        <f t="shared" ref="AQ468" si="1897">+IF(AQ$404&gt;$C474,AVERAGE(AP467:AQ467)*((AQ$404+$C468)/4),AVERAGE(AP467:AQ467)*(($C474+$C468)/4))</f>
        <v>0</v>
      </c>
      <c r="AR468" s="4">
        <f t="shared" ref="AR468" si="1898">+IF(AR$404&gt;$C474,AVERAGE(AQ467:AR467)*((AR$404+$C468)/4),AVERAGE(AQ467:AR467)*(($C474+$C468)/4))</f>
        <v>0</v>
      </c>
      <c r="AS468" s="4">
        <f t="shared" ref="AS468" si="1899">+IF(AS$404&gt;$C474,AVERAGE(AR467:AS467)*((AS$404+$C468)/4),AVERAGE(AR467:AS467)*(($C474+$C468)/4))</f>
        <v>0</v>
      </c>
      <c r="AT468" s="4">
        <f t="shared" ref="AT468" si="1900">+IF(AT$404&gt;$C474,AVERAGE(AS467:AT467)*((AT$404+$C468)/4),AVERAGE(AS467:AT467)*(($C474+$C468)/4))</f>
        <v>0</v>
      </c>
      <c r="AU468" s="4">
        <f t="shared" ref="AU468" si="1901">+IF(AU$404&gt;$C474,AVERAGE(AT467:AU467)*((AU$404+$C468)/4),AVERAGE(AT467:AU467)*(($C474+$C468)/4))</f>
        <v>0</v>
      </c>
      <c r="AV468" s="4">
        <f t="shared" ref="AV468" si="1902">+IF(AV$404&gt;$C474,AVERAGE(AU467:AV467)*((AV$404+$C468)/4),AVERAGE(AU467:AV467)*(($C474+$C468)/4))</f>
        <v>0</v>
      </c>
      <c r="AW468" s="4">
        <f t="shared" ref="AW468" si="1903">+IF(AW$404&gt;$C474,AVERAGE(AV467:AW467)*((AW$404+$C468)/4),AVERAGE(AV467:AW467)*(($C474+$C468)/4))</f>
        <v>0</v>
      </c>
      <c r="AX468" s="4">
        <f t="shared" ref="AX468" si="1904">+IF(AX$404&gt;$C474,AVERAGE(AW467:AX467)*((AX$404+$C468)/4),AVERAGE(AW467:AX467)*(($C474+$C468)/4))</f>
        <v>0</v>
      </c>
      <c r="AY468" s="4">
        <f t="shared" ref="AY468" si="1905">+IF(AY$404&gt;$C474,AVERAGE(AX467:AY467)*((AY$404+$C468)/4),AVERAGE(AX467:AY467)*(($C474+$C468)/4))</f>
        <v>0</v>
      </c>
      <c r="AZ468" s="24"/>
      <c r="BA468" s="4"/>
      <c r="BB468" s="4"/>
      <c r="BC468" s="4"/>
      <c r="BD468" s="4"/>
      <c r="BE468" s="4"/>
      <c r="BF468" s="4"/>
      <c r="BG468" s="4"/>
      <c r="BH468" s="4"/>
      <c r="BI468" s="4"/>
      <c r="BJ468" s="4"/>
      <c r="BK468" s="4"/>
      <c r="BL468" s="4"/>
      <c r="BM468" s="4"/>
      <c r="BN468" s="4"/>
    </row>
    <row r="469" spans="1:66" hidden="1" outlineLevel="1">
      <c r="A469" s="357"/>
      <c r="B469" t="s">
        <v>1</v>
      </c>
      <c r="C469" s="17">
        <v>1.0999999999999999E-2</v>
      </c>
      <c r="D469" s="24"/>
      <c r="E469" s="24"/>
      <c r="F469" s="24"/>
      <c r="G469" s="24"/>
      <c r="H469" s="4"/>
      <c r="I469" s="4"/>
      <c r="J469" s="4">
        <f t="shared" ref="J469:W469" si="1906">+IF(J$404&gt;$C474,AVERAGE(I467:J467)*((J$404+$C469)/4),AVERAGE(I467:J467)*(($C474+$C469)/4))</f>
        <v>0.22924999999999998</v>
      </c>
      <c r="K469" s="4">
        <f t="shared" si="1906"/>
        <v>0.23100000000000001</v>
      </c>
      <c r="L469" s="4">
        <f t="shared" si="1906"/>
        <v>0.23274999999999998</v>
      </c>
      <c r="M469" s="4">
        <f t="shared" si="1906"/>
        <v>0.23449999999999999</v>
      </c>
      <c r="N469" s="4">
        <f t="shared" si="1906"/>
        <v>0.23624999999999996</v>
      </c>
      <c r="O469" s="4">
        <f t="shared" si="1906"/>
        <v>0.23799999999999996</v>
      </c>
      <c r="P469" s="4">
        <f t="shared" si="1906"/>
        <v>0.23974999999999996</v>
      </c>
      <c r="Q469" s="4">
        <f t="shared" si="1906"/>
        <v>0.24149999999999996</v>
      </c>
      <c r="R469" s="4">
        <f t="shared" si="1906"/>
        <v>0.24324999999999997</v>
      </c>
      <c r="S469" s="4">
        <f t="shared" si="1906"/>
        <v>0.12249999999999998</v>
      </c>
      <c r="T469" s="4">
        <f t="shared" si="1906"/>
        <v>0</v>
      </c>
      <c r="U469" s="4">
        <f t="shared" si="1906"/>
        <v>0</v>
      </c>
      <c r="V469" s="4">
        <f t="shared" si="1906"/>
        <v>0</v>
      </c>
      <c r="W469" s="4">
        <f t="shared" si="1906"/>
        <v>0</v>
      </c>
      <c r="X469" s="4">
        <f t="shared" ref="X469:AM469" si="1907">+IF(X$404&gt;$C474,AVERAGE(W467:X467)*((X$404+$C469)/4),AVERAGE(W467:X467)*(($C474+$C469)/4))</f>
        <v>0</v>
      </c>
      <c r="Y469" s="4">
        <f t="shared" si="1907"/>
        <v>0</v>
      </c>
      <c r="Z469" s="4">
        <f t="shared" si="1907"/>
        <v>0</v>
      </c>
      <c r="AA469" s="4">
        <f t="shared" si="1907"/>
        <v>0</v>
      </c>
      <c r="AB469" s="4">
        <f t="shared" si="1907"/>
        <v>0</v>
      </c>
      <c r="AC469" s="4">
        <f t="shared" si="1907"/>
        <v>0</v>
      </c>
      <c r="AD469" s="4">
        <f t="shared" si="1907"/>
        <v>0</v>
      </c>
      <c r="AE469" s="4">
        <f t="shared" si="1907"/>
        <v>0</v>
      </c>
      <c r="AF469" s="4">
        <f t="shared" si="1907"/>
        <v>0</v>
      </c>
      <c r="AG469" s="4">
        <f t="shared" si="1907"/>
        <v>0</v>
      </c>
      <c r="AH469" s="4">
        <f t="shared" si="1907"/>
        <v>0</v>
      </c>
      <c r="AI469" s="4">
        <f t="shared" si="1907"/>
        <v>0</v>
      </c>
      <c r="AJ469" s="4">
        <f t="shared" si="1907"/>
        <v>0</v>
      </c>
      <c r="AK469" s="4">
        <f t="shared" si="1907"/>
        <v>0</v>
      </c>
      <c r="AL469" s="4">
        <f t="shared" si="1907"/>
        <v>0</v>
      </c>
      <c r="AM469" s="4">
        <f t="shared" si="1907"/>
        <v>0</v>
      </c>
      <c r="AN469" s="4">
        <f t="shared" ref="AN469" si="1908">+IF(AN$404&gt;$C474,AVERAGE(AM467:AN467)*((AN$404+$C469)/4),AVERAGE(AM467:AN467)*(($C474+$C469)/4))</f>
        <v>0</v>
      </c>
      <c r="AO469" s="4">
        <f t="shared" ref="AO469" si="1909">+IF(AO$404&gt;$C474,AVERAGE(AN467:AO467)*((AO$404+$C469)/4),AVERAGE(AN467:AO467)*(($C474+$C469)/4))</f>
        <v>0</v>
      </c>
      <c r="AP469" s="4">
        <f t="shared" ref="AP469" si="1910">+IF(AP$404&gt;$C474,AVERAGE(AO467:AP467)*((AP$404+$C469)/4),AVERAGE(AO467:AP467)*(($C474+$C469)/4))</f>
        <v>0</v>
      </c>
      <c r="AQ469" s="4">
        <f t="shared" ref="AQ469" si="1911">+IF(AQ$404&gt;$C474,AVERAGE(AP467:AQ467)*((AQ$404+$C469)/4),AVERAGE(AP467:AQ467)*(($C474+$C469)/4))</f>
        <v>0</v>
      </c>
      <c r="AR469" s="4">
        <f t="shared" ref="AR469" si="1912">+IF(AR$404&gt;$C474,AVERAGE(AQ467:AR467)*((AR$404+$C469)/4),AVERAGE(AQ467:AR467)*(($C474+$C469)/4))</f>
        <v>0</v>
      </c>
      <c r="AS469" s="4">
        <f t="shared" ref="AS469" si="1913">+IF(AS$404&gt;$C474,AVERAGE(AR467:AS467)*((AS$404+$C469)/4),AVERAGE(AR467:AS467)*(($C474+$C469)/4))</f>
        <v>0</v>
      </c>
      <c r="AT469" s="4">
        <f t="shared" ref="AT469" si="1914">+IF(AT$404&gt;$C474,AVERAGE(AS467:AT467)*((AT$404+$C469)/4),AVERAGE(AS467:AT467)*(($C474+$C469)/4))</f>
        <v>0</v>
      </c>
      <c r="AU469" s="4">
        <f t="shared" ref="AU469" si="1915">+IF(AU$404&gt;$C474,AVERAGE(AT467:AU467)*((AU$404+$C469)/4),AVERAGE(AT467:AU467)*(($C474+$C469)/4))</f>
        <v>0</v>
      </c>
      <c r="AV469" s="4">
        <f t="shared" ref="AV469" si="1916">+IF(AV$404&gt;$C474,AVERAGE(AU467:AV467)*((AV$404+$C469)/4),AVERAGE(AU467:AV467)*(($C474+$C469)/4))</f>
        <v>0</v>
      </c>
      <c r="AW469" s="4">
        <f t="shared" ref="AW469" si="1917">+IF(AW$404&gt;$C474,AVERAGE(AV467:AW467)*((AW$404+$C469)/4),AVERAGE(AV467:AW467)*(($C474+$C469)/4))</f>
        <v>0</v>
      </c>
      <c r="AX469" s="4">
        <f t="shared" ref="AX469" si="1918">+IF(AX$404&gt;$C474,AVERAGE(AW467:AX467)*((AX$404+$C469)/4),AVERAGE(AW467:AX467)*(($C474+$C469)/4))</f>
        <v>0</v>
      </c>
      <c r="AY469" s="4">
        <f t="shared" ref="AY469" si="1919">+IF(AY$404&gt;$C474,AVERAGE(AX467:AY467)*((AY$404+$C469)/4),AVERAGE(AX467:AY467)*(($C474+$C469)/4))</f>
        <v>0</v>
      </c>
      <c r="AZ469" s="24"/>
      <c r="BA469" s="4"/>
      <c r="BB469" s="4"/>
      <c r="BC469" s="4"/>
      <c r="BD469" s="4"/>
      <c r="BE469" s="4"/>
      <c r="BF469" s="4"/>
      <c r="BG469" s="4"/>
      <c r="BH469" s="4"/>
      <c r="BI469" s="4"/>
      <c r="BJ469" s="4"/>
      <c r="BK469" s="4"/>
      <c r="BL469" s="4"/>
      <c r="BM469" s="4"/>
      <c r="BN469" s="4"/>
    </row>
    <row r="470" spans="1:66" hidden="1" outlineLevel="1">
      <c r="A470" s="357"/>
      <c r="B470" t="s">
        <v>127</v>
      </c>
      <c r="C470" s="4"/>
      <c r="D470" s="24"/>
      <c r="E470" s="24"/>
      <c r="F470" s="24"/>
      <c r="G470" s="24"/>
      <c r="H470" s="4"/>
      <c r="I470" s="4"/>
      <c r="J470" s="4">
        <f t="shared" ref="J470:W470" si="1920">+I473</f>
        <v>70</v>
      </c>
      <c r="K470" s="4">
        <f t="shared" si="1920"/>
        <v>70</v>
      </c>
      <c r="L470" s="4">
        <f t="shared" si="1920"/>
        <v>70</v>
      </c>
      <c r="M470" s="4">
        <f t="shared" si="1920"/>
        <v>70</v>
      </c>
      <c r="N470" s="4">
        <f t="shared" si="1920"/>
        <v>70</v>
      </c>
      <c r="O470" s="4">
        <f t="shared" si="1920"/>
        <v>70</v>
      </c>
      <c r="P470" s="4">
        <f t="shared" si="1920"/>
        <v>70</v>
      </c>
      <c r="Q470" s="4">
        <f t="shared" si="1920"/>
        <v>70</v>
      </c>
      <c r="R470" s="4">
        <f t="shared" si="1920"/>
        <v>70</v>
      </c>
      <c r="S470" s="4">
        <f t="shared" si="1920"/>
        <v>70</v>
      </c>
      <c r="T470" s="4">
        <f t="shared" si="1920"/>
        <v>0</v>
      </c>
      <c r="U470" s="4">
        <f t="shared" si="1920"/>
        <v>0</v>
      </c>
      <c r="V470" s="4">
        <f t="shared" si="1920"/>
        <v>0</v>
      </c>
      <c r="W470" s="4">
        <f t="shared" si="1920"/>
        <v>0</v>
      </c>
      <c r="X470" s="4">
        <f t="shared" ref="X470:AM470" si="1921">+W473</f>
        <v>0</v>
      </c>
      <c r="Y470" s="4">
        <f t="shared" si="1921"/>
        <v>0</v>
      </c>
      <c r="Z470" s="4">
        <f t="shared" si="1921"/>
        <v>0</v>
      </c>
      <c r="AA470" s="4">
        <f t="shared" si="1921"/>
        <v>0</v>
      </c>
      <c r="AB470" s="4">
        <f t="shared" si="1921"/>
        <v>0</v>
      </c>
      <c r="AC470" s="4">
        <f t="shared" si="1921"/>
        <v>0</v>
      </c>
      <c r="AD470" s="4">
        <f t="shared" si="1921"/>
        <v>0</v>
      </c>
      <c r="AE470" s="4">
        <f t="shared" si="1921"/>
        <v>0</v>
      </c>
      <c r="AF470" s="4">
        <f t="shared" si="1921"/>
        <v>0</v>
      </c>
      <c r="AG470" s="4">
        <f t="shared" si="1921"/>
        <v>0</v>
      </c>
      <c r="AH470" s="4">
        <f t="shared" si="1921"/>
        <v>0</v>
      </c>
      <c r="AI470" s="4">
        <f t="shared" si="1921"/>
        <v>0</v>
      </c>
      <c r="AJ470" s="4">
        <f t="shared" si="1921"/>
        <v>0</v>
      </c>
      <c r="AK470" s="4">
        <f t="shared" si="1921"/>
        <v>0</v>
      </c>
      <c r="AL470" s="4">
        <f t="shared" si="1921"/>
        <v>0</v>
      </c>
      <c r="AM470" s="4">
        <f t="shared" si="1921"/>
        <v>0</v>
      </c>
      <c r="AN470" s="4">
        <f t="shared" ref="AN470" si="1922">+AM473</f>
        <v>0</v>
      </c>
      <c r="AO470" s="4">
        <f t="shared" ref="AO470" si="1923">+AN473</f>
        <v>0</v>
      </c>
      <c r="AP470" s="4">
        <f t="shared" ref="AP470" si="1924">+AO473</f>
        <v>0</v>
      </c>
      <c r="AQ470" s="4">
        <f t="shared" ref="AQ470" si="1925">+AP473</f>
        <v>0</v>
      </c>
      <c r="AR470" s="4">
        <f t="shared" ref="AR470" si="1926">+AQ473</f>
        <v>0</v>
      </c>
      <c r="AS470" s="4">
        <f t="shared" ref="AS470" si="1927">+AR473</f>
        <v>0</v>
      </c>
      <c r="AT470" s="4">
        <f t="shared" ref="AT470" si="1928">+AS473</f>
        <v>0</v>
      </c>
      <c r="AU470" s="4">
        <f t="shared" ref="AU470" si="1929">+AT473</f>
        <v>0</v>
      </c>
      <c r="AV470" s="4">
        <f t="shared" ref="AV470" si="1930">+AU473</f>
        <v>0</v>
      </c>
      <c r="AW470" s="4">
        <f t="shared" ref="AW470" si="1931">+AV473</f>
        <v>0</v>
      </c>
      <c r="AX470" s="4">
        <f t="shared" ref="AX470" si="1932">+AW473</f>
        <v>0</v>
      </c>
      <c r="AY470" s="4">
        <f t="shared" ref="AY470" si="1933">+AX473</f>
        <v>0</v>
      </c>
      <c r="AZ470" s="24"/>
      <c r="BA470" s="4"/>
      <c r="BB470" s="4"/>
      <c r="BC470" s="4"/>
      <c r="BD470" s="4"/>
      <c r="BE470" s="4"/>
      <c r="BF470" s="4"/>
      <c r="BG470" s="4"/>
      <c r="BH470" s="4"/>
      <c r="BI470" s="4"/>
      <c r="BJ470" s="4"/>
      <c r="BK470" s="4"/>
      <c r="BL470" s="4"/>
      <c r="BM470" s="4"/>
      <c r="BN470" s="4"/>
    </row>
    <row r="471" spans="1:66" hidden="1" outlineLevel="1">
      <c r="A471" s="357"/>
      <c r="B471" t="s">
        <v>128</v>
      </c>
      <c r="C471" s="4"/>
      <c r="D471" s="24"/>
      <c r="E471" s="24"/>
      <c r="F471" s="24"/>
      <c r="G471" s="24"/>
      <c r="H471" s="4"/>
      <c r="I471" s="4"/>
      <c r="J471" s="4">
        <f t="shared" ref="J471:O471" si="1934">+J469-J468</f>
        <v>0</v>
      </c>
      <c r="K471" s="4">
        <f t="shared" si="1934"/>
        <v>0</v>
      </c>
      <c r="L471" s="4">
        <f t="shared" si="1934"/>
        <v>0</v>
      </c>
      <c r="M471" s="4">
        <f t="shared" si="1934"/>
        <v>0</v>
      </c>
      <c r="N471" s="4">
        <f t="shared" si="1934"/>
        <v>0</v>
      </c>
      <c r="O471" s="4">
        <f t="shared" si="1934"/>
        <v>0</v>
      </c>
      <c r="P471" s="4">
        <f t="shared" ref="P471:W471" si="1935">+P469-P468</f>
        <v>0</v>
      </c>
      <c r="Q471" s="4">
        <f t="shared" si="1935"/>
        <v>0</v>
      </c>
      <c r="R471" s="4">
        <f t="shared" si="1935"/>
        <v>0</v>
      </c>
      <c r="S471" s="4">
        <f t="shared" si="1935"/>
        <v>0</v>
      </c>
      <c r="T471" s="4">
        <f t="shared" si="1935"/>
        <v>0</v>
      </c>
      <c r="U471" s="4">
        <f t="shared" si="1935"/>
        <v>0</v>
      </c>
      <c r="V471" s="4">
        <f t="shared" si="1935"/>
        <v>0</v>
      </c>
      <c r="W471" s="4">
        <f t="shared" si="1935"/>
        <v>0</v>
      </c>
      <c r="X471" s="4">
        <f t="shared" ref="X471:AM471" si="1936">+X469-X468</f>
        <v>0</v>
      </c>
      <c r="Y471" s="4">
        <f t="shared" si="1936"/>
        <v>0</v>
      </c>
      <c r="Z471" s="4">
        <f t="shared" si="1936"/>
        <v>0</v>
      </c>
      <c r="AA471" s="4">
        <f t="shared" si="1936"/>
        <v>0</v>
      </c>
      <c r="AB471" s="4">
        <f t="shared" si="1936"/>
        <v>0</v>
      </c>
      <c r="AC471" s="4">
        <f t="shared" si="1936"/>
        <v>0</v>
      </c>
      <c r="AD471" s="4">
        <f t="shared" si="1936"/>
        <v>0</v>
      </c>
      <c r="AE471" s="4">
        <f t="shared" si="1936"/>
        <v>0</v>
      </c>
      <c r="AF471" s="4">
        <f t="shared" si="1936"/>
        <v>0</v>
      </c>
      <c r="AG471" s="4">
        <f t="shared" si="1936"/>
        <v>0</v>
      </c>
      <c r="AH471" s="4">
        <f t="shared" si="1936"/>
        <v>0</v>
      </c>
      <c r="AI471" s="4">
        <f t="shared" si="1936"/>
        <v>0</v>
      </c>
      <c r="AJ471" s="4">
        <f t="shared" si="1936"/>
        <v>0</v>
      </c>
      <c r="AK471" s="4">
        <f t="shared" si="1936"/>
        <v>0</v>
      </c>
      <c r="AL471" s="4">
        <f t="shared" si="1936"/>
        <v>0</v>
      </c>
      <c r="AM471" s="4">
        <f t="shared" si="1936"/>
        <v>0</v>
      </c>
      <c r="AN471" s="4">
        <f t="shared" ref="AN471:AY471" si="1937">+AN469-AN468</f>
        <v>0</v>
      </c>
      <c r="AO471" s="4">
        <f t="shared" si="1937"/>
        <v>0</v>
      </c>
      <c r="AP471" s="4">
        <f t="shared" si="1937"/>
        <v>0</v>
      </c>
      <c r="AQ471" s="4">
        <f t="shared" si="1937"/>
        <v>0</v>
      </c>
      <c r="AR471" s="4">
        <f t="shared" si="1937"/>
        <v>0</v>
      </c>
      <c r="AS471" s="4">
        <f t="shared" si="1937"/>
        <v>0</v>
      </c>
      <c r="AT471" s="4">
        <f t="shared" si="1937"/>
        <v>0</v>
      </c>
      <c r="AU471" s="4">
        <f t="shared" si="1937"/>
        <v>0</v>
      </c>
      <c r="AV471" s="4">
        <f t="shared" si="1937"/>
        <v>0</v>
      </c>
      <c r="AW471" s="4">
        <f t="shared" si="1937"/>
        <v>0</v>
      </c>
      <c r="AX471" s="4">
        <f t="shared" si="1937"/>
        <v>0</v>
      </c>
      <c r="AY471" s="4">
        <f t="shared" si="1937"/>
        <v>0</v>
      </c>
      <c r="AZ471" s="24"/>
      <c r="BA471" s="4"/>
      <c r="BB471" s="4"/>
      <c r="BC471" s="4"/>
      <c r="BD471" s="4"/>
      <c r="BE471" s="4"/>
      <c r="BF471" s="4"/>
      <c r="BG471" s="4"/>
      <c r="BH471" s="4"/>
      <c r="BI471" s="4"/>
      <c r="BJ471" s="4"/>
      <c r="BK471" s="4"/>
      <c r="BL471" s="4"/>
      <c r="BM471" s="4"/>
      <c r="BN471" s="4"/>
    </row>
    <row r="472" spans="1:66" hidden="1" outlineLevel="1">
      <c r="A472" s="357"/>
      <c r="B472" t="s">
        <v>129</v>
      </c>
      <c r="C472" s="4"/>
      <c r="D472" s="24"/>
      <c r="E472" s="24"/>
      <c r="F472" s="24"/>
      <c r="G472" s="24"/>
      <c r="H472" s="4"/>
      <c r="I472" s="4"/>
      <c r="J472" s="4">
        <f t="shared" ref="J472:R472" si="1938">+IF($C467&lt;J$1,-(J470+J471),0)</f>
        <v>0</v>
      </c>
      <c r="K472" s="4">
        <f t="shared" si="1938"/>
        <v>0</v>
      </c>
      <c r="L472" s="4">
        <f t="shared" si="1938"/>
        <v>0</v>
      </c>
      <c r="M472" s="4">
        <f t="shared" si="1938"/>
        <v>0</v>
      </c>
      <c r="N472" s="4">
        <f t="shared" si="1938"/>
        <v>0</v>
      </c>
      <c r="O472" s="4">
        <f t="shared" si="1938"/>
        <v>0</v>
      </c>
      <c r="P472" s="4">
        <f t="shared" si="1938"/>
        <v>0</v>
      </c>
      <c r="Q472" s="4">
        <f t="shared" si="1938"/>
        <v>0</v>
      </c>
      <c r="R472" s="4">
        <f t="shared" si="1938"/>
        <v>0</v>
      </c>
      <c r="S472" s="4">
        <f>+IF($C467&lt;S$1,-(S470+S471),0)</f>
        <v>-70</v>
      </c>
      <c r="T472" s="4">
        <f>+IF($C467&lt;T$1,-(T470+T471),0)</f>
        <v>0</v>
      </c>
      <c r="U472" s="4">
        <f>+IF($C467&lt;U$1,-(U470+U471),0)</f>
        <v>0</v>
      </c>
      <c r="V472" s="4">
        <f>+IF($C467&lt;V$1,-(V470+V471),0)</f>
        <v>0</v>
      </c>
      <c r="W472" s="4">
        <f>+IF($C467&lt;W$1,-(W470+W471),0)</f>
        <v>0</v>
      </c>
      <c r="X472" s="4">
        <f t="shared" ref="X472:AM472" si="1939">+IF($C467&lt;X$1,-(X470+X471),0)</f>
        <v>0</v>
      </c>
      <c r="Y472" s="4">
        <f t="shared" si="1939"/>
        <v>0</v>
      </c>
      <c r="Z472" s="4">
        <f t="shared" si="1939"/>
        <v>0</v>
      </c>
      <c r="AA472" s="4">
        <f t="shared" si="1939"/>
        <v>0</v>
      </c>
      <c r="AB472" s="4">
        <f t="shared" si="1939"/>
        <v>0</v>
      </c>
      <c r="AC472" s="4">
        <f t="shared" si="1939"/>
        <v>0</v>
      </c>
      <c r="AD472" s="4">
        <f t="shared" si="1939"/>
        <v>0</v>
      </c>
      <c r="AE472" s="4">
        <f t="shared" si="1939"/>
        <v>0</v>
      </c>
      <c r="AF472" s="4">
        <f t="shared" si="1939"/>
        <v>0</v>
      </c>
      <c r="AG472" s="4">
        <f t="shared" si="1939"/>
        <v>0</v>
      </c>
      <c r="AH472" s="4">
        <f t="shared" si="1939"/>
        <v>0</v>
      </c>
      <c r="AI472" s="4">
        <f t="shared" si="1939"/>
        <v>0</v>
      </c>
      <c r="AJ472" s="4">
        <f t="shared" si="1939"/>
        <v>0</v>
      </c>
      <c r="AK472" s="4">
        <f t="shared" si="1939"/>
        <v>0</v>
      </c>
      <c r="AL472" s="4">
        <f t="shared" si="1939"/>
        <v>0</v>
      </c>
      <c r="AM472" s="4">
        <f t="shared" si="1939"/>
        <v>0</v>
      </c>
      <c r="AN472" s="4">
        <f t="shared" ref="AN472:AY472" si="1940">+IF($C467&lt;AN$1,-(AN470+AN471),0)</f>
        <v>0</v>
      </c>
      <c r="AO472" s="4">
        <f t="shared" si="1940"/>
        <v>0</v>
      </c>
      <c r="AP472" s="4">
        <f t="shared" si="1940"/>
        <v>0</v>
      </c>
      <c r="AQ472" s="4">
        <f t="shared" si="1940"/>
        <v>0</v>
      </c>
      <c r="AR472" s="4">
        <f t="shared" si="1940"/>
        <v>0</v>
      </c>
      <c r="AS472" s="4">
        <f t="shared" si="1940"/>
        <v>0</v>
      </c>
      <c r="AT472" s="4">
        <f t="shared" si="1940"/>
        <v>0</v>
      </c>
      <c r="AU472" s="4">
        <f t="shared" si="1940"/>
        <v>0</v>
      </c>
      <c r="AV472" s="4">
        <f t="shared" si="1940"/>
        <v>0</v>
      </c>
      <c r="AW472" s="4">
        <f t="shared" si="1940"/>
        <v>0</v>
      </c>
      <c r="AX472" s="4">
        <f t="shared" si="1940"/>
        <v>0</v>
      </c>
      <c r="AY472" s="4">
        <f t="shared" si="1940"/>
        <v>0</v>
      </c>
      <c r="AZ472" s="24"/>
      <c r="BA472" s="4"/>
      <c r="BB472" s="4"/>
      <c r="BC472" s="4"/>
      <c r="BD472" s="4"/>
      <c r="BE472" s="4"/>
      <c r="BF472" s="4"/>
      <c r="BG472" s="4"/>
      <c r="BH472" s="4"/>
      <c r="BI472" s="4"/>
      <c r="BJ472" s="4"/>
      <c r="BK472" s="4"/>
      <c r="BL472" s="4"/>
      <c r="BM472" s="4"/>
      <c r="BN472" s="4"/>
    </row>
    <row r="473" spans="1:66" hidden="1" outlineLevel="1">
      <c r="A473" s="357"/>
      <c r="B473" t="s">
        <v>130</v>
      </c>
      <c r="C473" s="4"/>
      <c r="D473" s="28"/>
      <c r="E473" s="28"/>
      <c r="F473" s="28"/>
      <c r="G473" s="28"/>
      <c r="H473" s="4"/>
      <c r="I473" s="7">
        <v>70</v>
      </c>
      <c r="J473" s="4">
        <f t="shared" ref="J473:R473" si="1941">+SUM(J470:J472)</f>
        <v>70</v>
      </c>
      <c r="K473" s="4">
        <f t="shared" si="1941"/>
        <v>70</v>
      </c>
      <c r="L473" s="4">
        <f t="shared" si="1941"/>
        <v>70</v>
      </c>
      <c r="M473" s="4">
        <f t="shared" si="1941"/>
        <v>70</v>
      </c>
      <c r="N473" s="4">
        <f t="shared" si="1941"/>
        <v>70</v>
      </c>
      <c r="O473" s="4">
        <f t="shared" si="1941"/>
        <v>70</v>
      </c>
      <c r="P473" s="4">
        <f t="shared" si="1941"/>
        <v>70</v>
      </c>
      <c r="Q473" s="4">
        <f t="shared" si="1941"/>
        <v>70</v>
      </c>
      <c r="R473" s="4">
        <f t="shared" si="1941"/>
        <v>70</v>
      </c>
      <c r="S473" s="4">
        <f>+SUM(S470:S472)</f>
        <v>0</v>
      </c>
      <c r="T473" s="4">
        <f>+SUM(T470:T472)</f>
        <v>0</v>
      </c>
      <c r="U473" s="4">
        <f>+SUM(U470:U472)</f>
        <v>0</v>
      </c>
      <c r="V473" s="4">
        <f>+SUM(V470:V472)</f>
        <v>0</v>
      </c>
      <c r="W473" s="4">
        <f>+SUM(W470:W472)</f>
        <v>0</v>
      </c>
      <c r="X473" s="4">
        <f t="shared" ref="X473:AM473" si="1942">+SUM(X470:X472)</f>
        <v>0</v>
      </c>
      <c r="Y473" s="4">
        <f t="shared" si="1942"/>
        <v>0</v>
      </c>
      <c r="Z473" s="4">
        <f t="shared" si="1942"/>
        <v>0</v>
      </c>
      <c r="AA473" s="4">
        <f t="shared" si="1942"/>
        <v>0</v>
      </c>
      <c r="AB473" s="4">
        <f t="shared" si="1942"/>
        <v>0</v>
      </c>
      <c r="AC473" s="4">
        <f t="shared" si="1942"/>
        <v>0</v>
      </c>
      <c r="AD473" s="4">
        <f t="shared" si="1942"/>
        <v>0</v>
      </c>
      <c r="AE473" s="4">
        <f t="shared" si="1942"/>
        <v>0</v>
      </c>
      <c r="AF473" s="4">
        <f t="shared" si="1942"/>
        <v>0</v>
      </c>
      <c r="AG473" s="4">
        <f t="shared" si="1942"/>
        <v>0</v>
      </c>
      <c r="AH473" s="4">
        <f t="shared" si="1942"/>
        <v>0</v>
      </c>
      <c r="AI473" s="4">
        <f t="shared" si="1942"/>
        <v>0</v>
      </c>
      <c r="AJ473" s="4">
        <f t="shared" si="1942"/>
        <v>0</v>
      </c>
      <c r="AK473" s="4">
        <f t="shared" si="1942"/>
        <v>0</v>
      </c>
      <c r="AL473" s="4">
        <f t="shared" si="1942"/>
        <v>0</v>
      </c>
      <c r="AM473" s="4">
        <f t="shared" si="1942"/>
        <v>0</v>
      </c>
      <c r="AN473" s="4">
        <f t="shared" ref="AN473:AY473" si="1943">+SUM(AN470:AN472)</f>
        <v>0</v>
      </c>
      <c r="AO473" s="4">
        <f t="shared" si="1943"/>
        <v>0</v>
      </c>
      <c r="AP473" s="4">
        <f t="shared" si="1943"/>
        <v>0</v>
      </c>
      <c r="AQ473" s="4">
        <f t="shared" si="1943"/>
        <v>0</v>
      </c>
      <c r="AR473" s="4">
        <f t="shared" si="1943"/>
        <v>0</v>
      </c>
      <c r="AS473" s="4">
        <f t="shared" si="1943"/>
        <v>0</v>
      </c>
      <c r="AT473" s="4">
        <f t="shared" si="1943"/>
        <v>0</v>
      </c>
      <c r="AU473" s="4">
        <f t="shared" si="1943"/>
        <v>0</v>
      </c>
      <c r="AV473" s="4">
        <f t="shared" si="1943"/>
        <v>0</v>
      </c>
      <c r="AW473" s="4">
        <f t="shared" si="1943"/>
        <v>0</v>
      </c>
      <c r="AX473" s="4">
        <f t="shared" si="1943"/>
        <v>0</v>
      </c>
      <c r="AY473" s="4">
        <f t="shared" si="1943"/>
        <v>0</v>
      </c>
      <c r="AZ473" s="24"/>
      <c r="BA473" s="4"/>
      <c r="BB473" s="4"/>
      <c r="BC473" s="4"/>
      <c r="BD473" s="4"/>
      <c r="BE473" s="4"/>
      <c r="BF473" s="4"/>
      <c r="BG473" s="4"/>
      <c r="BH473" s="4"/>
      <c r="BI473" s="4"/>
      <c r="BJ473" s="4"/>
      <c r="BK473" s="4"/>
      <c r="BL473" s="4"/>
      <c r="BM473" s="4"/>
      <c r="BN473" s="4"/>
    </row>
    <row r="474" spans="1:66" hidden="1" outlineLevel="1">
      <c r="A474" s="357"/>
      <c r="B474" t="s">
        <v>131</v>
      </c>
      <c r="C474" s="17">
        <v>0</v>
      </c>
      <c r="D474" s="24"/>
      <c r="E474" s="24"/>
      <c r="F474" s="24"/>
      <c r="G474" s="2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24"/>
      <c r="BA474" s="4"/>
      <c r="BB474" s="4"/>
      <c r="BC474" s="4"/>
      <c r="BD474" s="4"/>
      <c r="BE474" s="4"/>
      <c r="BF474" s="4"/>
      <c r="BG474" s="4"/>
      <c r="BH474" s="4"/>
      <c r="BI474" s="4"/>
      <c r="BJ474" s="4"/>
      <c r="BK474" s="4"/>
      <c r="BL474" s="4"/>
      <c r="BM474" s="4"/>
      <c r="BN474" s="4"/>
    </row>
    <row r="475" spans="1:66" hidden="1" outlineLevel="1">
      <c r="A475" s="22"/>
      <c r="C475" s="4"/>
      <c r="D475" s="24"/>
      <c r="E475" s="24"/>
      <c r="F475" s="24"/>
      <c r="G475" s="2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24"/>
      <c r="BA475" s="4"/>
      <c r="BB475" s="4"/>
      <c r="BC475" s="4"/>
      <c r="BD475" s="4"/>
      <c r="BE475" s="4"/>
      <c r="BF475" s="4"/>
      <c r="BG475" s="4"/>
      <c r="BH475" s="4"/>
      <c r="BI475" s="4"/>
      <c r="BJ475" s="4"/>
      <c r="BK475" s="4"/>
      <c r="BL475" s="4"/>
      <c r="BM475" s="4"/>
      <c r="BN475" s="4"/>
    </row>
    <row r="476" spans="1:66" collapsed="1">
      <c r="A476" s="22"/>
      <c r="B476" s="294" t="s">
        <v>491</v>
      </c>
      <c r="C476" s="37">
        <v>44682</v>
      </c>
      <c r="D476" s="34"/>
      <c r="E476" s="34"/>
      <c r="F476" s="34"/>
      <c r="G476" s="34"/>
      <c r="H476" s="33"/>
      <c r="I476" s="34"/>
      <c r="J476" s="33"/>
      <c r="K476" s="33"/>
      <c r="L476" s="33"/>
      <c r="M476" s="34"/>
      <c r="N476" s="33"/>
      <c r="O476" s="33"/>
      <c r="P476" s="33"/>
      <c r="Q476" s="33"/>
      <c r="R476" s="33"/>
      <c r="S476" s="33"/>
      <c r="T476" s="33"/>
      <c r="U476" s="33"/>
      <c r="V476" s="33"/>
      <c r="W476" s="33"/>
      <c r="X476" s="34">
        <v>1.9059999999999999</v>
      </c>
      <c r="Y476" s="33">
        <f t="shared" ref="Y476:AM476" si="1944">+IF($C476&gt;Y$1,X476+Y481,X476-X476)</f>
        <v>1.8979999999999999</v>
      </c>
      <c r="Z476" s="33">
        <f t="shared" si="1944"/>
        <v>1.8819999999999999</v>
      </c>
      <c r="AA476" s="33">
        <f t="shared" si="1944"/>
        <v>1.8660000000000001</v>
      </c>
      <c r="AB476" s="33">
        <f t="shared" si="1944"/>
        <v>1.8660000000000001</v>
      </c>
      <c r="AC476" s="33">
        <f t="shared" si="1944"/>
        <v>1.8660000000000001</v>
      </c>
      <c r="AD476" s="33">
        <f t="shared" si="1944"/>
        <v>1.8660000000000001</v>
      </c>
      <c r="AE476" s="33">
        <f t="shared" si="1944"/>
        <v>1.8660000000000001</v>
      </c>
      <c r="AF476" s="33">
        <f t="shared" si="1944"/>
        <v>1.8660000000000001</v>
      </c>
      <c r="AG476" s="33">
        <f t="shared" si="1944"/>
        <v>1.8660000000000001</v>
      </c>
      <c r="AH476" s="33">
        <f t="shared" si="1944"/>
        <v>1.8660000000000001</v>
      </c>
      <c r="AI476" s="33">
        <f t="shared" si="1944"/>
        <v>1.8660000000000001</v>
      </c>
      <c r="AJ476" s="33">
        <f t="shared" si="1944"/>
        <v>1.8660000000000001</v>
      </c>
      <c r="AK476" s="33">
        <f t="shared" si="1944"/>
        <v>1.8660000000000001</v>
      </c>
      <c r="AL476" s="33">
        <f t="shared" si="1944"/>
        <v>1.8660000000000001</v>
      </c>
      <c r="AM476" s="33">
        <f t="shared" si="1944"/>
        <v>1.8660000000000001</v>
      </c>
      <c r="AN476" s="33">
        <f t="shared" ref="AN476" si="1945">+IF($C476&gt;AN$1,AM476+AN481,AM476-AM476)</f>
        <v>1.8660000000000001</v>
      </c>
      <c r="AO476" s="33">
        <f t="shared" ref="AO476" si="1946">+IF($C476&gt;AO$1,AN476+AO481,AN476-AN476)</f>
        <v>1.8660000000000001</v>
      </c>
      <c r="AP476" s="33">
        <f t="shared" ref="AP476" si="1947">+IF($C476&gt;AP$1,AO476+AP481,AO476-AO476)</f>
        <v>1.8660000000000001</v>
      </c>
      <c r="AQ476" s="33">
        <f t="shared" ref="AQ476" si="1948">+IF($C476&gt;AQ$1,AP476+AQ481,AP476-AP476)</f>
        <v>1.8660000000000001</v>
      </c>
      <c r="AR476" s="33">
        <f t="shared" ref="AR476" si="1949">+IF($C476&gt;AR$1,AQ476+AR481,AQ476-AQ476)</f>
        <v>1.8660000000000001</v>
      </c>
      <c r="AS476" s="33">
        <f t="shared" ref="AS476" si="1950">+IF($C476&gt;AS$1,AR476+AS481,AR476-AR476)</f>
        <v>0</v>
      </c>
      <c r="AT476" s="33">
        <f t="shared" ref="AT476" si="1951">+IF($C476&gt;AT$1,AS476+AT481,AS476-AS476)</f>
        <v>0</v>
      </c>
      <c r="AU476" s="33">
        <f t="shared" ref="AU476" si="1952">+IF($C476&gt;AU$1,AT476+AU481,AT476-AT476)</f>
        <v>0</v>
      </c>
      <c r="AV476" s="33">
        <f t="shared" ref="AV476" si="1953">+IF($C476&gt;AV$1,AU476+AV481,AU476-AU476)</f>
        <v>0</v>
      </c>
      <c r="AW476" s="33">
        <f t="shared" ref="AW476" si="1954">+IF($C476&gt;AW$1,AV476+AW481,AV476-AV476)</f>
        <v>0</v>
      </c>
      <c r="AX476" s="33">
        <f t="shared" ref="AX476" si="1955">+IF($C476&gt;AX$1,AW476+AX481,AW476-AW476)</f>
        <v>0</v>
      </c>
      <c r="AY476" s="33">
        <f t="shared" ref="AY476" si="1956">+IF($C476&gt;AY$1,AX476+AY481,AX476-AX476)</f>
        <v>0</v>
      </c>
      <c r="AZ476" s="24"/>
      <c r="BA476" s="33"/>
      <c r="BB476" s="33"/>
      <c r="BC476" s="33"/>
      <c r="BD476" s="33"/>
      <c r="BE476" s="33"/>
      <c r="BF476" s="33"/>
      <c r="BG476" s="33"/>
      <c r="BH476" s="33"/>
      <c r="BI476" s="33"/>
      <c r="BJ476" s="33"/>
      <c r="BK476" s="33"/>
      <c r="BL476" s="33"/>
      <c r="BM476" s="33"/>
      <c r="BN476" s="33"/>
    </row>
    <row r="477" spans="1:66">
      <c r="A477" s="22"/>
      <c r="B477" t="s">
        <v>126</v>
      </c>
      <c r="C477" s="17">
        <v>4.1000000000000002E-2</v>
      </c>
      <c r="D477" s="24"/>
      <c r="E477" s="24"/>
      <c r="F477" s="24"/>
      <c r="G477" s="24"/>
      <c r="H477" s="4"/>
      <c r="I477" s="4"/>
      <c r="J477" s="4"/>
      <c r="K477" s="4"/>
      <c r="L477" s="4"/>
      <c r="M477" s="4"/>
      <c r="N477" s="4"/>
      <c r="O477" s="4"/>
      <c r="P477" s="4"/>
      <c r="Q477" s="4"/>
      <c r="R477" s="4"/>
      <c r="S477" s="4"/>
      <c r="T477" s="4"/>
      <c r="U477" s="4"/>
      <c r="V477" s="4"/>
      <c r="W477" s="4"/>
      <c r="X477" s="4"/>
      <c r="Y477" s="4">
        <f t="shared" ref="Y477:AM477" si="1957">AVERAGE(X476:Y476)*($C477/4)</f>
        <v>1.9495499999999999E-2</v>
      </c>
      <c r="Z477" s="4">
        <f t="shared" si="1957"/>
        <v>1.9372500000000001E-2</v>
      </c>
      <c r="AA477" s="4">
        <f t="shared" si="1957"/>
        <v>1.9208500000000003E-2</v>
      </c>
      <c r="AB477" s="4">
        <f t="shared" si="1957"/>
        <v>1.9126500000000001E-2</v>
      </c>
      <c r="AC477" s="4">
        <f t="shared" si="1957"/>
        <v>1.9126500000000001E-2</v>
      </c>
      <c r="AD477" s="4">
        <f t="shared" si="1957"/>
        <v>1.9126500000000001E-2</v>
      </c>
      <c r="AE477" s="4">
        <f t="shared" si="1957"/>
        <v>1.9126500000000001E-2</v>
      </c>
      <c r="AF477" s="4">
        <f t="shared" si="1957"/>
        <v>1.9126500000000001E-2</v>
      </c>
      <c r="AG477" s="4">
        <f t="shared" si="1957"/>
        <v>1.9126500000000001E-2</v>
      </c>
      <c r="AH477" s="4">
        <f t="shared" si="1957"/>
        <v>1.9126500000000001E-2</v>
      </c>
      <c r="AI477" s="4">
        <f t="shared" si="1957"/>
        <v>1.9126500000000001E-2</v>
      </c>
      <c r="AJ477" s="4">
        <f t="shared" si="1957"/>
        <v>1.9126500000000001E-2</v>
      </c>
      <c r="AK477" s="4">
        <f t="shared" si="1957"/>
        <v>1.9126500000000001E-2</v>
      </c>
      <c r="AL477" s="4">
        <f t="shared" si="1957"/>
        <v>1.9126500000000001E-2</v>
      </c>
      <c r="AM477" s="4">
        <f t="shared" si="1957"/>
        <v>1.9126500000000001E-2</v>
      </c>
      <c r="AN477" s="4">
        <f t="shared" ref="AN477" si="1958">AVERAGE(AM476:AN476)*($C477/4)</f>
        <v>1.9126500000000001E-2</v>
      </c>
      <c r="AO477" s="4">
        <f t="shared" ref="AO477" si="1959">AVERAGE(AN476:AO476)*($C477/4)</f>
        <v>1.9126500000000001E-2</v>
      </c>
      <c r="AP477" s="4">
        <f t="shared" ref="AP477" si="1960">AVERAGE(AO476:AP476)*($C477/4)</f>
        <v>1.9126500000000001E-2</v>
      </c>
      <c r="AQ477" s="4">
        <f t="shared" ref="AQ477" si="1961">AVERAGE(AP476:AQ476)*($C477/4)</f>
        <v>1.9126500000000001E-2</v>
      </c>
      <c r="AR477" s="4">
        <f t="shared" ref="AR477" si="1962">AVERAGE(AQ476:AR476)*($C477/4)</f>
        <v>1.9126500000000001E-2</v>
      </c>
      <c r="AS477" s="4">
        <f t="shared" ref="AS477" si="1963">AVERAGE(AR476:AS476)*($C477/4)</f>
        <v>9.5632500000000006E-3</v>
      </c>
      <c r="AT477" s="4">
        <f t="shared" ref="AT477" si="1964">AVERAGE(AS476:AT476)*($C477/4)</f>
        <v>0</v>
      </c>
      <c r="AU477" s="4">
        <f t="shared" ref="AU477" si="1965">AVERAGE(AT476:AU476)*($C477/4)</f>
        <v>0</v>
      </c>
      <c r="AV477" s="4">
        <f t="shared" ref="AV477" si="1966">AVERAGE(AU476:AV476)*($C477/4)</f>
        <v>0</v>
      </c>
      <c r="AW477" s="4">
        <f t="shared" ref="AW477" si="1967">AVERAGE(AV476:AW476)*($C477/4)</f>
        <v>0</v>
      </c>
      <c r="AX477" s="4">
        <f t="shared" ref="AX477" si="1968">AVERAGE(AW476:AX476)*($C477/4)</f>
        <v>0</v>
      </c>
      <c r="AY477" s="4">
        <f t="shared" ref="AY477" si="1969">AVERAGE(AX476:AY476)*($C477/4)</f>
        <v>0</v>
      </c>
      <c r="AZ477" s="24"/>
      <c r="BA477" s="4"/>
      <c r="BB477" s="4"/>
      <c r="BC477" s="4"/>
      <c r="BD477" s="4"/>
      <c r="BE477" s="4"/>
      <c r="BF477" s="4"/>
      <c r="BG477" s="4"/>
      <c r="BH477" s="4"/>
      <c r="BI477" s="4"/>
      <c r="BJ477" s="4"/>
      <c r="BK477" s="4"/>
      <c r="BL477" s="4"/>
      <c r="BM477" s="4"/>
      <c r="BN477" s="4"/>
    </row>
    <row r="478" spans="1:66">
      <c r="A478" s="22"/>
      <c r="B478" t="s">
        <v>1</v>
      </c>
      <c r="C478" s="17">
        <v>4.1000000000000002E-2</v>
      </c>
      <c r="D478" s="24"/>
      <c r="E478" s="24"/>
      <c r="F478" s="24"/>
      <c r="G478" s="24"/>
      <c r="H478" s="4"/>
      <c r="I478" s="4"/>
      <c r="J478" s="4"/>
      <c r="K478" s="4"/>
      <c r="L478" s="4"/>
      <c r="M478" s="4"/>
      <c r="N478" s="4"/>
      <c r="O478" s="4"/>
      <c r="P478" s="4"/>
      <c r="Q478" s="4"/>
      <c r="R478" s="4"/>
      <c r="S478" s="4"/>
      <c r="T478" s="4"/>
      <c r="U478" s="4"/>
      <c r="V478" s="4"/>
      <c r="W478" s="4"/>
      <c r="X478" s="4"/>
      <c r="Y478" s="4">
        <f t="shared" ref="Y478:AM478" si="1970">AVERAGE(X476:Y476)*($C478/4)</f>
        <v>1.9495499999999999E-2</v>
      </c>
      <c r="Z478" s="4">
        <f t="shared" si="1970"/>
        <v>1.9372500000000001E-2</v>
      </c>
      <c r="AA478" s="4">
        <f t="shared" si="1970"/>
        <v>1.9208500000000003E-2</v>
      </c>
      <c r="AB478" s="4">
        <f t="shared" si="1970"/>
        <v>1.9126500000000001E-2</v>
      </c>
      <c r="AC478" s="4">
        <f t="shared" si="1970"/>
        <v>1.9126500000000001E-2</v>
      </c>
      <c r="AD478" s="4">
        <f t="shared" si="1970"/>
        <v>1.9126500000000001E-2</v>
      </c>
      <c r="AE478" s="4">
        <f t="shared" si="1970"/>
        <v>1.9126500000000001E-2</v>
      </c>
      <c r="AF478" s="4">
        <f t="shared" si="1970"/>
        <v>1.9126500000000001E-2</v>
      </c>
      <c r="AG478" s="4">
        <f t="shared" si="1970"/>
        <v>1.9126500000000001E-2</v>
      </c>
      <c r="AH478" s="4">
        <f t="shared" si="1970"/>
        <v>1.9126500000000001E-2</v>
      </c>
      <c r="AI478" s="4">
        <f t="shared" si="1970"/>
        <v>1.9126500000000001E-2</v>
      </c>
      <c r="AJ478" s="4">
        <f t="shared" si="1970"/>
        <v>1.9126500000000001E-2</v>
      </c>
      <c r="AK478" s="4">
        <f t="shared" si="1970"/>
        <v>1.9126500000000001E-2</v>
      </c>
      <c r="AL478" s="4">
        <f t="shared" si="1970"/>
        <v>1.9126500000000001E-2</v>
      </c>
      <c r="AM478" s="4">
        <f t="shared" si="1970"/>
        <v>1.9126500000000001E-2</v>
      </c>
      <c r="AN478" s="4">
        <f t="shared" ref="AN478" si="1971">AVERAGE(AM476:AN476)*($C478/4)</f>
        <v>1.9126500000000001E-2</v>
      </c>
      <c r="AO478" s="4">
        <f t="shared" ref="AO478" si="1972">AVERAGE(AN476:AO476)*($C478/4)</f>
        <v>1.9126500000000001E-2</v>
      </c>
      <c r="AP478" s="4">
        <f t="shared" ref="AP478" si="1973">AVERAGE(AO476:AP476)*($C478/4)</f>
        <v>1.9126500000000001E-2</v>
      </c>
      <c r="AQ478" s="4">
        <f t="shared" ref="AQ478" si="1974">AVERAGE(AP476:AQ476)*($C478/4)</f>
        <v>1.9126500000000001E-2</v>
      </c>
      <c r="AR478" s="4">
        <f t="shared" ref="AR478" si="1975">AVERAGE(AQ476:AR476)*($C478/4)</f>
        <v>1.9126500000000001E-2</v>
      </c>
      <c r="AS478" s="4">
        <f t="shared" ref="AS478" si="1976">AVERAGE(AR476:AS476)*($C478/4)</f>
        <v>9.5632500000000006E-3</v>
      </c>
      <c r="AT478" s="4">
        <f t="shared" ref="AT478" si="1977">AVERAGE(AS476:AT476)*($C478/4)</f>
        <v>0</v>
      </c>
      <c r="AU478" s="4">
        <f t="shared" ref="AU478" si="1978">AVERAGE(AT476:AU476)*($C478/4)</f>
        <v>0</v>
      </c>
      <c r="AV478" s="4">
        <f t="shared" ref="AV478" si="1979">AVERAGE(AU476:AV476)*($C478/4)</f>
        <v>0</v>
      </c>
      <c r="AW478" s="4">
        <f t="shared" ref="AW478" si="1980">AVERAGE(AV476:AW476)*($C478/4)</f>
        <v>0</v>
      </c>
      <c r="AX478" s="4">
        <f t="shared" ref="AX478" si="1981">AVERAGE(AW476:AX476)*($C478/4)</f>
        <v>0</v>
      </c>
      <c r="AY478" s="4">
        <f t="shared" ref="AY478" si="1982">AVERAGE(AX476:AY476)*($C478/4)</f>
        <v>0</v>
      </c>
      <c r="AZ478" s="24"/>
      <c r="BA478" s="4"/>
      <c r="BB478" s="4"/>
      <c r="BC478" s="4"/>
      <c r="BD478" s="4"/>
      <c r="BE478" s="4"/>
      <c r="BF478" s="4"/>
      <c r="BG478" s="4"/>
      <c r="BH478" s="4"/>
      <c r="BI478" s="4"/>
      <c r="BJ478" s="4"/>
      <c r="BK478" s="4"/>
      <c r="BL478" s="4"/>
      <c r="BM478" s="4"/>
      <c r="BN478" s="4"/>
    </row>
    <row r="479" spans="1:66">
      <c r="A479" s="22"/>
      <c r="B479" t="s">
        <v>127</v>
      </c>
      <c r="C479" s="4"/>
      <c r="D479" s="24"/>
      <c r="E479" s="24"/>
      <c r="F479" s="24"/>
      <c r="G479" s="24"/>
      <c r="H479" s="4"/>
      <c r="I479" s="4"/>
      <c r="J479" s="4"/>
      <c r="K479" s="4"/>
      <c r="L479" s="4"/>
      <c r="M479" s="4"/>
      <c r="N479" s="4"/>
      <c r="O479" s="4"/>
      <c r="P479" s="4"/>
      <c r="Q479" s="4"/>
      <c r="R479" s="4"/>
      <c r="S479" s="4"/>
      <c r="T479" s="4"/>
      <c r="U479" s="4"/>
      <c r="V479" s="4"/>
      <c r="W479" s="4"/>
      <c r="X479" s="4"/>
      <c r="Y479" s="4">
        <f t="shared" ref="Y479:AM479" si="1983">+X482</f>
        <v>1.9059999999999999</v>
      </c>
      <c r="Z479" s="4">
        <f t="shared" si="1983"/>
        <v>1.8979999999999999</v>
      </c>
      <c r="AA479" s="4">
        <f t="shared" si="1983"/>
        <v>1.8819999999999999</v>
      </c>
      <c r="AB479" s="4">
        <f t="shared" si="1983"/>
        <v>1.8660000000000001</v>
      </c>
      <c r="AC479" s="4">
        <f t="shared" si="1983"/>
        <v>1.8660000000000001</v>
      </c>
      <c r="AD479" s="4">
        <f t="shared" si="1983"/>
        <v>1.8660000000000001</v>
      </c>
      <c r="AE479" s="4">
        <f t="shared" si="1983"/>
        <v>1.8660000000000001</v>
      </c>
      <c r="AF479" s="4">
        <f t="shared" si="1983"/>
        <v>1.8660000000000001</v>
      </c>
      <c r="AG479" s="4">
        <f t="shared" si="1983"/>
        <v>1.8660000000000001</v>
      </c>
      <c r="AH479" s="4">
        <f t="shared" si="1983"/>
        <v>1.8660000000000001</v>
      </c>
      <c r="AI479" s="4">
        <f t="shared" si="1983"/>
        <v>1.8660000000000001</v>
      </c>
      <c r="AJ479" s="4">
        <f t="shared" si="1983"/>
        <v>1.8660000000000001</v>
      </c>
      <c r="AK479" s="4">
        <f t="shared" si="1983"/>
        <v>1.8660000000000001</v>
      </c>
      <c r="AL479" s="4">
        <f t="shared" si="1983"/>
        <v>1.8660000000000001</v>
      </c>
      <c r="AM479" s="4">
        <f t="shared" si="1983"/>
        <v>1.8660000000000001</v>
      </c>
      <c r="AN479" s="4">
        <f t="shared" ref="AN479" si="1984">+AM482</f>
        <v>1.8660000000000001</v>
      </c>
      <c r="AO479" s="4">
        <f t="shared" ref="AO479" si="1985">+AN482</f>
        <v>1.8660000000000001</v>
      </c>
      <c r="AP479" s="4">
        <f t="shared" ref="AP479" si="1986">+AO482</f>
        <v>1.8660000000000001</v>
      </c>
      <c r="AQ479" s="4">
        <f t="shared" ref="AQ479" si="1987">+AP482</f>
        <v>1.8660000000000001</v>
      </c>
      <c r="AR479" s="4">
        <f t="shared" ref="AR479" si="1988">+AQ482</f>
        <v>1.8660000000000001</v>
      </c>
      <c r="AS479" s="4">
        <f t="shared" ref="AS479" si="1989">+AR482</f>
        <v>1.8660000000000001</v>
      </c>
      <c r="AT479" s="4">
        <f t="shared" ref="AT479" si="1990">+AS482</f>
        <v>0</v>
      </c>
      <c r="AU479" s="4">
        <f t="shared" ref="AU479" si="1991">+AT482</f>
        <v>0</v>
      </c>
      <c r="AV479" s="4">
        <f t="shared" ref="AV479" si="1992">+AU482</f>
        <v>0</v>
      </c>
      <c r="AW479" s="4">
        <f t="shared" ref="AW479" si="1993">+AV482</f>
        <v>0</v>
      </c>
      <c r="AX479" s="4">
        <f t="shared" ref="AX479" si="1994">+AW482</f>
        <v>0</v>
      </c>
      <c r="AY479" s="4">
        <f t="shared" ref="AY479" si="1995">+AX482</f>
        <v>0</v>
      </c>
      <c r="AZ479" s="24"/>
      <c r="BA479" s="4"/>
      <c r="BB479" s="4"/>
      <c r="BC479" s="4"/>
      <c r="BD479" s="4"/>
      <c r="BE479" s="4"/>
      <c r="BF479" s="4"/>
      <c r="BG479" s="4"/>
      <c r="BH479" s="4"/>
      <c r="BI479" s="4"/>
      <c r="BJ479" s="4"/>
      <c r="BK479" s="4"/>
      <c r="BL479" s="4"/>
      <c r="BM479" s="4"/>
      <c r="BN479" s="4"/>
    </row>
    <row r="480" spans="1:66">
      <c r="A480" s="22"/>
      <c r="B480" t="s">
        <v>128</v>
      </c>
      <c r="C480" s="4"/>
      <c r="D480" s="24"/>
      <c r="E480" s="24"/>
      <c r="F480" s="24"/>
      <c r="G480" s="24"/>
      <c r="H480" s="4"/>
      <c r="I480" s="4"/>
      <c r="J480" s="4"/>
      <c r="K480" s="4"/>
      <c r="L480" s="4"/>
      <c r="M480" s="4"/>
      <c r="N480" s="292"/>
      <c r="O480" s="292"/>
      <c r="P480" s="292"/>
      <c r="Q480" s="292"/>
      <c r="R480" s="292"/>
      <c r="S480" s="292"/>
      <c r="T480" s="292"/>
      <c r="U480" s="292"/>
      <c r="V480" s="292"/>
      <c r="W480" s="292"/>
      <c r="X480" s="4"/>
      <c r="Y480" s="4">
        <f t="shared" ref="Y480:AM480" si="1996">+Y478-Y477</f>
        <v>0</v>
      </c>
      <c r="Z480" s="4">
        <f t="shared" ref="Z480" si="1997">+Z478-Z477</f>
        <v>0</v>
      </c>
      <c r="AA480" s="4">
        <f t="shared" si="1996"/>
        <v>0</v>
      </c>
      <c r="AB480" s="4">
        <f t="shared" si="1996"/>
        <v>0</v>
      </c>
      <c r="AC480" s="4">
        <f t="shared" si="1996"/>
        <v>0</v>
      </c>
      <c r="AD480" s="4">
        <f t="shared" si="1996"/>
        <v>0</v>
      </c>
      <c r="AE480" s="4">
        <f t="shared" si="1996"/>
        <v>0</v>
      </c>
      <c r="AF480" s="4">
        <f t="shared" si="1996"/>
        <v>0</v>
      </c>
      <c r="AG480" s="4">
        <f t="shared" si="1996"/>
        <v>0</v>
      </c>
      <c r="AH480" s="4">
        <f t="shared" si="1996"/>
        <v>0</v>
      </c>
      <c r="AI480" s="4">
        <f t="shared" si="1996"/>
        <v>0</v>
      </c>
      <c r="AJ480" s="4">
        <f t="shared" si="1996"/>
        <v>0</v>
      </c>
      <c r="AK480" s="4">
        <f t="shared" si="1996"/>
        <v>0</v>
      </c>
      <c r="AL480" s="4">
        <f t="shared" si="1996"/>
        <v>0</v>
      </c>
      <c r="AM480" s="4">
        <f t="shared" si="1996"/>
        <v>0</v>
      </c>
      <c r="AN480" s="4">
        <f t="shared" ref="AN480:AY480" si="1998">+AN478-AN477</f>
        <v>0</v>
      </c>
      <c r="AO480" s="4">
        <f t="shared" si="1998"/>
        <v>0</v>
      </c>
      <c r="AP480" s="4">
        <f t="shared" si="1998"/>
        <v>0</v>
      </c>
      <c r="AQ480" s="4">
        <f t="shared" si="1998"/>
        <v>0</v>
      </c>
      <c r="AR480" s="4">
        <f t="shared" si="1998"/>
        <v>0</v>
      </c>
      <c r="AS480" s="4">
        <f t="shared" si="1998"/>
        <v>0</v>
      </c>
      <c r="AT480" s="4">
        <f t="shared" si="1998"/>
        <v>0</v>
      </c>
      <c r="AU480" s="4">
        <f t="shared" si="1998"/>
        <v>0</v>
      </c>
      <c r="AV480" s="4">
        <f t="shared" si="1998"/>
        <v>0</v>
      </c>
      <c r="AW480" s="4">
        <f t="shared" si="1998"/>
        <v>0</v>
      </c>
      <c r="AX480" s="4">
        <f t="shared" si="1998"/>
        <v>0</v>
      </c>
      <c r="AY480" s="4">
        <f t="shared" si="1998"/>
        <v>0</v>
      </c>
      <c r="AZ480" s="24"/>
      <c r="BA480" s="4"/>
      <c r="BB480" s="4"/>
      <c r="BC480" s="4"/>
      <c r="BD480" s="4"/>
      <c r="BE480" s="4"/>
      <c r="BF480" s="4"/>
      <c r="BG480" s="4"/>
      <c r="BH480" s="4"/>
      <c r="BI480" s="4"/>
      <c r="BJ480" s="4"/>
      <c r="BK480" s="4"/>
      <c r="BL480" s="4"/>
      <c r="BM480" s="4"/>
      <c r="BN480" s="4"/>
    </row>
    <row r="481" spans="1:66">
      <c r="A481" s="22"/>
      <c r="B481" t="s">
        <v>129</v>
      </c>
      <c r="C481" s="4"/>
      <c r="D481" s="24"/>
      <c r="E481" s="24"/>
      <c r="F481" s="24"/>
      <c r="G481" s="24"/>
      <c r="H481" s="4"/>
      <c r="M481" s="4"/>
      <c r="N481" s="4"/>
      <c r="O481" s="4"/>
      <c r="P481" s="4"/>
      <c r="Q481" s="4"/>
      <c r="R481" s="4"/>
      <c r="S481" s="4"/>
      <c r="T481" s="4"/>
      <c r="U481" s="4"/>
      <c r="V481" s="4"/>
      <c r="W481" s="4"/>
      <c r="X481" s="4"/>
      <c r="Y481" s="7">
        <f>1.898-X482</f>
        <v>-8.0000000000000071E-3</v>
      </c>
      <c r="Z481" s="7">
        <f>1.882-Y482</f>
        <v>-1.6000000000000014E-2</v>
      </c>
      <c r="AA481" s="7">
        <f>1.866-Z482</f>
        <v>-1.5999999999999792E-2</v>
      </c>
      <c r="AB481" s="4">
        <f t="shared" ref="AB481:AM481" si="1999">+IF($C476&lt;AB$1,-(AB479+AB480),0)</f>
        <v>0</v>
      </c>
      <c r="AC481" s="4">
        <f t="shared" si="1999"/>
        <v>0</v>
      </c>
      <c r="AD481" s="4">
        <f t="shared" si="1999"/>
        <v>0</v>
      </c>
      <c r="AE481" s="4">
        <f t="shared" si="1999"/>
        <v>0</v>
      </c>
      <c r="AF481" s="4">
        <f t="shared" si="1999"/>
        <v>0</v>
      </c>
      <c r="AG481" s="4">
        <f t="shared" si="1999"/>
        <v>0</v>
      </c>
      <c r="AH481" s="4">
        <f t="shared" si="1999"/>
        <v>0</v>
      </c>
      <c r="AI481" s="4">
        <f t="shared" si="1999"/>
        <v>0</v>
      </c>
      <c r="AJ481" s="4">
        <f t="shared" si="1999"/>
        <v>0</v>
      </c>
      <c r="AK481" s="4">
        <f t="shared" si="1999"/>
        <v>0</v>
      </c>
      <c r="AL481" s="4">
        <f t="shared" si="1999"/>
        <v>0</v>
      </c>
      <c r="AM481" s="4">
        <f t="shared" si="1999"/>
        <v>0</v>
      </c>
      <c r="AN481" s="4">
        <f t="shared" ref="AN481:AY481" si="2000">+IF($C476&lt;AN$1,-(AN479+AN480),0)</f>
        <v>0</v>
      </c>
      <c r="AO481" s="4">
        <f t="shared" si="2000"/>
        <v>0</v>
      </c>
      <c r="AP481" s="4">
        <f t="shared" si="2000"/>
        <v>0</v>
      </c>
      <c r="AQ481" s="4">
        <f t="shared" si="2000"/>
        <v>0</v>
      </c>
      <c r="AR481" s="4">
        <f t="shared" si="2000"/>
        <v>0</v>
      </c>
      <c r="AS481" s="4">
        <f t="shared" si="2000"/>
        <v>-1.8660000000000001</v>
      </c>
      <c r="AT481" s="4">
        <f t="shared" si="2000"/>
        <v>0</v>
      </c>
      <c r="AU481" s="4">
        <f t="shared" si="2000"/>
        <v>0</v>
      </c>
      <c r="AV481" s="4">
        <f t="shared" si="2000"/>
        <v>0</v>
      </c>
      <c r="AW481" s="4">
        <f t="shared" si="2000"/>
        <v>0</v>
      </c>
      <c r="AX481" s="4">
        <f t="shared" si="2000"/>
        <v>0</v>
      </c>
      <c r="AY481" s="4">
        <f t="shared" si="2000"/>
        <v>0</v>
      </c>
      <c r="AZ481" s="24"/>
      <c r="BA481" s="4"/>
      <c r="BB481" s="4"/>
      <c r="BC481" s="4"/>
      <c r="BD481" s="4"/>
      <c r="BE481" s="4"/>
      <c r="BF481" s="4"/>
      <c r="BG481" s="4"/>
      <c r="BH481" s="4"/>
      <c r="BI481" s="4"/>
      <c r="BJ481" s="4"/>
      <c r="BK481" s="4"/>
      <c r="BL481" s="4"/>
      <c r="BM481" s="4"/>
      <c r="BN481" s="4"/>
    </row>
    <row r="482" spans="1:66">
      <c r="A482" s="22"/>
      <c r="B482" t="s">
        <v>130</v>
      </c>
      <c r="C482" s="4"/>
      <c r="D482" s="28"/>
      <c r="E482" s="28"/>
      <c r="F482" s="28"/>
      <c r="G482" s="28"/>
      <c r="H482" s="4"/>
      <c r="I482" s="7"/>
      <c r="J482" s="4"/>
      <c r="K482" s="4"/>
      <c r="L482" s="4"/>
      <c r="M482" s="7"/>
      <c r="N482" s="4"/>
      <c r="O482" s="4"/>
      <c r="P482" s="4"/>
      <c r="Q482" s="4"/>
      <c r="R482" s="4"/>
      <c r="S482" s="4"/>
      <c r="T482" s="4"/>
      <c r="U482" s="4"/>
      <c r="V482" s="4"/>
      <c r="W482" s="4"/>
      <c r="X482" s="7">
        <v>1.9059999999999999</v>
      </c>
      <c r="Y482" s="4">
        <f t="shared" ref="Y482:AM482" si="2001">+SUM(Y479:Y481)</f>
        <v>1.8979999999999999</v>
      </c>
      <c r="Z482" s="4">
        <f t="shared" ref="Z482" si="2002">+SUM(Z479:Z481)</f>
        <v>1.8819999999999999</v>
      </c>
      <c r="AA482" s="4">
        <f t="shared" si="2001"/>
        <v>1.8660000000000001</v>
      </c>
      <c r="AB482" s="4">
        <f t="shared" si="2001"/>
        <v>1.8660000000000001</v>
      </c>
      <c r="AC482" s="4">
        <f t="shared" si="2001"/>
        <v>1.8660000000000001</v>
      </c>
      <c r="AD482" s="4">
        <f t="shared" si="2001"/>
        <v>1.8660000000000001</v>
      </c>
      <c r="AE482" s="4">
        <f t="shared" si="2001"/>
        <v>1.8660000000000001</v>
      </c>
      <c r="AF482" s="4">
        <f t="shared" si="2001"/>
        <v>1.8660000000000001</v>
      </c>
      <c r="AG482" s="4">
        <f t="shared" si="2001"/>
        <v>1.8660000000000001</v>
      </c>
      <c r="AH482" s="4">
        <f t="shared" si="2001"/>
        <v>1.8660000000000001</v>
      </c>
      <c r="AI482" s="4">
        <f t="shared" si="2001"/>
        <v>1.8660000000000001</v>
      </c>
      <c r="AJ482" s="4">
        <f t="shared" si="2001"/>
        <v>1.8660000000000001</v>
      </c>
      <c r="AK482" s="4">
        <f t="shared" si="2001"/>
        <v>1.8660000000000001</v>
      </c>
      <c r="AL482" s="4">
        <f t="shared" si="2001"/>
        <v>1.8660000000000001</v>
      </c>
      <c r="AM482" s="4">
        <f t="shared" si="2001"/>
        <v>1.8660000000000001</v>
      </c>
      <c r="AN482" s="4">
        <f t="shared" ref="AN482:AY482" si="2003">+SUM(AN479:AN481)</f>
        <v>1.8660000000000001</v>
      </c>
      <c r="AO482" s="4">
        <f t="shared" si="2003"/>
        <v>1.8660000000000001</v>
      </c>
      <c r="AP482" s="4">
        <f t="shared" si="2003"/>
        <v>1.8660000000000001</v>
      </c>
      <c r="AQ482" s="4">
        <f t="shared" si="2003"/>
        <v>1.8660000000000001</v>
      </c>
      <c r="AR482" s="4">
        <f t="shared" si="2003"/>
        <v>1.8660000000000001</v>
      </c>
      <c r="AS482" s="4">
        <f t="shared" si="2003"/>
        <v>0</v>
      </c>
      <c r="AT482" s="4">
        <f t="shared" si="2003"/>
        <v>0</v>
      </c>
      <c r="AU482" s="4">
        <f t="shared" si="2003"/>
        <v>0</v>
      </c>
      <c r="AV482" s="4">
        <f t="shared" si="2003"/>
        <v>0</v>
      </c>
      <c r="AW482" s="4">
        <f t="shared" si="2003"/>
        <v>0</v>
      </c>
      <c r="AX482" s="4">
        <f t="shared" si="2003"/>
        <v>0</v>
      </c>
      <c r="AY482" s="4">
        <f t="shared" si="2003"/>
        <v>0</v>
      </c>
      <c r="AZ482" s="24"/>
      <c r="BA482" s="4"/>
      <c r="BB482" s="4"/>
      <c r="BC482" s="4"/>
      <c r="BD482" s="4"/>
      <c r="BE482" s="4"/>
      <c r="BF482" s="4"/>
      <c r="BG482" s="4"/>
      <c r="BH482" s="4"/>
      <c r="BI482" s="4"/>
      <c r="BJ482" s="4"/>
      <c r="BK482" s="4"/>
      <c r="BL482" s="4"/>
      <c r="BM482" s="4"/>
      <c r="BN482" s="4"/>
    </row>
    <row r="483" spans="1:66">
      <c r="A483" s="22"/>
      <c r="C483" s="4"/>
      <c r="D483" s="24"/>
      <c r="E483" s="24"/>
      <c r="F483" s="24"/>
      <c r="G483" s="2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24"/>
      <c r="BA483" s="4"/>
      <c r="BB483" s="4"/>
      <c r="BC483" s="4"/>
      <c r="BD483" s="4"/>
      <c r="BE483" s="4"/>
      <c r="BF483" s="4"/>
      <c r="BG483" s="4"/>
      <c r="BH483" s="4"/>
      <c r="BI483" s="4"/>
      <c r="BJ483" s="4"/>
      <c r="BK483" s="4"/>
      <c r="BL483" s="4"/>
      <c r="BM483" s="4"/>
      <c r="BN483" s="4"/>
    </row>
    <row r="484" spans="1:66">
      <c r="A484" s="22"/>
      <c r="B484" s="32" t="s">
        <v>137</v>
      </c>
      <c r="C484" s="37">
        <v>46023</v>
      </c>
      <c r="D484" s="34"/>
      <c r="E484" s="34"/>
      <c r="F484" s="34"/>
      <c r="G484" s="34"/>
      <c r="H484" s="33"/>
      <c r="I484" s="34">
        <v>2.162941</v>
      </c>
      <c r="J484" s="33">
        <f t="shared" ref="J484:X484" si="2004">+IF($C484&gt;J$1,I484+J489,I484-I484)</f>
        <v>1.9950000000000001</v>
      </c>
      <c r="K484" s="33">
        <f t="shared" si="2004"/>
        <v>2.5379999999999998</v>
      </c>
      <c r="L484" s="33">
        <f t="shared" si="2004"/>
        <v>2.7280000000000002</v>
      </c>
      <c r="M484" s="33">
        <f t="shared" si="2004"/>
        <v>4.4409999999999998</v>
      </c>
      <c r="N484" s="33">
        <f t="shared" si="2004"/>
        <v>9.0419999999999998</v>
      </c>
      <c r="O484" s="33">
        <f t="shared" si="2004"/>
        <v>13.061999999999999</v>
      </c>
      <c r="P484" s="33">
        <f t="shared" si="2004"/>
        <v>13.381</v>
      </c>
      <c r="Q484" s="33">
        <f t="shared" si="2004"/>
        <v>56.210999999999999</v>
      </c>
      <c r="R484" s="33">
        <f t="shared" si="2004"/>
        <v>53.023000000000003</v>
      </c>
      <c r="S484" s="33">
        <f t="shared" si="2004"/>
        <v>49.761000000000003</v>
      </c>
      <c r="T484" s="33">
        <f t="shared" si="2004"/>
        <v>46.665999999999997</v>
      </c>
      <c r="U484" s="33">
        <f t="shared" si="2004"/>
        <v>43.44</v>
      </c>
      <c r="V484" s="33">
        <f t="shared" si="2004"/>
        <v>41.825000000000003</v>
      </c>
      <c r="W484" s="33">
        <f t="shared" si="2004"/>
        <v>38.707999999999998</v>
      </c>
      <c r="X484" s="33">
        <f t="shared" si="2004"/>
        <v>35.459000000000003</v>
      </c>
      <c r="Y484" s="33">
        <f t="shared" ref="Y484:AM484" si="2005">+IF($C484&gt;Y$1,X484+Y489,X484-X484)</f>
        <v>32.161000000000001</v>
      </c>
      <c r="Z484" s="33">
        <f t="shared" si="2005"/>
        <v>28.843</v>
      </c>
      <c r="AA484" s="33">
        <f t="shared" si="2005"/>
        <v>8.6990000000000016</v>
      </c>
      <c r="AB484" s="33">
        <f t="shared" si="2005"/>
        <v>8.6990000000000016</v>
      </c>
      <c r="AC484" s="33">
        <f t="shared" si="2005"/>
        <v>8.6990000000000016</v>
      </c>
      <c r="AD484" s="33">
        <f t="shared" si="2005"/>
        <v>8.6990000000000016</v>
      </c>
      <c r="AE484" s="33">
        <f t="shared" si="2005"/>
        <v>8.6990000000000016</v>
      </c>
      <c r="AF484" s="33">
        <f t="shared" si="2005"/>
        <v>8.6990000000000016</v>
      </c>
      <c r="AG484" s="33">
        <f t="shared" si="2005"/>
        <v>8.6990000000000016</v>
      </c>
      <c r="AH484" s="33">
        <f t="shared" si="2005"/>
        <v>8.6990000000000016</v>
      </c>
      <c r="AI484" s="33">
        <f t="shared" si="2005"/>
        <v>8.6990000000000016</v>
      </c>
      <c r="AJ484" s="33">
        <f t="shared" si="2005"/>
        <v>8.6990000000000016</v>
      </c>
      <c r="AK484" s="33">
        <f t="shared" si="2005"/>
        <v>8.6990000000000016</v>
      </c>
      <c r="AL484" s="33">
        <f t="shared" si="2005"/>
        <v>8.6990000000000016</v>
      </c>
      <c r="AM484" s="33">
        <f t="shared" si="2005"/>
        <v>8.6990000000000016</v>
      </c>
      <c r="AN484" s="33">
        <f t="shared" ref="AN484" si="2006">+IF($C484&gt;AN$1,AM484+AN489,AM484-AM484)</f>
        <v>8.6990000000000016</v>
      </c>
      <c r="AO484" s="33">
        <f t="shared" ref="AO484" si="2007">+IF($C484&gt;AO$1,AN484+AO489,AN484-AN484)</f>
        <v>8.6990000000000016</v>
      </c>
      <c r="AP484" s="33">
        <f t="shared" ref="AP484" si="2008">+IF($C484&gt;AP$1,AO484+AP489,AO484-AO484)</f>
        <v>8.6990000000000016</v>
      </c>
      <c r="AQ484" s="33">
        <f t="shared" ref="AQ484" si="2009">+IF($C484&gt;AQ$1,AP484+AQ489,AP484-AP484)</f>
        <v>8.6990000000000016</v>
      </c>
      <c r="AR484" s="33">
        <f t="shared" ref="AR484" si="2010">+IF($C484&gt;AR$1,AQ484+AR489,AQ484-AQ484)</f>
        <v>8.6990000000000016</v>
      </c>
      <c r="AS484" s="33">
        <f t="shared" ref="AS484" si="2011">+IF($C484&gt;AS$1,AR484+AS489,AR484-AR484)</f>
        <v>8.6990000000000016</v>
      </c>
      <c r="AT484" s="33">
        <f t="shared" ref="AT484" si="2012">+IF($C484&gt;AT$1,AS484+AT489,AS484-AS484)</f>
        <v>8.6990000000000016</v>
      </c>
      <c r="AU484" s="33">
        <f t="shared" ref="AU484" si="2013">+IF($C484&gt;AU$1,AT484+AU489,AT484-AT484)</f>
        <v>8.6990000000000016</v>
      </c>
      <c r="AV484" s="33">
        <f t="shared" ref="AV484" si="2014">+IF($C484&gt;AV$1,AU484+AV489,AU484-AU484)</f>
        <v>8.6990000000000016</v>
      </c>
      <c r="AW484" s="33">
        <f t="shared" ref="AW484" si="2015">+IF($C484&gt;AW$1,AV484+AW489,AV484-AV484)</f>
        <v>8.6990000000000016</v>
      </c>
      <c r="AX484" s="33">
        <f t="shared" ref="AX484" si="2016">+IF($C484&gt;AX$1,AW484+AX489,AW484-AW484)</f>
        <v>8.6990000000000016</v>
      </c>
      <c r="AY484" s="33">
        <f t="shared" ref="AY484" si="2017">+IF($C484&gt;AY$1,AX484+AY489,AX484-AX484)</f>
        <v>8.6990000000000016</v>
      </c>
      <c r="AZ484" s="24"/>
      <c r="BA484" s="33"/>
      <c r="BB484" s="33"/>
      <c r="BC484" s="33"/>
      <c r="BD484" s="33"/>
      <c r="BE484" s="33"/>
      <c r="BF484" s="33"/>
      <c r="BG484" s="33"/>
      <c r="BH484" s="33"/>
      <c r="BI484" s="33"/>
      <c r="BJ484" s="33"/>
      <c r="BK484" s="33"/>
      <c r="BL484" s="33"/>
      <c r="BM484" s="33"/>
      <c r="BN484" s="33"/>
    </row>
    <row r="485" spans="1:66">
      <c r="A485" s="22"/>
      <c r="B485" t="s">
        <v>126</v>
      </c>
      <c r="C485" s="17">
        <v>3.5200000000000002E-2</v>
      </c>
      <c r="D485" s="24"/>
      <c r="E485" s="24"/>
      <c r="F485" s="24"/>
      <c r="G485" s="24"/>
      <c r="H485" s="4"/>
      <c r="I485" s="4"/>
      <c r="J485" s="4">
        <f t="shared" ref="J485:X485" si="2018">AVERAGE(I484:J484)*($C485/4)</f>
        <v>1.8294940400000001E-2</v>
      </c>
      <c r="K485" s="4">
        <f t="shared" si="2018"/>
        <v>1.99452E-2</v>
      </c>
      <c r="L485" s="4">
        <f t="shared" si="2018"/>
        <v>2.3170400000000001E-2</v>
      </c>
      <c r="M485" s="4">
        <f t="shared" si="2018"/>
        <v>3.1543600000000005E-2</v>
      </c>
      <c r="N485" s="4">
        <f t="shared" si="2018"/>
        <v>5.9325200000000008E-2</v>
      </c>
      <c r="O485" s="4">
        <f t="shared" si="2018"/>
        <v>9.72576E-2</v>
      </c>
      <c r="P485" s="4">
        <f t="shared" si="2018"/>
        <v>0.1163492</v>
      </c>
      <c r="Q485" s="4">
        <f t="shared" si="2018"/>
        <v>0.3062048</v>
      </c>
      <c r="R485" s="4">
        <f t="shared" si="2018"/>
        <v>0.48062960000000005</v>
      </c>
      <c r="S485" s="4">
        <f t="shared" si="2018"/>
        <v>0.45224960000000003</v>
      </c>
      <c r="T485" s="4">
        <f t="shared" si="2018"/>
        <v>0.42427880000000001</v>
      </c>
      <c r="U485" s="4">
        <f t="shared" si="2018"/>
        <v>0.3964664</v>
      </c>
      <c r="V485" s="4">
        <f t="shared" si="2018"/>
        <v>0.375166</v>
      </c>
      <c r="W485" s="4">
        <f t="shared" si="2018"/>
        <v>0.35434520000000003</v>
      </c>
      <c r="X485" s="4">
        <f t="shared" si="2018"/>
        <v>0.32633480000000004</v>
      </c>
      <c r="Y485" s="4">
        <f t="shared" ref="Y485:AM485" si="2019">AVERAGE(X484:Y484)*($C485/4)</f>
        <v>0.29752800000000001</v>
      </c>
      <c r="Z485" s="4">
        <f t="shared" si="2019"/>
        <v>0.26841760000000003</v>
      </c>
      <c r="AA485" s="4">
        <f t="shared" si="2019"/>
        <v>0.16518480000000002</v>
      </c>
      <c r="AB485" s="4">
        <f t="shared" si="2019"/>
        <v>7.6551200000000014E-2</v>
      </c>
      <c r="AC485" s="4">
        <f t="shared" si="2019"/>
        <v>7.6551200000000014E-2</v>
      </c>
      <c r="AD485" s="4">
        <f t="shared" si="2019"/>
        <v>7.6551200000000014E-2</v>
      </c>
      <c r="AE485" s="4">
        <f t="shared" si="2019"/>
        <v>7.6551200000000014E-2</v>
      </c>
      <c r="AF485" s="4">
        <f t="shared" si="2019"/>
        <v>7.6551200000000014E-2</v>
      </c>
      <c r="AG485" s="4">
        <f t="shared" si="2019"/>
        <v>7.6551200000000014E-2</v>
      </c>
      <c r="AH485" s="4">
        <f t="shared" si="2019"/>
        <v>7.6551200000000014E-2</v>
      </c>
      <c r="AI485" s="4">
        <f t="shared" si="2019"/>
        <v>7.6551200000000014E-2</v>
      </c>
      <c r="AJ485" s="4">
        <f t="shared" si="2019"/>
        <v>7.6551200000000014E-2</v>
      </c>
      <c r="AK485" s="4">
        <f t="shared" si="2019"/>
        <v>7.6551200000000014E-2</v>
      </c>
      <c r="AL485" s="4">
        <f t="shared" si="2019"/>
        <v>7.6551200000000014E-2</v>
      </c>
      <c r="AM485" s="4">
        <f t="shared" si="2019"/>
        <v>7.6551200000000014E-2</v>
      </c>
      <c r="AN485" s="4">
        <f t="shared" ref="AN485" si="2020">AVERAGE(AM484:AN484)*($C485/4)</f>
        <v>7.6551200000000014E-2</v>
      </c>
      <c r="AO485" s="4">
        <f t="shared" ref="AO485" si="2021">AVERAGE(AN484:AO484)*($C485/4)</f>
        <v>7.6551200000000014E-2</v>
      </c>
      <c r="AP485" s="4">
        <f t="shared" ref="AP485" si="2022">AVERAGE(AO484:AP484)*($C485/4)</f>
        <v>7.6551200000000014E-2</v>
      </c>
      <c r="AQ485" s="4">
        <f t="shared" ref="AQ485" si="2023">AVERAGE(AP484:AQ484)*($C485/4)</f>
        <v>7.6551200000000014E-2</v>
      </c>
      <c r="AR485" s="4">
        <f t="shared" ref="AR485" si="2024">AVERAGE(AQ484:AR484)*($C485/4)</f>
        <v>7.6551200000000014E-2</v>
      </c>
      <c r="AS485" s="4">
        <f t="shared" ref="AS485" si="2025">AVERAGE(AR484:AS484)*($C485/4)</f>
        <v>7.6551200000000014E-2</v>
      </c>
      <c r="AT485" s="4">
        <f t="shared" ref="AT485" si="2026">AVERAGE(AS484:AT484)*($C485/4)</f>
        <v>7.6551200000000014E-2</v>
      </c>
      <c r="AU485" s="4">
        <f t="shared" ref="AU485" si="2027">AVERAGE(AT484:AU484)*($C485/4)</f>
        <v>7.6551200000000014E-2</v>
      </c>
      <c r="AV485" s="4">
        <f t="shared" ref="AV485" si="2028">AVERAGE(AU484:AV484)*($C485/4)</f>
        <v>7.6551200000000014E-2</v>
      </c>
      <c r="AW485" s="4">
        <f t="shared" ref="AW485" si="2029">AVERAGE(AV484:AW484)*($C485/4)</f>
        <v>7.6551200000000014E-2</v>
      </c>
      <c r="AX485" s="4">
        <f t="shared" ref="AX485" si="2030">AVERAGE(AW484:AX484)*($C485/4)</f>
        <v>7.6551200000000014E-2</v>
      </c>
      <c r="AY485" s="4">
        <f t="shared" ref="AY485" si="2031">AVERAGE(AX484:AY484)*($C485/4)</f>
        <v>7.6551200000000014E-2</v>
      </c>
      <c r="AZ485" s="24"/>
      <c r="BA485" s="4"/>
      <c r="BB485" s="4"/>
      <c r="BC485" s="4"/>
      <c r="BD485" s="4"/>
      <c r="BE485" s="4"/>
      <c r="BF485" s="4"/>
      <c r="BG485" s="4"/>
      <c r="BH485" s="4"/>
      <c r="BI485" s="4"/>
      <c r="BJ485" s="4"/>
      <c r="BK485" s="4"/>
      <c r="BL485" s="4"/>
      <c r="BM485" s="4"/>
      <c r="BN485" s="4"/>
    </row>
    <row r="486" spans="1:66">
      <c r="A486" s="22"/>
      <c r="B486" t="s">
        <v>1</v>
      </c>
      <c r="C486" s="17">
        <v>3.5200000000000002E-2</v>
      </c>
      <c r="D486" s="24"/>
      <c r="E486" s="24"/>
      <c r="F486" s="24"/>
      <c r="G486" s="24"/>
      <c r="H486" s="4"/>
      <c r="I486" s="4"/>
      <c r="J486" s="4">
        <f t="shared" ref="J486:X486" si="2032">AVERAGE(I484:J484)*($C486/4)</f>
        <v>1.8294940400000001E-2</v>
      </c>
      <c r="K486" s="4">
        <f t="shared" si="2032"/>
        <v>1.99452E-2</v>
      </c>
      <c r="L486" s="4">
        <f t="shared" si="2032"/>
        <v>2.3170400000000001E-2</v>
      </c>
      <c r="M486" s="4">
        <f t="shared" si="2032"/>
        <v>3.1543600000000005E-2</v>
      </c>
      <c r="N486" s="4">
        <f t="shared" si="2032"/>
        <v>5.9325200000000008E-2</v>
      </c>
      <c r="O486" s="4">
        <f t="shared" si="2032"/>
        <v>9.72576E-2</v>
      </c>
      <c r="P486" s="4">
        <f t="shared" si="2032"/>
        <v>0.1163492</v>
      </c>
      <c r="Q486" s="4">
        <f t="shared" si="2032"/>
        <v>0.3062048</v>
      </c>
      <c r="R486" s="4">
        <f t="shared" si="2032"/>
        <v>0.48062960000000005</v>
      </c>
      <c r="S486" s="4">
        <f t="shared" si="2032"/>
        <v>0.45224960000000003</v>
      </c>
      <c r="T486" s="4">
        <f t="shared" si="2032"/>
        <v>0.42427880000000001</v>
      </c>
      <c r="U486" s="4">
        <f t="shared" si="2032"/>
        <v>0.3964664</v>
      </c>
      <c r="V486" s="4">
        <f t="shared" si="2032"/>
        <v>0.375166</v>
      </c>
      <c r="W486" s="4">
        <f t="shared" si="2032"/>
        <v>0.35434520000000003</v>
      </c>
      <c r="X486" s="4">
        <f t="shared" si="2032"/>
        <v>0.32633480000000004</v>
      </c>
      <c r="Y486" s="4">
        <f t="shared" ref="Y486:AM486" si="2033">AVERAGE(X484:Y484)*($C486/4)</f>
        <v>0.29752800000000001</v>
      </c>
      <c r="Z486" s="4">
        <f t="shared" si="2033"/>
        <v>0.26841760000000003</v>
      </c>
      <c r="AA486" s="4">
        <f t="shared" si="2033"/>
        <v>0.16518480000000002</v>
      </c>
      <c r="AB486" s="4">
        <f t="shared" si="2033"/>
        <v>7.6551200000000014E-2</v>
      </c>
      <c r="AC486" s="4">
        <f t="shared" si="2033"/>
        <v>7.6551200000000014E-2</v>
      </c>
      <c r="AD486" s="4">
        <f t="shared" si="2033"/>
        <v>7.6551200000000014E-2</v>
      </c>
      <c r="AE486" s="4">
        <f t="shared" si="2033"/>
        <v>7.6551200000000014E-2</v>
      </c>
      <c r="AF486" s="4">
        <f t="shared" si="2033"/>
        <v>7.6551200000000014E-2</v>
      </c>
      <c r="AG486" s="4">
        <f t="shared" si="2033"/>
        <v>7.6551200000000014E-2</v>
      </c>
      <c r="AH486" s="4">
        <f t="shared" si="2033"/>
        <v>7.6551200000000014E-2</v>
      </c>
      <c r="AI486" s="4">
        <f t="shared" si="2033"/>
        <v>7.6551200000000014E-2</v>
      </c>
      <c r="AJ486" s="4">
        <f t="shared" si="2033"/>
        <v>7.6551200000000014E-2</v>
      </c>
      <c r="AK486" s="4">
        <f t="shared" si="2033"/>
        <v>7.6551200000000014E-2</v>
      </c>
      <c r="AL486" s="4">
        <f t="shared" si="2033"/>
        <v>7.6551200000000014E-2</v>
      </c>
      <c r="AM486" s="4">
        <f t="shared" si="2033"/>
        <v>7.6551200000000014E-2</v>
      </c>
      <c r="AN486" s="4">
        <f t="shared" ref="AN486" si="2034">AVERAGE(AM484:AN484)*($C486/4)</f>
        <v>7.6551200000000014E-2</v>
      </c>
      <c r="AO486" s="4">
        <f t="shared" ref="AO486" si="2035">AVERAGE(AN484:AO484)*($C486/4)</f>
        <v>7.6551200000000014E-2</v>
      </c>
      <c r="AP486" s="4">
        <f t="shared" ref="AP486" si="2036">AVERAGE(AO484:AP484)*($C486/4)</f>
        <v>7.6551200000000014E-2</v>
      </c>
      <c r="AQ486" s="4">
        <f t="shared" ref="AQ486" si="2037">AVERAGE(AP484:AQ484)*($C486/4)</f>
        <v>7.6551200000000014E-2</v>
      </c>
      <c r="AR486" s="4">
        <f t="shared" ref="AR486" si="2038">AVERAGE(AQ484:AR484)*($C486/4)</f>
        <v>7.6551200000000014E-2</v>
      </c>
      <c r="AS486" s="4">
        <f t="shared" ref="AS486" si="2039">AVERAGE(AR484:AS484)*($C486/4)</f>
        <v>7.6551200000000014E-2</v>
      </c>
      <c r="AT486" s="4">
        <f t="shared" ref="AT486" si="2040">AVERAGE(AS484:AT484)*($C486/4)</f>
        <v>7.6551200000000014E-2</v>
      </c>
      <c r="AU486" s="4">
        <f t="shared" ref="AU486" si="2041">AVERAGE(AT484:AU484)*($C486/4)</f>
        <v>7.6551200000000014E-2</v>
      </c>
      <c r="AV486" s="4">
        <f t="shared" ref="AV486" si="2042">AVERAGE(AU484:AV484)*($C486/4)</f>
        <v>7.6551200000000014E-2</v>
      </c>
      <c r="AW486" s="4">
        <f t="shared" ref="AW486" si="2043">AVERAGE(AV484:AW484)*($C486/4)</f>
        <v>7.6551200000000014E-2</v>
      </c>
      <c r="AX486" s="4">
        <f t="shared" ref="AX486" si="2044">AVERAGE(AW484:AX484)*($C486/4)</f>
        <v>7.6551200000000014E-2</v>
      </c>
      <c r="AY486" s="4">
        <f t="shared" ref="AY486" si="2045">AVERAGE(AX484:AY484)*($C486/4)</f>
        <v>7.6551200000000014E-2</v>
      </c>
      <c r="AZ486" s="24"/>
      <c r="BA486" s="4"/>
      <c r="BB486" s="4"/>
      <c r="BC486" s="4"/>
      <c r="BD486" s="4"/>
      <c r="BE486" s="4"/>
      <c r="BF486" s="4"/>
      <c r="BG486" s="4"/>
      <c r="BH486" s="4"/>
      <c r="BI486" s="4"/>
      <c r="BJ486" s="4"/>
      <c r="BK486" s="4"/>
      <c r="BL486" s="4"/>
      <c r="BM486" s="4"/>
      <c r="BN486" s="4"/>
    </row>
    <row r="487" spans="1:66">
      <c r="A487" s="22"/>
      <c r="B487" t="s">
        <v>127</v>
      </c>
      <c r="C487" s="4"/>
      <c r="D487" s="24"/>
      <c r="E487" s="24"/>
      <c r="F487" s="24"/>
      <c r="G487" s="24"/>
      <c r="H487" s="4"/>
      <c r="I487" s="4"/>
      <c r="J487" s="4">
        <f t="shared" ref="J487:X487" si="2046">+I490</f>
        <v>2.162941</v>
      </c>
      <c r="K487" s="4">
        <f t="shared" si="2046"/>
        <v>1.9950000000000001</v>
      </c>
      <c r="L487" s="4">
        <f t="shared" si="2046"/>
        <v>2.5379999999999998</v>
      </c>
      <c r="M487" s="4">
        <f t="shared" si="2046"/>
        <v>2.7280000000000002</v>
      </c>
      <c r="N487" s="4">
        <f t="shared" si="2046"/>
        <v>4.4409999999999998</v>
      </c>
      <c r="O487" s="4">
        <f t="shared" si="2046"/>
        <v>9.0419999999999998</v>
      </c>
      <c r="P487" s="4">
        <f t="shared" si="2046"/>
        <v>13.061999999999999</v>
      </c>
      <c r="Q487" s="4">
        <f t="shared" si="2046"/>
        <v>13.381</v>
      </c>
      <c r="R487" s="4">
        <f t="shared" si="2046"/>
        <v>56.210999999999999</v>
      </c>
      <c r="S487" s="4">
        <f t="shared" si="2046"/>
        <v>53.023000000000003</v>
      </c>
      <c r="T487" s="4">
        <f t="shared" si="2046"/>
        <v>49.761000000000003</v>
      </c>
      <c r="U487" s="4">
        <f t="shared" si="2046"/>
        <v>46.665999999999997</v>
      </c>
      <c r="V487" s="4">
        <f t="shared" si="2046"/>
        <v>43.44</v>
      </c>
      <c r="W487" s="4">
        <f t="shared" si="2046"/>
        <v>41.825000000000003</v>
      </c>
      <c r="X487" s="4">
        <f t="shared" si="2046"/>
        <v>38.707999999999998</v>
      </c>
      <c r="Y487" s="4">
        <f t="shared" ref="Y487:AM487" si="2047">+X490</f>
        <v>35.459000000000003</v>
      </c>
      <c r="Z487" s="4">
        <f t="shared" si="2047"/>
        <v>32.161000000000001</v>
      </c>
      <c r="AA487" s="4">
        <f t="shared" si="2047"/>
        <v>28.843</v>
      </c>
      <c r="AB487" s="4">
        <f t="shared" si="2047"/>
        <v>8.6990000000000016</v>
      </c>
      <c r="AC487" s="4">
        <f t="shared" si="2047"/>
        <v>8.6990000000000016</v>
      </c>
      <c r="AD487" s="4">
        <f t="shared" si="2047"/>
        <v>8.6990000000000016</v>
      </c>
      <c r="AE487" s="4">
        <f t="shared" si="2047"/>
        <v>8.6990000000000016</v>
      </c>
      <c r="AF487" s="4">
        <f t="shared" si="2047"/>
        <v>8.6990000000000016</v>
      </c>
      <c r="AG487" s="4">
        <f t="shared" si="2047"/>
        <v>8.6990000000000016</v>
      </c>
      <c r="AH487" s="4">
        <f t="shared" si="2047"/>
        <v>8.6990000000000016</v>
      </c>
      <c r="AI487" s="4">
        <f t="shared" si="2047"/>
        <v>8.6990000000000016</v>
      </c>
      <c r="AJ487" s="4">
        <f t="shared" si="2047"/>
        <v>8.6990000000000016</v>
      </c>
      <c r="AK487" s="4">
        <f t="shared" si="2047"/>
        <v>8.6990000000000016</v>
      </c>
      <c r="AL487" s="4">
        <f t="shared" si="2047"/>
        <v>8.6990000000000016</v>
      </c>
      <c r="AM487" s="4">
        <f t="shared" si="2047"/>
        <v>8.6990000000000016</v>
      </c>
      <c r="AN487" s="4">
        <f t="shared" ref="AN487" si="2048">+AM490</f>
        <v>8.6990000000000016</v>
      </c>
      <c r="AO487" s="4">
        <f t="shared" ref="AO487" si="2049">+AN490</f>
        <v>8.6990000000000016</v>
      </c>
      <c r="AP487" s="4">
        <f t="shared" ref="AP487" si="2050">+AO490</f>
        <v>8.6990000000000016</v>
      </c>
      <c r="AQ487" s="4">
        <f t="shared" ref="AQ487" si="2051">+AP490</f>
        <v>8.6990000000000016</v>
      </c>
      <c r="AR487" s="4">
        <f t="shared" ref="AR487" si="2052">+AQ490</f>
        <v>8.6990000000000016</v>
      </c>
      <c r="AS487" s="4">
        <f t="shared" ref="AS487" si="2053">+AR490</f>
        <v>8.6990000000000016</v>
      </c>
      <c r="AT487" s="4">
        <f t="shared" ref="AT487" si="2054">+AS490</f>
        <v>8.6990000000000016</v>
      </c>
      <c r="AU487" s="4">
        <f t="shared" ref="AU487" si="2055">+AT490</f>
        <v>8.6990000000000016</v>
      </c>
      <c r="AV487" s="4">
        <f t="shared" ref="AV487" si="2056">+AU490</f>
        <v>8.6990000000000016</v>
      </c>
      <c r="AW487" s="4">
        <f t="shared" ref="AW487" si="2057">+AV490</f>
        <v>8.6990000000000016</v>
      </c>
      <c r="AX487" s="4">
        <f t="shared" ref="AX487" si="2058">+AW490</f>
        <v>8.6990000000000016</v>
      </c>
      <c r="AY487" s="4">
        <f t="shared" ref="AY487" si="2059">+AX490</f>
        <v>8.6990000000000016</v>
      </c>
      <c r="AZ487" s="24"/>
      <c r="BA487" s="4"/>
      <c r="BB487" s="4"/>
      <c r="BC487" s="4"/>
      <c r="BD487" s="4"/>
      <c r="BE487" s="4"/>
      <c r="BF487" s="4"/>
      <c r="BG487" s="4"/>
      <c r="BH487" s="4"/>
      <c r="BI487" s="4"/>
      <c r="BJ487" s="4"/>
      <c r="BK487" s="4"/>
      <c r="BL487" s="4"/>
      <c r="BM487" s="4"/>
      <c r="BN487" s="4"/>
    </row>
    <row r="488" spans="1:66">
      <c r="A488" s="22"/>
      <c r="B488" t="s">
        <v>128</v>
      </c>
      <c r="C488" s="4"/>
      <c r="D488" s="24"/>
      <c r="E488" s="24"/>
      <c r="F488" s="24"/>
      <c r="G488" s="24"/>
      <c r="H488" s="4"/>
      <c r="I488" s="4"/>
      <c r="J488" s="4">
        <f t="shared" ref="J488:O488" si="2060">+J486-J485</f>
        <v>0</v>
      </c>
      <c r="K488" s="4">
        <f t="shared" si="2060"/>
        <v>0</v>
      </c>
      <c r="L488" s="4">
        <f t="shared" si="2060"/>
        <v>0</v>
      </c>
      <c r="M488" s="4">
        <f t="shared" si="2060"/>
        <v>0</v>
      </c>
      <c r="N488" s="4">
        <f t="shared" si="2060"/>
        <v>0</v>
      </c>
      <c r="O488" s="4">
        <f t="shared" si="2060"/>
        <v>0</v>
      </c>
      <c r="P488" s="4">
        <f t="shared" ref="P488:W488" si="2061">+P486-P485</f>
        <v>0</v>
      </c>
      <c r="Q488" s="4">
        <f t="shared" si="2061"/>
        <v>0</v>
      </c>
      <c r="R488" s="4">
        <f t="shared" si="2061"/>
        <v>0</v>
      </c>
      <c r="S488" s="4">
        <f t="shared" si="2061"/>
        <v>0</v>
      </c>
      <c r="T488" s="4">
        <f t="shared" si="2061"/>
        <v>0</v>
      </c>
      <c r="U488" s="4">
        <f t="shared" si="2061"/>
        <v>0</v>
      </c>
      <c r="V488" s="4">
        <f t="shared" si="2061"/>
        <v>0</v>
      </c>
      <c r="W488" s="4">
        <f t="shared" si="2061"/>
        <v>0</v>
      </c>
      <c r="X488" s="4">
        <f>+X486-X485</f>
        <v>0</v>
      </c>
      <c r="Y488" s="4">
        <f t="shared" ref="Y488:AM488" si="2062">+Y486-Y485</f>
        <v>0</v>
      </c>
      <c r="Z488" s="4">
        <f t="shared" ref="Z488" si="2063">+Z486-Z485</f>
        <v>0</v>
      </c>
      <c r="AA488" s="4">
        <f t="shared" si="2062"/>
        <v>0</v>
      </c>
      <c r="AB488" s="4">
        <f t="shared" si="2062"/>
        <v>0</v>
      </c>
      <c r="AC488" s="4">
        <f t="shared" si="2062"/>
        <v>0</v>
      </c>
      <c r="AD488" s="4">
        <f t="shared" si="2062"/>
        <v>0</v>
      </c>
      <c r="AE488" s="4">
        <f t="shared" si="2062"/>
        <v>0</v>
      </c>
      <c r="AF488" s="4">
        <f t="shared" si="2062"/>
        <v>0</v>
      </c>
      <c r="AG488" s="4">
        <f t="shared" si="2062"/>
        <v>0</v>
      </c>
      <c r="AH488" s="4">
        <f t="shared" si="2062"/>
        <v>0</v>
      </c>
      <c r="AI488" s="4">
        <f t="shared" si="2062"/>
        <v>0</v>
      </c>
      <c r="AJ488" s="4">
        <f t="shared" si="2062"/>
        <v>0</v>
      </c>
      <c r="AK488" s="4">
        <f t="shared" si="2062"/>
        <v>0</v>
      </c>
      <c r="AL488" s="4">
        <f t="shared" si="2062"/>
        <v>0</v>
      </c>
      <c r="AM488" s="4">
        <f t="shared" si="2062"/>
        <v>0</v>
      </c>
      <c r="AN488" s="4">
        <f t="shared" ref="AN488:AY488" si="2064">+AN486-AN485</f>
        <v>0</v>
      </c>
      <c r="AO488" s="4">
        <f t="shared" si="2064"/>
        <v>0</v>
      </c>
      <c r="AP488" s="4">
        <f t="shared" si="2064"/>
        <v>0</v>
      </c>
      <c r="AQ488" s="4">
        <f t="shared" si="2064"/>
        <v>0</v>
      </c>
      <c r="AR488" s="4">
        <f t="shared" si="2064"/>
        <v>0</v>
      </c>
      <c r="AS488" s="4">
        <f t="shared" si="2064"/>
        <v>0</v>
      </c>
      <c r="AT488" s="4">
        <f t="shared" si="2064"/>
        <v>0</v>
      </c>
      <c r="AU488" s="4">
        <f t="shared" si="2064"/>
        <v>0</v>
      </c>
      <c r="AV488" s="4">
        <f t="shared" si="2064"/>
        <v>0</v>
      </c>
      <c r="AW488" s="4">
        <f t="shared" si="2064"/>
        <v>0</v>
      </c>
      <c r="AX488" s="4">
        <f t="shared" si="2064"/>
        <v>0</v>
      </c>
      <c r="AY488" s="4">
        <f t="shared" si="2064"/>
        <v>0</v>
      </c>
      <c r="AZ488" s="24"/>
      <c r="BA488" s="4"/>
      <c r="BB488" s="4"/>
      <c r="BC488" s="4"/>
      <c r="BD488" s="4"/>
      <c r="BE488" s="4"/>
      <c r="BF488" s="4"/>
      <c r="BG488" s="4"/>
      <c r="BH488" s="4"/>
      <c r="BI488" s="4"/>
      <c r="BJ488" s="4"/>
      <c r="BK488" s="4"/>
      <c r="BL488" s="4"/>
      <c r="BM488" s="4"/>
      <c r="BN488" s="4"/>
    </row>
    <row r="489" spans="1:66">
      <c r="A489" s="22"/>
      <c r="B489" t="s">
        <v>129</v>
      </c>
      <c r="C489" s="4"/>
      <c r="D489" s="24"/>
      <c r="E489" s="24"/>
      <c r="F489" s="24"/>
      <c r="G489" s="24"/>
      <c r="H489" s="4"/>
      <c r="I489" s="4"/>
      <c r="J489" s="7">
        <f>1.995-I490</f>
        <v>-0.1679409999999999</v>
      </c>
      <c r="K489" s="7">
        <f>2.538-J490</f>
        <v>0.54299999999999971</v>
      </c>
      <c r="L489" s="7">
        <f>2.728-K490</f>
        <v>0.19000000000000039</v>
      </c>
      <c r="M489" s="7">
        <f>4.441-L490</f>
        <v>1.7129999999999996</v>
      </c>
      <c r="N489" s="7">
        <f>9.042-M490</f>
        <v>4.601</v>
      </c>
      <c r="O489" s="7">
        <f>13.062-N490</f>
        <v>4.0199999999999996</v>
      </c>
      <c r="P489" s="7">
        <f>13.381-O490</f>
        <v>0.31900000000000084</v>
      </c>
      <c r="Q489" s="7">
        <f>56.211-P490</f>
        <v>42.83</v>
      </c>
      <c r="R489" s="7">
        <f>53.023-Q490</f>
        <v>-3.1879999999999953</v>
      </c>
      <c r="S489" s="7">
        <f>49.761-R490</f>
        <v>-3.2620000000000005</v>
      </c>
      <c r="T489" s="7">
        <f>46.666-S490</f>
        <v>-3.095000000000006</v>
      </c>
      <c r="U489" s="7">
        <f>43.44-T490</f>
        <v>-3.2259999999999991</v>
      </c>
      <c r="V489" s="7">
        <f>41.825-U490</f>
        <v>-1.6149999999999949</v>
      </c>
      <c r="W489" s="7">
        <f>38.708-V490</f>
        <v>-3.1170000000000044</v>
      </c>
      <c r="X489" s="7">
        <f>35.459-W490</f>
        <v>-3.2489999999999952</v>
      </c>
      <c r="Y489" s="7">
        <f>32.161-X490</f>
        <v>-3.2980000000000018</v>
      </c>
      <c r="Z489" s="7">
        <f>28.843-Y490</f>
        <v>-3.3180000000000014</v>
      </c>
      <c r="AA489" s="7">
        <f>8.699-Z490</f>
        <v>-20.143999999999998</v>
      </c>
      <c r="AB489" s="4">
        <f t="shared" ref="AB489:AM489" si="2065">+IF($C484&lt;AB$1,-(AB487+AB488),0)</f>
        <v>0</v>
      </c>
      <c r="AC489" s="4">
        <f t="shared" si="2065"/>
        <v>0</v>
      </c>
      <c r="AD489" s="4">
        <f t="shared" si="2065"/>
        <v>0</v>
      </c>
      <c r="AE489" s="4">
        <f t="shared" si="2065"/>
        <v>0</v>
      </c>
      <c r="AF489" s="4">
        <f t="shared" si="2065"/>
        <v>0</v>
      </c>
      <c r="AG489" s="4">
        <f t="shared" si="2065"/>
        <v>0</v>
      </c>
      <c r="AH489" s="4">
        <f t="shared" si="2065"/>
        <v>0</v>
      </c>
      <c r="AI489" s="4">
        <f t="shared" si="2065"/>
        <v>0</v>
      </c>
      <c r="AJ489" s="4">
        <f t="shared" si="2065"/>
        <v>0</v>
      </c>
      <c r="AK489" s="4">
        <f t="shared" si="2065"/>
        <v>0</v>
      </c>
      <c r="AL489" s="4">
        <f t="shared" si="2065"/>
        <v>0</v>
      </c>
      <c r="AM489" s="4">
        <f t="shared" si="2065"/>
        <v>0</v>
      </c>
      <c r="AN489" s="4">
        <f t="shared" ref="AN489:AY489" si="2066">+IF($C484&lt;AN$1,-(AN487+AN488),0)</f>
        <v>0</v>
      </c>
      <c r="AO489" s="4">
        <f t="shared" si="2066"/>
        <v>0</v>
      </c>
      <c r="AP489" s="4">
        <f t="shared" si="2066"/>
        <v>0</v>
      </c>
      <c r="AQ489" s="4">
        <f t="shared" si="2066"/>
        <v>0</v>
      </c>
      <c r="AR489" s="4">
        <f t="shared" si="2066"/>
        <v>0</v>
      </c>
      <c r="AS489" s="4">
        <f t="shared" si="2066"/>
        <v>0</v>
      </c>
      <c r="AT489" s="4">
        <f t="shared" si="2066"/>
        <v>0</v>
      </c>
      <c r="AU489" s="4">
        <f t="shared" si="2066"/>
        <v>0</v>
      </c>
      <c r="AV489" s="4">
        <f t="shared" si="2066"/>
        <v>0</v>
      </c>
      <c r="AW489" s="4">
        <f t="shared" si="2066"/>
        <v>0</v>
      </c>
      <c r="AX489" s="4">
        <f t="shared" si="2066"/>
        <v>0</v>
      </c>
      <c r="AY489" s="4">
        <f t="shared" si="2066"/>
        <v>0</v>
      </c>
      <c r="AZ489" s="24"/>
      <c r="BA489" s="4"/>
      <c r="BB489" s="4"/>
      <c r="BC489" s="4"/>
      <c r="BD489" s="4"/>
      <c r="BE489" s="4"/>
      <c r="BF489" s="4"/>
      <c r="BG489" s="4"/>
      <c r="BH489" s="4"/>
      <c r="BI489" s="4"/>
      <c r="BJ489" s="4"/>
      <c r="BK489" s="4"/>
      <c r="BL489" s="4"/>
      <c r="BM489" s="4"/>
      <c r="BN489" s="4"/>
    </row>
    <row r="490" spans="1:66">
      <c r="A490" s="22"/>
      <c r="B490" t="s">
        <v>130</v>
      </c>
      <c r="C490" s="4"/>
      <c r="D490" s="28"/>
      <c r="E490" s="28"/>
      <c r="F490" s="28"/>
      <c r="G490" s="28"/>
      <c r="H490" s="4"/>
      <c r="I490" s="7">
        <v>2.162941</v>
      </c>
      <c r="J490" s="4">
        <f t="shared" ref="J490:R490" si="2067">+SUM(J487:J489)</f>
        <v>1.9950000000000001</v>
      </c>
      <c r="K490" s="4">
        <f t="shared" si="2067"/>
        <v>2.5379999999999998</v>
      </c>
      <c r="L490" s="4">
        <f t="shared" si="2067"/>
        <v>2.7280000000000002</v>
      </c>
      <c r="M490" s="4">
        <f t="shared" si="2067"/>
        <v>4.4409999999999998</v>
      </c>
      <c r="N490" s="4">
        <f t="shared" si="2067"/>
        <v>9.0419999999999998</v>
      </c>
      <c r="O490" s="4">
        <f t="shared" si="2067"/>
        <v>13.061999999999999</v>
      </c>
      <c r="P490" s="4">
        <f t="shared" si="2067"/>
        <v>13.381</v>
      </c>
      <c r="Q490" s="4">
        <f t="shared" si="2067"/>
        <v>56.210999999999999</v>
      </c>
      <c r="R490" s="4">
        <f t="shared" si="2067"/>
        <v>53.023000000000003</v>
      </c>
      <c r="S490" s="4">
        <f t="shared" ref="S490:X490" si="2068">+SUM(S487:S489)</f>
        <v>49.761000000000003</v>
      </c>
      <c r="T490" s="4">
        <f t="shared" si="2068"/>
        <v>46.665999999999997</v>
      </c>
      <c r="U490" s="4">
        <f t="shared" si="2068"/>
        <v>43.44</v>
      </c>
      <c r="V490" s="4">
        <f t="shared" si="2068"/>
        <v>41.825000000000003</v>
      </c>
      <c r="W490" s="4">
        <f t="shared" si="2068"/>
        <v>38.707999999999998</v>
      </c>
      <c r="X490" s="4">
        <f t="shared" si="2068"/>
        <v>35.459000000000003</v>
      </c>
      <c r="Y490" s="4">
        <f t="shared" ref="Y490:AM490" si="2069">+SUM(Y487:Y489)</f>
        <v>32.161000000000001</v>
      </c>
      <c r="Z490" s="4">
        <f t="shared" ref="Z490" si="2070">+SUM(Z487:Z489)</f>
        <v>28.843</v>
      </c>
      <c r="AA490" s="4">
        <f t="shared" si="2069"/>
        <v>8.6990000000000016</v>
      </c>
      <c r="AB490" s="4">
        <f t="shared" si="2069"/>
        <v>8.6990000000000016</v>
      </c>
      <c r="AC490" s="4">
        <f t="shared" si="2069"/>
        <v>8.6990000000000016</v>
      </c>
      <c r="AD490" s="4">
        <f t="shared" si="2069"/>
        <v>8.6990000000000016</v>
      </c>
      <c r="AE490" s="4">
        <f t="shared" si="2069"/>
        <v>8.6990000000000016</v>
      </c>
      <c r="AF490" s="4">
        <f t="shared" si="2069"/>
        <v>8.6990000000000016</v>
      </c>
      <c r="AG490" s="4">
        <f t="shared" si="2069"/>
        <v>8.6990000000000016</v>
      </c>
      <c r="AH490" s="4">
        <f t="shared" si="2069"/>
        <v>8.6990000000000016</v>
      </c>
      <c r="AI490" s="4">
        <f t="shared" si="2069"/>
        <v>8.6990000000000016</v>
      </c>
      <c r="AJ490" s="4">
        <f t="shared" si="2069"/>
        <v>8.6990000000000016</v>
      </c>
      <c r="AK490" s="4">
        <f t="shared" si="2069"/>
        <v>8.6990000000000016</v>
      </c>
      <c r="AL490" s="4">
        <f t="shared" si="2069"/>
        <v>8.6990000000000016</v>
      </c>
      <c r="AM490" s="4">
        <f t="shared" si="2069"/>
        <v>8.6990000000000016</v>
      </c>
      <c r="AN490" s="4">
        <f t="shared" ref="AN490:AY490" si="2071">+SUM(AN487:AN489)</f>
        <v>8.6990000000000016</v>
      </c>
      <c r="AO490" s="4">
        <f t="shared" si="2071"/>
        <v>8.6990000000000016</v>
      </c>
      <c r="AP490" s="4">
        <f t="shared" si="2071"/>
        <v>8.6990000000000016</v>
      </c>
      <c r="AQ490" s="4">
        <f t="shared" si="2071"/>
        <v>8.6990000000000016</v>
      </c>
      <c r="AR490" s="4">
        <f t="shared" si="2071"/>
        <v>8.6990000000000016</v>
      </c>
      <c r="AS490" s="4">
        <f t="shared" si="2071"/>
        <v>8.6990000000000016</v>
      </c>
      <c r="AT490" s="4">
        <f t="shared" si="2071"/>
        <v>8.6990000000000016</v>
      </c>
      <c r="AU490" s="4">
        <f t="shared" si="2071"/>
        <v>8.6990000000000016</v>
      </c>
      <c r="AV490" s="4">
        <f t="shared" si="2071"/>
        <v>8.6990000000000016</v>
      </c>
      <c r="AW490" s="4">
        <f t="shared" si="2071"/>
        <v>8.6990000000000016</v>
      </c>
      <c r="AX490" s="4">
        <f t="shared" si="2071"/>
        <v>8.6990000000000016</v>
      </c>
      <c r="AY490" s="4">
        <f t="shared" si="2071"/>
        <v>8.6990000000000016</v>
      </c>
      <c r="AZ490" s="24"/>
      <c r="BA490" s="4"/>
      <c r="BB490" s="4"/>
      <c r="BC490" s="4"/>
      <c r="BD490" s="4"/>
      <c r="BE490" s="4"/>
      <c r="BF490" s="4"/>
      <c r="BG490" s="4"/>
      <c r="BH490" s="4"/>
      <c r="BI490" s="4"/>
      <c r="BJ490" s="4"/>
      <c r="BK490" s="4"/>
      <c r="BL490" s="4"/>
      <c r="BM490" s="4"/>
      <c r="BN490" s="4"/>
    </row>
    <row r="491" spans="1:66">
      <c r="A491" s="22"/>
      <c r="C491" s="4"/>
      <c r="D491" s="24"/>
      <c r="E491" s="24"/>
      <c r="F491" s="24"/>
      <c r="G491" s="2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24"/>
      <c r="BA491" s="4"/>
      <c r="BB491" s="4"/>
      <c r="BC491" s="4"/>
      <c r="BD491" s="4"/>
      <c r="BE491" s="4"/>
      <c r="BF491" s="4"/>
      <c r="BG491" s="4"/>
      <c r="BH491" s="4"/>
      <c r="BI491" s="4"/>
      <c r="BJ491" s="4"/>
      <c r="BK491" s="4"/>
      <c r="BL491" s="4"/>
      <c r="BM491" s="4"/>
      <c r="BN491" s="4"/>
    </row>
    <row r="492" spans="1:66" hidden="1" outlineLevel="1">
      <c r="A492" s="357"/>
      <c r="B492" s="32" t="s">
        <v>139</v>
      </c>
      <c r="C492" s="37">
        <v>41883</v>
      </c>
      <c r="D492" s="34"/>
      <c r="E492" s="34"/>
      <c r="F492" s="34"/>
      <c r="G492" s="34"/>
      <c r="H492" s="33"/>
      <c r="I492" s="34">
        <v>150</v>
      </c>
      <c r="J492" s="33">
        <f t="shared" ref="J492:W492" si="2072">+IF($C492&gt;J$1,I492+J497,I492-I492)</f>
        <v>150</v>
      </c>
      <c r="K492" s="33">
        <f t="shared" si="2072"/>
        <v>150</v>
      </c>
      <c r="L492" s="33">
        <f t="shared" si="2072"/>
        <v>150</v>
      </c>
      <c r="M492" s="33">
        <f t="shared" si="2072"/>
        <v>150</v>
      </c>
      <c r="N492" s="33">
        <f t="shared" si="2072"/>
        <v>0</v>
      </c>
      <c r="O492" s="33">
        <f t="shared" si="2072"/>
        <v>0</v>
      </c>
      <c r="P492" s="33">
        <f t="shared" si="2072"/>
        <v>0</v>
      </c>
      <c r="Q492" s="33">
        <f t="shared" si="2072"/>
        <v>0</v>
      </c>
      <c r="R492" s="33">
        <f t="shared" si="2072"/>
        <v>0</v>
      </c>
      <c r="S492" s="33">
        <f t="shared" si="2072"/>
        <v>0</v>
      </c>
      <c r="T492" s="33">
        <f t="shared" si="2072"/>
        <v>0</v>
      </c>
      <c r="U492" s="33">
        <f t="shared" si="2072"/>
        <v>0</v>
      </c>
      <c r="V492" s="33">
        <f t="shared" si="2072"/>
        <v>0</v>
      </c>
      <c r="W492" s="33">
        <f t="shared" si="2072"/>
        <v>0</v>
      </c>
      <c r="X492" s="33">
        <f t="shared" ref="X492:AM492" si="2073">+IF($C492&gt;X$1,W492+X497,W492-W492)</f>
        <v>0</v>
      </c>
      <c r="Y492" s="33">
        <f t="shared" si="2073"/>
        <v>0</v>
      </c>
      <c r="Z492" s="33">
        <f t="shared" si="2073"/>
        <v>0</v>
      </c>
      <c r="AA492" s="33">
        <f t="shared" si="2073"/>
        <v>0</v>
      </c>
      <c r="AB492" s="33">
        <f t="shared" si="2073"/>
        <v>0</v>
      </c>
      <c r="AC492" s="33">
        <f t="shared" si="2073"/>
        <v>0</v>
      </c>
      <c r="AD492" s="33">
        <f t="shared" si="2073"/>
        <v>0</v>
      </c>
      <c r="AE492" s="33">
        <f t="shared" si="2073"/>
        <v>0</v>
      </c>
      <c r="AF492" s="33">
        <f t="shared" si="2073"/>
        <v>0</v>
      </c>
      <c r="AG492" s="33">
        <f t="shared" si="2073"/>
        <v>0</v>
      </c>
      <c r="AH492" s="33">
        <f t="shared" si="2073"/>
        <v>0</v>
      </c>
      <c r="AI492" s="33">
        <f t="shared" si="2073"/>
        <v>0</v>
      </c>
      <c r="AJ492" s="33">
        <f t="shared" si="2073"/>
        <v>0</v>
      </c>
      <c r="AK492" s="33">
        <f t="shared" si="2073"/>
        <v>0</v>
      </c>
      <c r="AL492" s="33">
        <f t="shared" si="2073"/>
        <v>0</v>
      </c>
      <c r="AM492" s="33">
        <f t="shared" si="2073"/>
        <v>0</v>
      </c>
      <c r="AN492" s="33">
        <f t="shared" ref="AN492" si="2074">+IF($C492&gt;AN$1,AM492+AN497,AM492-AM492)</f>
        <v>0</v>
      </c>
      <c r="AO492" s="33">
        <f t="shared" ref="AO492" si="2075">+IF($C492&gt;AO$1,AN492+AO497,AN492-AN492)</f>
        <v>0</v>
      </c>
      <c r="AP492" s="33">
        <f t="shared" ref="AP492" si="2076">+IF($C492&gt;AP$1,AO492+AP497,AO492-AO492)</f>
        <v>0</v>
      </c>
      <c r="AQ492" s="33">
        <f t="shared" ref="AQ492" si="2077">+IF($C492&gt;AQ$1,AP492+AQ497,AP492-AP492)</f>
        <v>0</v>
      </c>
      <c r="AR492" s="33">
        <f t="shared" ref="AR492" si="2078">+IF($C492&gt;AR$1,AQ492+AR497,AQ492-AQ492)</f>
        <v>0</v>
      </c>
      <c r="AS492" s="33">
        <f t="shared" ref="AS492" si="2079">+IF($C492&gt;AS$1,AR492+AS497,AR492-AR492)</f>
        <v>0</v>
      </c>
      <c r="AT492" s="33">
        <f t="shared" ref="AT492" si="2080">+IF($C492&gt;AT$1,AS492+AT497,AS492-AS492)</f>
        <v>0</v>
      </c>
      <c r="AU492" s="33">
        <f t="shared" ref="AU492" si="2081">+IF($C492&gt;AU$1,AT492+AU497,AT492-AT492)</f>
        <v>0</v>
      </c>
      <c r="AV492" s="33">
        <f t="shared" ref="AV492" si="2082">+IF($C492&gt;AV$1,AU492+AV497,AU492-AU492)</f>
        <v>0</v>
      </c>
      <c r="AW492" s="33">
        <f t="shared" ref="AW492" si="2083">+IF($C492&gt;AW$1,AV492+AW497,AV492-AV492)</f>
        <v>0</v>
      </c>
      <c r="AX492" s="33">
        <f t="shared" ref="AX492" si="2084">+IF($C492&gt;AX$1,AW492+AX497,AW492-AW492)</f>
        <v>0</v>
      </c>
      <c r="AY492" s="33">
        <f t="shared" ref="AY492" si="2085">+IF($C492&gt;AY$1,AX492+AY497,AX492-AX492)</f>
        <v>0</v>
      </c>
      <c r="AZ492" s="24"/>
      <c r="BA492" s="33"/>
      <c r="BB492" s="33"/>
      <c r="BC492" s="33"/>
      <c r="BD492" s="33"/>
      <c r="BE492" s="33"/>
      <c r="BF492" s="33"/>
      <c r="BG492" s="33"/>
      <c r="BH492" s="33"/>
      <c r="BI492" s="33"/>
      <c r="BJ492" s="33"/>
      <c r="BK492" s="33"/>
      <c r="BL492" s="33"/>
      <c r="BM492" s="33"/>
      <c r="BN492" s="33"/>
    </row>
    <row r="493" spans="1:66" hidden="1" outlineLevel="1">
      <c r="A493" s="357"/>
      <c r="B493" t="s">
        <v>126</v>
      </c>
      <c r="C493" s="17">
        <v>5.7999999999999996E-3</v>
      </c>
      <c r="D493" s="24"/>
      <c r="E493" s="24"/>
      <c r="F493" s="24"/>
      <c r="G493" s="24"/>
      <c r="H493" s="4"/>
      <c r="I493" s="4"/>
      <c r="J493" s="4">
        <f t="shared" ref="J493:W493" si="2086">AVERAGE(I492:J492)*($C493/4)</f>
        <v>0.21749999999999997</v>
      </c>
      <c r="K493" s="4">
        <f t="shared" si="2086"/>
        <v>0.21749999999999997</v>
      </c>
      <c r="L493" s="4">
        <f t="shared" si="2086"/>
        <v>0.21749999999999997</v>
      </c>
      <c r="M493" s="4">
        <f t="shared" si="2086"/>
        <v>0.21749999999999997</v>
      </c>
      <c r="N493" s="4">
        <f t="shared" si="2086"/>
        <v>0.10874999999999999</v>
      </c>
      <c r="O493" s="4">
        <f t="shared" si="2086"/>
        <v>0</v>
      </c>
      <c r="P493" s="4">
        <f t="shared" si="2086"/>
        <v>0</v>
      </c>
      <c r="Q493" s="4">
        <f t="shared" si="2086"/>
        <v>0</v>
      </c>
      <c r="R493" s="4">
        <f t="shared" si="2086"/>
        <v>0</v>
      </c>
      <c r="S493" s="4">
        <f t="shared" si="2086"/>
        <v>0</v>
      </c>
      <c r="T493" s="4">
        <f t="shared" si="2086"/>
        <v>0</v>
      </c>
      <c r="U493" s="4">
        <f t="shared" si="2086"/>
        <v>0</v>
      </c>
      <c r="V493" s="4">
        <f t="shared" si="2086"/>
        <v>0</v>
      </c>
      <c r="W493" s="4">
        <f t="shared" si="2086"/>
        <v>0</v>
      </c>
      <c r="X493" s="4">
        <f t="shared" ref="X493:AM493" si="2087">AVERAGE(W492:X492)*($C493/4)</f>
        <v>0</v>
      </c>
      <c r="Y493" s="4">
        <f t="shared" si="2087"/>
        <v>0</v>
      </c>
      <c r="Z493" s="4">
        <f t="shared" si="2087"/>
        <v>0</v>
      </c>
      <c r="AA493" s="4">
        <f t="shared" si="2087"/>
        <v>0</v>
      </c>
      <c r="AB493" s="4">
        <f t="shared" si="2087"/>
        <v>0</v>
      </c>
      <c r="AC493" s="4">
        <f t="shared" si="2087"/>
        <v>0</v>
      </c>
      <c r="AD493" s="4">
        <f t="shared" si="2087"/>
        <v>0</v>
      </c>
      <c r="AE493" s="4">
        <f t="shared" si="2087"/>
        <v>0</v>
      </c>
      <c r="AF493" s="4">
        <f t="shared" si="2087"/>
        <v>0</v>
      </c>
      <c r="AG493" s="4">
        <f t="shared" si="2087"/>
        <v>0</v>
      </c>
      <c r="AH493" s="4">
        <f t="shared" si="2087"/>
        <v>0</v>
      </c>
      <c r="AI493" s="4">
        <f t="shared" si="2087"/>
        <v>0</v>
      </c>
      <c r="AJ493" s="4">
        <f t="shared" si="2087"/>
        <v>0</v>
      </c>
      <c r="AK493" s="4">
        <f t="shared" si="2087"/>
        <v>0</v>
      </c>
      <c r="AL493" s="4">
        <f t="shared" si="2087"/>
        <v>0</v>
      </c>
      <c r="AM493" s="4">
        <f t="shared" si="2087"/>
        <v>0</v>
      </c>
      <c r="AN493" s="4">
        <f t="shared" ref="AN493" si="2088">AVERAGE(AM492:AN492)*($C493/4)</f>
        <v>0</v>
      </c>
      <c r="AO493" s="4">
        <f t="shared" ref="AO493" si="2089">AVERAGE(AN492:AO492)*($C493/4)</f>
        <v>0</v>
      </c>
      <c r="AP493" s="4">
        <f t="shared" ref="AP493" si="2090">AVERAGE(AO492:AP492)*($C493/4)</f>
        <v>0</v>
      </c>
      <c r="AQ493" s="4">
        <f t="shared" ref="AQ493" si="2091">AVERAGE(AP492:AQ492)*($C493/4)</f>
        <v>0</v>
      </c>
      <c r="AR493" s="4">
        <f t="shared" ref="AR493" si="2092">AVERAGE(AQ492:AR492)*($C493/4)</f>
        <v>0</v>
      </c>
      <c r="AS493" s="4">
        <f t="shared" ref="AS493" si="2093">AVERAGE(AR492:AS492)*($C493/4)</f>
        <v>0</v>
      </c>
      <c r="AT493" s="4">
        <f t="shared" ref="AT493" si="2094">AVERAGE(AS492:AT492)*($C493/4)</f>
        <v>0</v>
      </c>
      <c r="AU493" s="4">
        <f t="shared" ref="AU493" si="2095">AVERAGE(AT492:AU492)*($C493/4)</f>
        <v>0</v>
      </c>
      <c r="AV493" s="4">
        <f t="shared" ref="AV493" si="2096">AVERAGE(AU492:AV492)*($C493/4)</f>
        <v>0</v>
      </c>
      <c r="AW493" s="4">
        <f t="shared" ref="AW493" si="2097">AVERAGE(AV492:AW492)*($C493/4)</f>
        <v>0</v>
      </c>
      <c r="AX493" s="4">
        <f t="shared" ref="AX493" si="2098">AVERAGE(AW492:AX492)*($C493/4)</f>
        <v>0</v>
      </c>
      <c r="AY493" s="4">
        <f t="shared" ref="AY493" si="2099">AVERAGE(AX492:AY492)*($C493/4)</f>
        <v>0</v>
      </c>
      <c r="AZ493" s="24"/>
      <c r="BA493" s="4"/>
      <c r="BB493" s="4"/>
      <c r="BC493" s="4"/>
      <c r="BD493" s="4"/>
      <c r="BE493" s="4"/>
      <c r="BF493" s="4"/>
      <c r="BG493" s="4"/>
      <c r="BH493" s="4"/>
      <c r="BI493" s="4"/>
      <c r="BJ493" s="4"/>
      <c r="BK493" s="4"/>
      <c r="BL493" s="4"/>
      <c r="BM493" s="4"/>
      <c r="BN493" s="4"/>
    </row>
    <row r="494" spans="1:66" hidden="1" outlineLevel="1">
      <c r="A494" s="357"/>
      <c r="B494" t="s">
        <v>1</v>
      </c>
      <c r="C494" s="17">
        <v>5.7999999999999996E-3</v>
      </c>
      <c r="D494" s="24"/>
      <c r="E494" s="24"/>
      <c r="F494" s="24"/>
      <c r="G494" s="24"/>
      <c r="H494" s="4"/>
      <c r="I494" s="4"/>
      <c r="J494" s="4">
        <f t="shared" ref="J494:W494" si="2100">AVERAGE(I492:J492)*($C494/4)</f>
        <v>0.21749999999999997</v>
      </c>
      <c r="K494" s="4">
        <f t="shared" si="2100"/>
        <v>0.21749999999999997</v>
      </c>
      <c r="L494" s="4">
        <f t="shared" si="2100"/>
        <v>0.21749999999999997</v>
      </c>
      <c r="M494" s="4">
        <f t="shared" si="2100"/>
        <v>0.21749999999999997</v>
      </c>
      <c r="N494" s="4">
        <f t="shared" si="2100"/>
        <v>0.10874999999999999</v>
      </c>
      <c r="O494" s="4">
        <f t="shared" si="2100"/>
        <v>0</v>
      </c>
      <c r="P494" s="4">
        <f t="shared" si="2100"/>
        <v>0</v>
      </c>
      <c r="Q494" s="4">
        <f t="shared" si="2100"/>
        <v>0</v>
      </c>
      <c r="R494" s="4">
        <f t="shared" si="2100"/>
        <v>0</v>
      </c>
      <c r="S494" s="4">
        <f t="shared" si="2100"/>
        <v>0</v>
      </c>
      <c r="T494" s="4">
        <f t="shared" si="2100"/>
        <v>0</v>
      </c>
      <c r="U494" s="4">
        <f t="shared" si="2100"/>
        <v>0</v>
      </c>
      <c r="V494" s="4">
        <f t="shared" si="2100"/>
        <v>0</v>
      </c>
      <c r="W494" s="4">
        <f t="shared" si="2100"/>
        <v>0</v>
      </c>
      <c r="X494" s="4">
        <f t="shared" ref="X494:AM494" si="2101">AVERAGE(W492:X492)*($C494/4)</f>
        <v>0</v>
      </c>
      <c r="Y494" s="4">
        <f t="shared" si="2101"/>
        <v>0</v>
      </c>
      <c r="Z494" s="4">
        <f t="shared" si="2101"/>
        <v>0</v>
      </c>
      <c r="AA494" s="4">
        <f t="shared" si="2101"/>
        <v>0</v>
      </c>
      <c r="AB494" s="4">
        <f t="shared" si="2101"/>
        <v>0</v>
      </c>
      <c r="AC494" s="4">
        <f t="shared" si="2101"/>
        <v>0</v>
      </c>
      <c r="AD494" s="4">
        <f t="shared" si="2101"/>
        <v>0</v>
      </c>
      <c r="AE494" s="4">
        <f t="shared" si="2101"/>
        <v>0</v>
      </c>
      <c r="AF494" s="4">
        <f t="shared" si="2101"/>
        <v>0</v>
      </c>
      <c r="AG494" s="4">
        <f t="shared" si="2101"/>
        <v>0</v>
      </c>
      <c r="AH494" s="4">
        <f t="shared" si="2101"/>
        <v>0</v>
      </c>
      <c r="AI494" s="4">
        <f t="shared" si="2101"/>
        <v>0</v>
      </c>
      <c r="AJ494" s="4">
        <f t="shared" si="2101"/>
        <v>0</v>
      </c>
      <c r="AK494" s="4">
        <f t="shared" si="2101"/>
        <v>0</v>
      </c>
      <c r="AL494" s="4">
        <f t="shared" si="2101"/>
        <v>0</v>
      </c>
      <c r="AM494" s="4">
        <f t="shared" si="2101"/>
        <v>0</v>
      </c>
      <c r="AN494" s="4">
        <f t="shared" ref="AN494" si="2102">AVERAGE(AM492:AN492)*($C494/4)</f>
        <v>0</v>
      </c>
      <c r="AO494" s="4">
        <f t="shared" ref="AO494" si="2103">AVERAGE(AN492:AO492)*($C494/4)</f>
        <v>0</v>
      </c>
      <c r="AP494" s="4">
        <f t="shared" ref="AP494" si="2104">AVERAGE(AO492:AP492)*($C494/4)</f>
        <v>0</v>
      </c>
      <c r="AQ494" s="4">
        <f t="shared" ref="AQ494" si="2105">AVERAGE(AP492:AQ492)*($C494/4)</f>
        <v>0</v>
      </c>
      <c r="AR494" s="4">
        <f t="shared" ref="AR494" si="2106">AVERAGE(AQ492:AR492)*($C494/4)</f>
        <v>0</v>
      </c>
      <c r="AS494" s="4">
        <f t="shared" ref="AS494" si="2107">AVERAGE(AR492:AS492)*($C494/4)</f>
        <v>0</v>
      </c>
      <c r="AT494" s="4">
        <f t="shared" ref="AT494" si="2108">AVERAGE(AS492:AT492)*($C494/4)</f>
        <v>0</v>
      </c>
      <c r="AU494" s="4">
        <f t="shared" ref="AU494" si="2109">AVERAGE(AT492:AU492)*($C494/4)</f>
        <v>0</v>
      </c>
      <c r="AV494" s="4">
        <f t="shared" ref="AV494" si="2110">AVERAGE(AU492:AV492)*($C494/4)</f>
        <v>0</v>
      </c>
      <c r="AW494" s="4">
        <f t="shared" ref="AW494" si="2111">AVERAGE(AV492:AW492)*($C494/4)</f>
        <v>0</v>
      </c>
      <c r="AX494" s="4">
        <f t="shared" ref="AX494" si="2112">AVERAGE(AW492:AX492)*($C494/4)</f>
        <v>0</v>
      </c>
      <c r="AY494" s="4">
        <f t="shared" ref="AY494" si="2113">AVERAGE(AX492:AY492)*($C494/4)</f>
        <v>0</v>
      </c>
      <c r="AZ494" s="24"/>
      <c r="BA494" s="4"/>
      <c r="BB494" s="4"/>
      <c r="BC494" s="4"/>
      <c r="BD494" s="4"/>
      <c r="BE494" s="4"/>
      <c r="BF494" s="4"/>
      <c r="BG494" s="4"/>
      <c r="BH494" s="4"/>
      <c r="BI494" s="4"/>
      <c r="BJ494" s="4"/>
      <c r="BK494" s="4"/>
      <c r="BL494" s="4"/>
      <c r="BM494" s="4"/>
      <c r="BN494" s="4"/>
    </row>
    <row r="495" spans="1:66" hidden="1" outlineLevel="1">
      <c r="A495" s="357"/>
      <c r="B495" t="s">
        <v>127</v>
      </c>
      <c r="C495" s="4"/>
      <c r="D495" s="24"/>
      <c r="E495" s="24"/>
      <c r="F495" s="24"/>
      <c r="G495" s="24"/>
      <c r="H495" s="4"/>
      <c r="I495" s="4"/>
      <c r="J495" s="4">
        <f t="shared" ref="J495:W495" si="2114">+I498</f>
        <v>150</v>
      </c>
      <c r="K495" s="4">
        <f t="shared" si="2114"/>
        <v>150</v>
      </c>
      <c r="L495" s="4">
        <f t="shared" si="2114"/>
        <v>150</v>
      </c>
      <c r="M495" s="4">
        <f t="shared" si="2114"/>
        <v>150</v>
      </c>
      <c r="N495" s="4">
        <f t="shared" si="2114"/>
        <v>150</v>
      </c>
      <c r="O495" s="4">
        <f t="shared" si="2114"/>
        <v>0</v>
      </c>
      <c r="P495" s="4">
        <f t="shared" si="2114"/>
        <v>0</v>
      </c>
      <c r="Q495" s="4">
        <f t="shared" si="2114"/>
        <v>0</v>
      </c>
      <c r="R495" s="4">
        <f t="shared" si="2114"/>
        <v>0</v>
      </c>
      <c r="S495" s="4">
        <f t="shared" si="2114"/>
        <v>0</v>
      </c>
      <c r="T495" s="4">
        <f t="shared" si="2114"/>
        <v>0</v>
      </c>
      <c r="U495" s="4">
        <f t="shared" si="2114"/>
        <v>0</v>
      </c>
      <c r="V495" s="4">
        <f t="shared" si="2114"/>
        <v>0</v>
      </c>
      <c r="W495" s="4">
        <f t="shared" si="2114"/>
        <v>0</v>
      </c>
      <c r="X495" s="4">
        <f t="shared" ref="X495:AM495" si="2115">+W498</f>
        <v>0</v>
      </c>
      <c r="Y495" s="4">
        <f t="shared" si="2115"/>
        <v>0</v>
      </c>
      <c r="Z495" s="4">
        <f t="shared" si="2115"/>
        <v>0</v>
      </c>
      <c r="AA495" s="4">
        <f t="shared" si="2115"/>
        <v>0</v>
      </c>
      <c r="AB495" s="4">
        <f t="shared" si="2115"/>
        <v>0</v>
      </c>
      <c r="AC495" s="4">
        <f t="shared" si="2115"/>
        <v>0</v>
      </c>
      <c r="AD495" s="4">
        <f t="shared" si="2115"/>
        <v>0</v>
      </c>
      <c r="AE495" s="4">
        <f t="shared" si="2115"/>
        <v>0</v>
      </c>
      <c r="AF495" s="4">
        <f t="shared" si="2115"/>
        <v>0</v>
      </c>
      <c r="AG495" s="4">
        <f t="shared" si="2115"/>
        <v>0</v>
      </c>
      <c r="AH495" s="4">
        <f t="shared" si="2115"/>
        <v>0</v>
      </c>
      <c r="AI495" s="4">
        <f t="shared" si="2115"/>
        <v>0</v>
      </c>
      <c r="AJ495" s="4">
        <f t="shared" si="2115"/>
        <v>0</v>
      </c>
      <c r="AK495" s="4">
        <f t="shared" si="2115"/>
        <v>0</v>
      </c>
      <c r="AL495" s="4">
        <f t="shared" si="2115"/>
        <v>0</v>
      </c>
      <c r="AM495" s="4">
        <f t="shared" si="2115"/>
        <v>0</v>
      </c>
      <c r="AN495" s="4">
        <f t="shared" ref="AN495" si="2116">+AM498</f>
        <v>0</v>
      </c>
      <c r="AO495" s="4">
        <f t="shared" ref="AO495" si="2117">+AN498</f>
        <v>0</v>
      </c>
      <c r="AP495" s="4">
        <f t="shared" ref="AP495" si="2118">+AO498</f>
        <v>0</v>
      </c>
      <c r="AQ495" s="4">
        <f t="shared" ref="AQ495" si="2119">+AP498</f>
        <v>0</v>
      </c>
      <c r="AR495" s="4">
        <f t="shared" ref="AR495" si="2120">+AQ498</f>
        <v>0</v>
      </c>
      <c r="AS495" s="4">
        <f t="shared" ref="AS495" si="2121">+AR498</f>
        <v>0</v>
      </c>
      <c r="AT495" s="4">
        <f t="shared" ref="AT495" si="2122">+AS498</f>
        <v>0</v>
      </c>
      <c r="AU495" s="4">
        <f t="shared" ref="AU495" si="2123">+AT498</f>
        <v>0</v>
      </c>
      <c r="AV495" s="4">
        <f t="shared" ref="AV495" si="2124">+AU498</f>
        <v>0</v>
      </c>
      <c r="AW495" s="4">
        <f t="shared" ref="AW495" si="2125">+AV498</f>
        <v>0</v>
      </c>
      <c r="AX495" s="4">
        <f t="shared" ref="AX495" si="2126">+AW498</f>
        <v>0</v>
      </c>
      <c r="AY495" s="4">
        <f t="shared" ref="AY495" si="2127">+AX498</f>
        <v>0</v>
      </c>
      <c r="AZ495" s="24"/>
      <c r="BA495" s="4"/>
      <c r="BB495" s="4"/>
      <c r="BC495" s="4"/>
      <c r="BD495" s="4"/>
      <c r="BE495" s="4"/>
      <c r="BF495" s="4"/>
      <c r="BG495" s="4"/>
      <c r="BH495" s="4"/>
      <c r="BI495" s="4"/>
      <c r="BJ495" s="4"/>
      <c r="BK495" s="4"/>
      <c r="BL495" s="4"/>
      <c r="BM495" s="4"/>
      <c r="BN495" s="4"/>
    </row>
    <row r="496" spans="1:66" hidden="1" outlineLevel="1">
      <c r="A496" s="357"/>
      <c r="B496" t="s">
        <v>128</v>
      </c>
      <c r="C496" s="4"/>
      <c r="D496" s="24"/>
      <c r="E496" s="24"/>
      <c r="F496" s="24"/>
      <c r="G496" s="24"/>
      <c r="H496" s="4"/>
      <c r="I496" s="4"/>
      <c r="J496" s="4">
        <f t="shared" ref="J496:O496" si="2128">+J494-J493</f>
        <v>0</v>
      </c>
      <c r="K496" s="4">
        <f t="shared" si="2128"/>
        <v>0</v>
      </c>
      <c r="L496" s="4">
        <f t="shared" si="2128"/>
        <v>0</v>
      </c>
      <c r="M496" s="4">
        <f t="shared" si="2128"/>
        <v>0</v>
      </c>
      <c r="N496" s="4">
        <f t="shared" si="2128"/>
        <v>0</v>
      </c>
      <c r="O496" s="4">
        <f t="shared" si="2128"/>
        <v>0</v>
      </c>
      <c r="P496" s="4">
        <f t="shared" ref="P496:W496" si="2129">+P494-P493</f>
        <v>0</v>
      </c>
      <c r="Q496" s="4">
        <f t="shared" si="2129"/>
        <v>0</v>
      </c>
      <c r="R496" s="4">
        <f t="shared" si="2129"/>
        <v>0</v>
      </c>
      <c r="S496" s="4">
        <f t="shared" si="2129"/>
        <v>0</v>
      </c>
      <c r="T496" s="4">
        <f t="shared" si="2129"/>
        <v>0</v>
      </c>
      <c r="U496" s="4">
        <f t="shared" si="2129"/>
        <v>0</v>
      </c>
      <c r="V496" s="4">
        <f t="shared" si="2129"/>
        <v>0</v>
      </c>
      <c r="W496" s="4">
        <f t="shared" si="2129"/>
        <v>0</v>
      </c>
      <c r="X496" s="4">
        <f t="shared" ref="X496:AM496" si="2130">+X494-X493</f>
        <v>0</v>
      </c>
      <c r="Y496" s="4">
        <f t="shared" si="2130"/>
        <v>0</v>
      </c>
      <c r="Z496" s="4">
        <f t="shared" si="2130"/>
        <v>0</v>
      </c>
      <c r="AA496" s="4">
        <f t="shared" si="2130"/>
        <v>0</v>
      </c>
      <c r="AB496" s="4">
        <f t="shared" si="2130"/>
        <v>0</v>
      </c>
      <c r="AC496" s="4">
        <f t="shared" si="2130"/>
        <v>0</v>
      </c>
      <c r="AD496" s="4">
        <f t="shared" si="2130"/>
        <v>0</v>
      </c>
      <c r="AE496" s="4">
        <f t="shared" si="2130"/>
        <v>0</v>
      </c>
      <c r="AF496" s="4">
        <f t="shared" si="2130"/>
        <v>0</v>
      </c>
      <c r="AG496" s="4">
        <f t="shared" si="2130"/>
        <v>0</v>
      </c>
      <c r="AH496" s="4">
        <f t="shared" si="2130"/>
        <v>0</v>
      </c>
      <c r="AI496" s="4">
        <f t="shared" si="2130"/>
        <v>0</v>
      </c>
      <c r="AJ496" s="4">
        <f t="shared" si="2130"/>
        <v>0</v>
      </c>
      <c r="AK496" s="4">
        <f t="shared" si="2130"/>
        <v>0</v>
      </c>
      <c r="AL496" s="4">
        <f t="shared" si="2130"/>
        <v>0</v>
      </c>
      <c r="AM496" s="4">
        <f t="shared" si="2130"/>
        <v>0</v>
      </c>
      <c r="AN496" s="4">
        <f t="shared" ref="AN496:AY496" si="2131">+AN494-AN493</f>
        <v>0</v>
      </c>
      <c r="AO496" s="4">
        <f t="shared" si="2131"/>
        <v>0</v>
      </c>
      <c r="AP496" s="4">
        <f t="shared" si="2131"/>
        <v>0</v>
      </c>
      <c r="AQ496" s="4">
        <f t="shared" si="2131"/>
        <v>0</v>
      </c>
      <c r="AR496" s="4">
        <f t="shared" si="2131"/>
        <v>0</v>
      </c>
      <c r="AS496" s="4">
        <f t="shared" si="2131"/>
        <v>0</v>
      </c>
      <c r="AT496" s="4">
        <f t="shared" si="2131"/>
        <v>0</v>
      </c>
      <c r="AU496" s="4">
        <f t="shared" si="2131"/>
        <v>0</v>
      </c>
      <c r="AV496" s="4">
        <f t="shared" si="2131"/>
        <v>0</v>
      </c>
      <c r="AW496" s="4">
        <f t="shared" si="2131"/>
        <v>0</v>
      </c>
      <c r="AX496" s="4">
        <f t="shared" si="2131"/>
        <v>0</v>
      </c>
      <c r="AY496" s="4">
        <f t="shared" si="2131"/>
        <v>0</v>
      </c>
      <c r="AZ496" s="24"/>
      <c r="BA496" s="4"/>
      <c r="BB496" s="4"/>
      <c r="BC496" s="4"/>
      <c r="BD496" s="4"/>
      <c r="BE496" s="4"/>
      <c r="BF496" s="4"/>
      <c r="BG496" s="4"/>
      <c r="BH496" s="4"/>
      <c r="BI496" s="4"/>
      <c r="BJ496" s="4"/>
      <c r="BK496" s="4"/>
      <c r="BL496" s="4"/>
      <c r="BM496" s="4"/>
      <c r="BN496" s="4"/>
    </row>
    <row r="497" spans="1:66" hidden="1" outlineLevel="1">
      <c r="A497" s="357"/>
      <c r="B497" t="s">
        <v>129</v>
      </c>
      <c r="C497" s="4"/>
      <c r="D497" s="24"/>
      <c r="E497" s="24"/>
      <c r="F497" s="24"/>
      <c r="G497" s="24"/>
      <c r="H497" s="4"/>
      <c r="I497" s="4"/>
      <c r="J497" s="4">
        <f t="shared" ref="J497:R497" si="2132">+IF($C492&lt;J$1,-(J495+J496),0)</f>
        <v>0</v>
      </c>
      <c r="K497" s="4">
        <f t="shared" si="2132"/>
        <v>0</v>
      </c>
      <c r="L497" s="4">
        <f t="shared" si="2132"/>
        <v>0</v>
      </c>
      <c r="M497" s="4">
        <f t="shared" si="2132"/>
        <v>0</v>
      </c>
      <c r="N497" s="4">
        <f t="shared" si="2132"/>
        <v>-150</v>
      </c>
      <c r="O497" s="4">
        <f t="shared" si="2132"/>
        <v>0</v>
      </c>
      <c r="P497" s="4">
        <f t="shared" si="2132"/>
        <v>0</v>
      </c>
      <c r="Q497" s="4">
        <f t="shared" si="2132"/>
        <v>0</v>
      </c>
      <c r="R497" s="4">
        <f t="shared" si="2132"/>
        <v>0</v>
      </c>
      <c r="S497" s="4">
        <f>+IF($C492&lt;S$1,-(S495+S496),0)</f>
        <v>0</v>
      </c>
      <c r="T497" s="4">
        <f>+IF($C492&lt;T$1,-(T495+T496),0)</f>
        <v>0</v>
      </c>
      <c r="U497" s="4">
        <f>+IF($C492&lt;U$1,-(U495+U496),0)</f>
        <v>0</v>
      </c>
      <c r="V497" s="4">
        <f>+IF($C492&lt;V$1,-(V495+V496),0)</f>
        <v>0</v>
      </c>
      <c r="W497" s="4">
        <f>+IF($C492&lt;W$1,-(W495+W496),0)</f>
        <v>0</v>
      </c>
      <c r="X497" s="4">
        <f t="shared" ref="X497:AM497" si="2133">+IF($C492&lt;X$1,-(X495+X496),0)</f>
        <v>0</v>
      </c>
      <c r="Y497" s="4">
        <f t="shared" si="2133"/>
        <v>0</v>
      </c>
      <c r="Z497" s="4">
        <f t="shared" si="2133"/>
        <v>0</v>
      </c>
      <c r="AA497" s="4">
        <f t="shared" si="2133"/>
        <v>0</v>
      </c>
      <c r="AB497" s="4">
        <f t="shared" si="2133"/>
        <v>0</v>
      </c>
      <c r="AC497" s="4">
        <f t="shared" si="2133"/>
        <v>0</v>
      </c>
      <c r="AD497" s="4">
        <f t="shared" si="2133"/>
        <v>0</v>
      </c>
      <c r="AE497" s="4">
        <f t="shared" si="2133"/>
        <v>0</v>
      </c>
      <c r="AF497" s="4">
        <f t="shared" si="2133"/>
        <v>0</v>
      </c>
      <c r="AG497" s="4">
        <f t="shared" si="2133"/>
        <v>0</v>
      </c>
      <c r="AH497" s="4">
        <f t="shared" si="2133"/>
        <v>0</v>
      </c>
      <c r="AI497" s="4">
        <f t="shared" si="2133"/>
        <v>0</v>
      </c>
      <c r="AJ497" s="4">
        <f t="shared" si="2133"/>
        <v>0</v>
      </c>
      <c r="AK497" s="4">
        <f t="shared" si="2133"/>
        <v>0</v>
      </c>
      <c r="AL497" s="4">
        <f t="shared" si="2133"/>
        <v>0</v>
      </c>
      <c r="AM497" s="4">
        <f t="shared" si="2133"/>
        <v>0</v>
      </c>
      <c r="AN497" s="4">
        <f t="shared" ref="AN497:AY497" si="2134">+IF($C492&lt;AN$1,-(AN495+AN496),0)</f>
        <v>0</v>
      </c>
      <c r="AO497" s="4">
        <f t="shared" si="2134"/>
        <v>0</v>
      </c>
      <c r="AP497" s="4">
        <f t="shared" si="2134"/>
        <v>0</v>
      </c>
      <c r="AQ497" s="4">
        <f t="shared" si="2134"/>
        <v>0</v>
      </c>
      <c r="AR497" s="4">
        <f t="shared" si="2134"/>
        <v>0</v>
      </c>
      <c r="AS497" s="4">
        <f t="shared" si="2134"/>
        <v>0</v>
      </c>
      <c r="AT497" s="4">
        <f t="shared" si="2134"/>
        <v>0</v>
      </c>
      <c r="AU497" s="4">
        <f t="shared" si="2134"/>
        <v>0</v>
      </c>
      <c r="AV497" s="4">
        <f t="shared" si="2134"/>
        <v>0</v>
      </c>
      <c r="AW497" s="4">
        <f t="shared" si="2134"/>
        <v>0</v>
      </c>
      <c r="AX497" s="4">
        <f t="shared" si="2134"/>
        <v>0</v>
      </c>
      <c r="AY497" s="4">
        <f t="shared" si="2134"/>
        <v>0</v>
      </c>
      <c r="AZ497" s="24"/>
      <c r="BA497" s="4"/>
      <c r="BB497" s="4"/>
      <c r="BC497" s="4"/>
      <c r="BD497" s="4"/>
      <c r="BE497" s="4"/>
      <c r="BF497" s="4"/>
      <c r="BG497" s="4"/>
      <c r="BH497" s="4"/>
      <c r="BI497" s="4"/>
      <c r="BJ497" s="4"/>
      <c r="BK497" s="4"/>
      <c r="BL497" s="4"/>
      <c r="BM497" s="4"/>
      <c r="BN497" s="4"/>
    </row>
    <row r="498" spans="1:66" hidden="1" outlineLevel="1">
      <c r="A498" s="357"/>
      <c r="B498" t="s">
        <v>130</v>
      </c>
      <c r="C498" s="4"/>
      <c r="D498" s="28"/>
      <c r="E498" s="28"/>
      <c r="F498" s="28"/>
      <c r="G498" s="28"/>
      <c r="H498" s="4"/>
      <c r="I498" s="7">
        <v>150</v>
      </c>
      <c r="J498" s="4">
        <f t="shared" ref="J498:R498" si="2135">+SUM(J495:J497)</f>
        <v>150</v>
      </c>
      <c r="K498" s="4">
        <f t="shared" si="2135"/>
        <v>150</v>
      </c>
      <c r="L498" s="4">
        <f t="shared" si="2135"/>
        <v>150</v>
      </c>
      <c r="M498" s="4">
        <f t="shared" si="2135"/>
        <v>150</v>
      </c>
      <c r="N498" s="4">
        <f t="shared" si="2135"/>
        <v>0</v>
      </c>
      <c r="O498" s="4">
        <f t="shared" si="2135"/>
        <v>0</v>
      </c>
      <c r="P498" s="4">
        <f t="shared" si="2135"/>
        <v>0</v>
      </c>
      <c r="Q498" s="4">
        <f t="shared" si="2135"/>
        <v>0</v>
      </c>
      <c r="R498" s="4">
        <f t="shared" si="2135"/>
        <v>0</v>
      </c>
      <c r="S498" s="4">
        <f>+SUM(S495:S497)</f>
        <v>0</v>
      </c>
      <c r="T498" s="4">
        <f>+SUM(T495:T497)</f>
        <v>0</v>
      </c>
      <c r="U498" s="4">
        <f>+SUM(U495:U497)</f>
        <v>0</v>
      </c>
      <c r="V498" s="4">
        <f>+SUM(V495:V497)</f>
        <v>0</v>
      </c>
      <c r="W498" s="4">
        <f>+SUM(W495:W497)</f>
        <v>0</v>
      </c>
      <c r="X498" s="4">
        <f t="shared" ref="X498:AM498" si="2136">+SUM(X495:X497)</f>
        <v>0</v>
      </c>
      <c r="Y498" s="4">
        <f t="shared" si="2136"/>
        <v>0</v>
      </c>
      <c r="Z498" s="4">
        <f t="shared" si="2136"/>
        <v>0</v>
      </c>
      <c r="AA498" s="4">
        <f t="shared" si="2136"/>
        <v>0</v>
      </c>
      <c r="AB498" s="4">
        <f t="shared" si="2136"/>
        <v>0</v>
      </c>
      <c r="AC498" s="4">
        <f t="shared" si="2136"/>
        <v>0</v>
      </c>
      <c r="AD498" s="4">
        <f t="shared" si="2136"/>
        <v>0</v>
      </c>
      <c r="AE498" s="4">
        <f t="shared" si="2136"/>
        <v>0</v>
      </c>
      <c r="AF498" s="4">
        <f t="shared" si="2136"/>
        <v>0</v>
      </c>
      <c r="AG498" s="4">
        <f t="shared" si="2136"/>
        <v>0</v>
      </c>
      <c r="AH498" s="4">
        <f t="shared" si="2136"/>
        <v>0</v>
      </c>
      <c r="AI498" s="4">
        <f t="shared" si="2136"/>
        <v>0</v>
      </c>
      <c r="AJ498" s="4">
        <f t="shared" si="2136"/>
        <v>0</v>
      </c>
      <c r="AK498" s="4">
        <f t="shared" si="2136"/>
        <v>0</v>
      </c>
      <c r="AL498" s="4">
        <f t="shared" si="2136"/>
        <v>0</v>
      </c>
      <c r="AM498" s="4">
        <f t="shared" si="2136"/>
        <v>0</v>
      </c>
      <c r="AN498" s="4">
        <f t="shared" ref="AN498:AY498" si="2137">+SUM(AN495:AN497)</f>
        <v>0</v>
      </c>
      <c r="AO498" s="4">
        <f t="shared" si="2137"/>
        <v>0</v>
      </c>
      <c r="AP498" s="4">
        <f t="shared" si="2137"/>
        <v>0</v>
      </c>
      <c r="AQ498" s="4">
        <f t="shared" si="2137"/>
        <v>0</v>
      </c>
      <c r="AR498" s="4">
        <f t="shared" si="2137"/>
        <v>0</v>
      </c>
      <c r="AS498" s="4">
        <f t="shared" si="2137"/>
        <v>0</v>
      </c>
      <c r="AT498" s="4">
        <f t="shared" si="2137"/>
        <v>0</v>
      </c>
      <c r="AU498" s="4">
        <f t="shared" si="2137"/>
        <v>0</v>
      </c>
      <c r="AV498" s="4">
        <f t="shared" si="2137"/>
        <v>0</v>
      </c>
      <c r="AW498" s="4">
        <f t="shared" si="2137"/>
        <v>0</v>
      </c>
      <c r="AX498" s="4">
        <f t="shared" si="2137"/>
        <v>0</v>
      </c>
      <c r="AY498" s="4">
        <f t="shared" si="2137"/>
        <v>0</v>
      </c>
      <c r="AZ498" s="24"/>
      <c r="BA498" s="4"/>
      <c r="BB498" s="4"/>
      <c r="BC498" s="4"/>
      <c r="BD498" s="4"/>
      <c r="BE498" s="4"/>
      <c r="BF498" s="4"/>
      <c r="BG498" s="4"/>
      <c r="BH498" s="4"/>
      <c r="BI498" s="4"/>
      <c r="BJ498" s="4"/>
      <c r="BK498" s="4"/>
      <c r="BL498" s="4"/>
      <c r="BM498" s="4"/>
      <c r="BN498" s="4"/>
    </row>
    <row r="499" spans="1:66" hidden="1" outlineLevel="1">
      <c r="D499" s="22"/>
      <c r="E499" s="22"/>
      <c r="F499" s="22"/>
      <c r="G499" s="22"/>
      <c r="BA499"/>
    </row>
    <row r="500" spans="1:66" collapsed="1">
      <c r="B500" s="359" t="s">
        <v>492</v>
      </c>
      <c r="C500" s="37">
        <v>44678</v>
      </c>
      <c r="D500" s="34"/>
      <c r="E500" s="34"/>
      <c r="F500" s="34"/>
      <c r="G500" s="34"/>
      <c r="H500" s="33"/>
      <c r="I500" s="34"/>
      <c r="J500" s="33"/>
      <c r="K500" s="33"/>
      <c r="L500" s="33"/>
      <c r="M500" s="33"/>
      <c r="N500" s="33"/>
      <c r="O500" s="33"/>
      <c r="P500" s="33"/>
      <c r="Q500" s="33"/>
      <c r="R500" s="33"/>
      <c r="S500" s="33"/>
      <c r="T500" s="33"/>
      <c r="U500" s="33"/>
      <c r="V500" s="33"/>
      <c r="W500" s="33"/>
      <c r="X500" s="33"/>
      <c r="Y500" s="33"/>
      <c r="Z500" s="33"/>
      <c r="AA500" s="33"/>
      <c r="AB500" s="34"/>
      <c r="AC500" s="33">
        <f t="shared" ref="AC500:AM500" si="2138">+IF($C500&gt;AC$1,AB500+AC505,AB500-AB500)</f>
        <v>0</v>
      </c>
      <c r="AD500" s="33">
        <f t="shared" si="2138"/>
        <v>0</v>
      </c>
      <c r="AE500" s="33">
        <f t="shared" si="2138"/>
        <v>0</v>
      </c>
      <c r="AF500" s="33">
        <f t="shared" si="2138"/>
        <v>0</v>
      </c>
      <c r="AG500" s="33">
        <f t="shared" si="2138"/>
        <v>0</v>
      </c>
      <c r="AH500" s="33">
        <f t="shared" si="2138"/>
        <v>0</v>
      </c>
      <c r="AI500" s="33">
        <f t="shared" si="2138"/>
        <v>0</v>
      </c>
      <c r="AJ500" s="33">
        <f t="shared" si="2138"/>
        <v>0</v>
      </c>
      <c r="AK500" s="33">
        <f t="shared" si="2138"/>
        <v>0</v>
      </c>
      <c r="AL500" s="33">
        <f t="shared" si="2138"/>
        <v>0</v>
      </c>
      <c r="AM500" s="33">
        <f t="shared" si="2138"/>
        <v>0</v>
      </c>
      <c r="AN500" s="33">
        <f t="shared" ref="AN500" si="2139">+IF($C500&gt;AN$1,AM500+AN505,AM500-AM500)</f>
        <v>0</v>
      </c>
      <c r="AO500" s="33">
        <f t="shared" ref="AO500" si="2140">+IF($C500&gt;AO$1,AN500+AO505,AN500-AN500)</f>
        <v>0</v>
      </c>
      <c r="AP500" s="33">
        <f t="shared" ref="AP500" si="2141">+IF($C500&gt;AP$1,AO500+AP505,AO500-AO500)</f>
        <v>0</v>
      </c>
      <c r="AQ500" s="33">
        <f t="shared" ref="AQ500" si="2142">+IF($C500&gt;AQ$1,AP500+AQ505,AP500-AP500)</f>
        <v>0</v>
      </c>
      <c r="AR500" s="33">
        <f t="shared" ref="AR500" si="2143">+IF($C500&gt;AR$1,AQ500+AR505,AQ500-AQ500)</f>
        <v>0</v>
      </c>
      <c r="AS500" s="33">
        <f t="shared" ref="AS500" si="2144">+IF($C500&gt;AS$1,AR500+AS505,AR500-AR500)</f>
        <v>0</v>
      </c>
      <c r="AT500" s="33">
        <f t="shared" ref="AT500" si="2145">+IF($C500&gt;AT$1,AS500+AT505,AS500-AS500)</f>
        <v>0</v>
      </c>
      <c r="AU500" s="33">
        <f t="shared" ref="AU500" si="2146">+IF($C500&gt;AU$1,AT500+AU505,AT500-AT500)</f>
        <v>0</v>
      </c>
      <c r="AV500" s="33">
        <f t="shared" ref="AV500" si="2147">+IF($C500&gt;AV$1,AU500+AV505,AU500-AU500)</f>
        <v>0</v>
      </c>
      <c r="AW500" s="33">
        <f t="shared" ref="AW500" si="2148">+IF($C500&gt;AW$1,AV500+AW505,AV500-AV500)</f>
        <v>0</v>
      </c>
      <c r="AX500" s="33">
        <f t="shared" ref="AX500" si="2149">+IF($C500&gt;AX$1,AW500+AX505,AW500-AW500)</f>
        <v>0</v>
      </c>
      <c r="AY500" s="33">
        <f t="shared" ref="AY500" si="2150">+IF($C500&gt;AY$1,AX500+AY505,AX500-AX500)</f>
        <v>0</v>
      </c>
      <c r="AZ500" s="24"/>
      <c r="BA500" s="33"/>
      <c r="BB500" s="33"/>
      <c r="BC500" s="33"/>
      <c r="BD500" s="33"/>
      <c r="BE500" s="33"/>
      <c r="BF500" s="33"/>
      <c r="BG500" s="33"/>
      <c r="BH500" s="33"/>
      <c r="BI500" s="33"/>
      <c r="BJ500" s="33"/>
      <c r="BK500" s="33"/>
      <c r="BL500" s="33"/>
      <c r="BM500" s="33"/>
      <c r="BN500" s="33"/>
    </row>
    <row r="501" spans="1:66">
      <c r="B501" t="s">
        <v>126</v>
      </c>
      <c r="C501" s="17">
        <v>0.01</v>
      </c>
      <c r="D501" s="24"/>
      <c r="E501" s="24"/>
      <c r="F501" s="24"/>
      <c r="G501" s="24"/>
      <c r="H501" s="4"/>
      <c r="I501" s="4"/>
      <c r="J501" s="4"/>
      <c r="K501" s="4"/>
      <c r="L501" s="4"/>
      <c r="M501" s="4"/>
      <c r="N501" s="4"/>
      <c r="O501" s="4"/>
      <c r="P501" s="4"/>
      <c r="Q501" s="4"/>
      <c r="R501" s="4"/>
      <c r="S501" s="4"/>
      <c r="T501" s="4"/>
      <c r="U501" s="4"/>
      <c r="V501" s="4"/>
      <c r="W501" s="4"/>
      <c r="X501" s="4"/>
      <c r="Y501" s="4"/>
      <c r="Z501" s="4"/>
      <c r="AA501" s="4"/>
      <c r="AB501" s="4"/>
      <c r="AC501" s="4">
        <f t="shared" ref="AC501:AM501" si="2151">AVERAGE(AB500:AC500)*($C501/4)</f>
        <v>0</v>
      </c>
      <c r="AD501" s="4">
        <f t="shared" si="2151"/>
        <v>0</v>
      </c>
      <c r="AE501" s="4">
        <f t="shared" si="2151"/>
        <v>0</v>
      </c>
      <c r="AF501" s="4">
        <f t="shared" si="2151"/>
        <v>0</v>
      </c>
      <c r="AG501" s="4">
        <f t="shared" si="2151"/>
        <v>0</v>
      </c>
      <c r="AH501" s="4">
        <f t="shared" si="2151"/>
        <v>0</v>
      </c>
      <c r="AI501" s="4">
        <f t="shared" si="2151"/>
        <v>0</v>
      </c>
      <c r="AJ501" s="4">
        <f t="shared" si="2151"/>
        <v>0</v>
      </c>
      <c r="AK501" s="4">
        <f t="shared" si="2151"/>
        <v>0</v>
      </c>
      <c r="AL501" s="4">
        <f t="shared" si="2151"/>
        <v>0</v>
      </c>
      <c r="AM501" s="4">
        <f t="shared" si="2151"/>
        <v>0</v>
      </c>
      <c r="AN501" s="4">
        <f t="shared" ref="AN501" si="2152">AVERAGE(AM500:AN500)*($C501/4)</f>
        <v>0</v>
      </c>
      <c r="AO501" s="4">
        <f t="shared" ref="AO501" si="2153">AVERAGE(AN500:AO500)*($C501/4)</f>
        <v>0</v>
      </c>
      <c r="AP501" s="4">
        <f t="shared" ref="AP501" si="2154">AVERAGE(AO500:AP500)*($C501/4)</f>
        <v>0</v>
      </c>
      <c r="AQ501" s="4">
        <f t="shared" ref="AQ501" si="2155">AVERAGE(AP500:AQ500)*($C501/4)</f>
        <v>0</v>
      </c>
      <c r="AR501" s="4">
        <f t="shared" ref="AR501" si="2156">AVERAGE(AQ500:AR500)*($C501/4)</f>
        <v>0</v>
      </c>
      <c r="AS501" s="4">
        <f t="shared" ref="AS501" si="2157">AVERAGE(AR500:AS500)*($C501/4)</f>
        <v>0</v>
      </c>
      <c r="AT501" s="4">
        <f t="shared" ref="AT501" si="2158">AVERAGE(AS500:AT500)*($C501/4)</f>
        <v>0</v>
      </c>
      <c r="AU501" s="4">
        <f t="shared" ref="AU501" si="2159">AVERAGE(AT500:AU500)*($C501/4)</f>
        <v>0</v>
      </c>
      <c r="AV501" s="4">
        <f t="shared" ref="AV501" si="2160">AVERAGE(AU500:AV500)*($C501/4)</f>
        <v>0</v>
      </c>
      <c r="AW501" s="4">
        <f t="shared" ref="AW501" si="2161">AVERAGE(AV500:AW500)*($C501/4)</f>
        <v>0</v>
      </c>
      <c r="AX501" s="4">
        <f t="shared" ref="AX501" si="2162">AVERAGE(AW500:AX500)*($C501/4)</f>
        <v>0</v>
      </c>
      <c r="AY501" s="4">
        <f t="shared" ref="AY501" si="2163">AVERAGE(AX500:AY500)*($C501/4)</f>
        <v>0</v>
      </c>
      <c r="AZ501" s="24"/>
      <c r="BA501" s="4"/>
      <c r="BB501" s="4"/>
      <c r="BC501" s="4"/>
      <c r="BD501" s="4"/>
      <c r="BE501" s="4"/>
      <c r="BF501" s="4"/>
      <c r="BG501" s="4"/>
      <c r="BH501" s="4"/>
      <c r="BI501" s="4"/>
      <c r="BJ501" s="4"/>
      <c r="BK501" s="4"/>
      <c r="BL501" s="4"/>
      <c r="BM501" s="4"/>
      <c r="BN501" s="4"/>
    </row>
    <row r="502" spans="1:66">
      <c r="B502" t="s">
        <v>1</v>
      </c>
      <c r="C502" s="17">
        <v>0.01</v>
      </c>
      <c r="D502" s="24"/>
      <c r="E502" s="24"/>
      <c r="F502" s="24"/>
      <c r="G502" s="24"/>
      <c r="H502" s="4"/>
      <c r="I502" s="4"/>
      <c r="J502" s="4"/>
      <c r="K502" s="4"/>
      <c r="L502" s="4"/>
      <c r="M502" s="4"/>
      <c r="N502" s="4"/>
      <c r="O502" s="4"/>
      <c r="P502" s="4"/>
      <c r="Q502" s="4"/>
      <c r="R502" s="4"/>
      <c r="S502" s="4"/>
      <c r="T502" s="4"/>
      <c r="U502" s="4"/>
      <c r="V502" s="4"/>
      <c r="W502" s="4"/>
      <c r="X502" s="4"/>
      <c r="Y502" s="4"/>
      <c r="Z502" s="4"/>
      <c r="AA502" s="4"/>
      <c r="AB502" s="4"/>
      <c r="AC502" s="4">
        <f t="shared" ref="AC502:AM502" si="2164">AVERAGE(AB500:AC500)*($C502/4)</f>
        <v>0</v>
      </c>
      <c r="AD502" s="4">
        <f t="shared" si="2164"/>
        <v>0</v>
      </c>
      <c r="AE502" s="4">
        <f t="shared" si="2164"/>
        <v>0</v>
      </c>
      <c r="AF502" s="4">
        <f t="shared" si="2164"/>
        <v>0</v>
      </c>
      <c r="AG502" s="4">
        <f t="shared" si="2164"/>
        <v>0</v>
      </c>
      <c r="AH502" s="4">
        <f t="shared" si="2164"/>
        <v>0</v>
      </c>
      <c r="AI502" s="4">
        <f t="shared" si="2164"/>
        <v>0</v>
      </c>
      <c r="AJ502" s="4">
        <f t="shared" si="2164"/>
        <v>0</v>
      </c>
      <c r="AK502" s="4">
        <f t="shared" si="2164"/>
        <v>0</v>
      </c>
      <c r="AL502" s="4">
        <f t="shared" si="2164"/>
        <v>0</v>
      </c>
      <c r="AM502" s="4">
        <f t="shared" si="2164"/>
        <v>0</v>
      </c>
      <c r="AN502" s="4">
        <f t="shared" ref="AN502" si="2165">AVERAGE(AM500:AN500)*($C502/4)</f>
        <v>0</v>
      </c>
      <c r="AO502" s="4">
        <f t="shared" ref="AO502" si="2166">AVERAGE(AN500:AO500)*($C502/4)</f>
        <v>0</v>
      </c>
      <c r="AP502" s="4">
        <f t="shared" ref="AP502" si="2167">AVERAGE(AO500:AP500)*($C502/4)</f>
        <v>0</v>
      </c>
      <c r="AQ502" s="4">
        <f t="shared" ref="AQ502" si="2168">AVERAGE(AP500:AQ500)*($C502/4)</f>
        <v>0</v>
      </c>
      <c r="AR502" s="4">
        <f t="shared" ref="AR502" si="2169">AVERAGE(AQ500:AR500)*($C502/4)</f>
        <v>0</v>
      </c>
      <c r="AS502" s="4">
        <f t="shared" ref="AS502" si="2170">AVERAGE(AR500:AS500)*($C502/4)</f>
        <v>0</v>
      </c>
      <c r="AT502" s="4">
        <f t="shared" ref="AT502" si="2171">AVERAGE(AS500:AT500)*($C502/4)</f>
        <v>0</v>
      </c>
      <c r="AU502" s="4">
        <f t="shared" ref="AU502" si="2172">AVERAGE(AT500:AU500)*($C502/4)</f>
        <v>0</v>
      </c>
      <c r="AV502" s="4">
        <f t="shared" ref="AV502" si="2173">AVERAGE(AU500:AV500)*($C502/4)</f>
        <v>0</v>
      </c>
      <c r="AW502" s="4">
        <f t="shared" ref="AW502" si="2174">AVERAGE(AV500:AW500)*($C502/4)</f>
        <v>0</v>
      </c>
      <c r="AX502" s="4">
        <f t="shared" ref="AX502" si="2175">AVERAGE(AW500:AX500)*($C502/4)</f>
        <v>0</v>
      </c>
      <c r="AY502" s="4">
        <f t="shared" ref="AY502" si="2176">AVERAGE(AX500:AY500)*($C502/4)</f>
        <v>0</v>
      </c>
      <c r="AZ502" s="24"/>
      <c r="BA502" s="4"/>
      <c r="BB502" s="4"/>
      <c r="BC502" s="4"/>
      <c r="BD502" s="4"/>
      <c r="BE502" s="4"/>
      <c r="BF502" s="4"/>
      <c r="BG502" s="4"/>
      <c r="BH502" s="4"/>
      <c r="BI502" s="4"/>
      <c r="BJ502" s="4"/>
      <c r="BK502" s="4"/>
      <c r="BL502" s="4"/>
      <c r="BM502" s="4"/>
      <c r="BN502" s="4"/>
    </row>
    <row r="503" spans="1:66">
      <c r="B503" t="s">
        <v>127</v>
      </c>
      <c r="C503" s="4"/>
      <c r="D503" s="24"/>
      <c r="E503" s="24"/>
      <c r="F503" s="24"/>
      <c r="G503" s="24"/>
      <c r="H503" s="4"/>
      <c r="I503" s="4"/>
      <c r="J503" s="4"/>
      <c r="K503" s="4"/>
      <c r="L503" s="4"/>
      <c r="M503" s="4"/>
      <c r="N503" s="4"/>
      <c r="O503" s="4"/>
      <c r="P503" s="4"/>
      <c r="Q503" s="4"/>
      <c r="R503" s="4"/>
      <c r="S503" s="4"/>
      <c r="T503" s="4"/>
      <c r="U503" s="4"/>
      <c r="V503" s="4"/>
      <c r="W503" s="4"/>
      <c r="X503" s="4"/>
      <c r="Y503" s="4"/>
      <c r="Z503" s="4"/>
      <c r="AA503" s="4"/>
      <c r="AB503" s="4"/>
      <c r="AC503" s="4">
        <f t="shared" ref="AC503:AM503" si="2177">+AB506</f>
        <v>0</v>
      </c>
      <c r="AD503" s="4">
        <f t="shared" si="2177"/>
        <v>0</v>
      </c>
      <c r="AE503" s="4">
        <f t="shared" si="2177"/>
        <v>0</v>
      </c>
      <c r="AF503" s="4">
        <f t="shared" si="2177"/>
        <v>0</v>
      </c>
      <c r="AG503" s="4">
        <f t="shared" si="2177"/>
        <v>0</v>
      </c>
      <c r="AH503" s="4">
        <f t="shared" si="2177"/>
        <v>0</v>
      </c>
      <c r="AI503" s="4">
        <f t="shared" si="2177"/>
        <v>0</v>
      </c>
      <c r="AJ503" s="4">
        <f t="shared" si="2177"/>
        <v>0</v>
      </c>
      <c r="AK503" s="4">
        <f t="shared" si="2177"/>
        <v>0</v>
      </c>
      <c r="AL503" s="4">
        <f t="shared" si="2177"/>
        <v>0</v>
      </c>
      <c r="AM503" s="4">
        <f t="shared" si="2177"/>
        <v>0</v>
      </c>
      <c r="AN503" s="4">
        <f t="shared" ref="AN503" si="2178">+AM506</f>
        <v>0</v>
      </c>
      <c r="AO503" s="4">
        <f t="shared" ref="AO503" si="2179">+AN506</f>
        <v>0</v>
      </c>
      <c r="AP503" s="4">
        <f t="shared" ref="AP503" si="2180">+AO506</f>
        <v>0</v>
      </c>
      <c r="AQ503" s="4">
        <f t="shared" ref="AQ503" si="2181">+AP506</f>
        <v>0</v>
      </c>
      <c r="AR503" s="4">
        <f t="shared" ref="AR503" si="2182">+AQ506</f>
        <v>0</v>
      </c>
      <c r="AS503" s="4">
        <f t="shared" ref="AS503" si="2183">+AR506</f>
        <v>0</v>
      </c>
      <c r="AT503" s="4">
        <f t="shared" ref="AT503" si="2184">+AS506</f>
        <v>0</v>
      </c>
      <c r="AU503" s="4">
        <f t="shared" ref="AU503" si="2185">+AT506</f>
        <v>0</v>
      </c>
      <c r="AV503" s="4">
        <f t="shared" ref="AV503" si="2186">+AU506</f>
        <v>0</v>
      </c>
      <c r="AW503" s="4">
        <f t="shared" ref="AW503" si="2187">+AV506</f>
        <v>0</v>
      </c>
      <c r="AX503" s="4">
        <f t="shared" ref="AX503" si="2188">+AW506</f>
        <v>0</v>
      </c>
      <c r="AY503" s="4">
        <f t="shared" ref="AY503" si="2189">+AX506</f>
        <v>0</v>
      </c>
      <c r="AZ503" s="24"/>
      <c r="BA503" s="4"/>
      <c r="BB503" s="4"/>
      <c r="BC503" s="4"/>
      <c r="BD503" s="4"/>
      <c r="BE503" s="4"/>
      <c r="BF503" s="4"/>
      <c r="BG503" s="4"/>
      <c r="BH503" s="4"/>
      <c r="BI503" s="4"/>
      <c r="BJ503" s="4"/>
      <c r="BK503" s="4"/>
      <c r="BL503" s="4"/>
      <c r="BM503" s="4"/>
      <c r="BN503" s="4"/>
    </row>
    <row r="504" spans="1:66">
      <c r="B504" t="s">
        <v>128</v>
      </c>
      <c r="C504" s="4"/>
      <c r="D504" s="24"/>
      <c r="E504" s="24"/>
      <c r="F504" s="24"/>
      <c r="G504" s="24"/>
      <c r="H504" s="4"/>
      <c r="I504" s="4"/>
      <c r="J504" s="4"/>
      <c r="K504" s="4"/>
      <c r="L504" s="4"/>
      <c r="M504" s="4"/>
      <c r="N504" s="4"/>
      <c r="O504" s="4"/>
      <c r="P504" s="4"/>
      <c r="Q504" s="4"/>
      <c r="R504" s="4"/>
      <c r="S504" s="4"/>
      <c r="T504" s="4"/>
      <c r="U504" s="4"/>
      <c r="V504" s="4"/>
      <c r="W504" s="4"/>
      <c r="X504" s="4"/>
      <c r="Y504" s="4"/>
      <c r="Z504" s="4"/>
      <c r="AA504" s="4"/>
      <c r="AB504" s="4"/>
      <c r="AC504" s="4">
        <f t="shared" ref="AC504:AM504" si="2190">+AC502-AC501</f>
        <v>0</v>
      </c>
      <c r="AD504" s="4">
        <f t="shared" si="2190"/>
        <v>0</v>
      </c>
      <c r="AE504" s="4">
        <f t="shared" si="2190"/>
        <v>0</v>
      </c>
      <c r="AF504" s="4">
        <f t="shared" si="2190"/>
        <v>0</v>
      </c>
      <c r="AG504" s="4">
        <f t="shared" si="2190"/>
        <v>0</v>
      </c>
      <c r="AH504" s="4">
        <f t="shared" si="2190"/>
        <v>0</v>
      </c>
      <c r="AI504" s="4">
        <f t="shared" si="2190"/>
        <v>0</v>
      </c>
      <c r="AJ504" s="4">
        <f t="shared" si="2190"/>
        <v>0</v>
      </c>
      <c r="AK504" s="4">
        <f t="shared" si="2190"/>
        <v>0</v>
      </c>
      <c r="AL504" s="4">
        <f t="shared" si="2190"/>
        <v>0</v>
      </c>
      <c r="AM504" s="4">
        <f t="shared" si="2190"/>
        <v>0</v>
      </c>
      <c r="AN504" s="4">
        <f t="shared" ref="AN504:AY504" si="2191">+AN502-AN501</f>
        <v>0</v>
      </c>
      <c r="AO504" s="4">
        <f t="shared" si="2191"/>
        <v>0</v>
      </c>
      <c r="AP504" s="4">
        <f t="shared" si="2191"/>
        <v>0</v>
      </c>
      <c r="AQ504" s="4">
        <f t="shared" si="2191"/>
        <v>0</v>
      </c>
      <c r="AR504" s="4">
        <f t="shared" si="2191"/>
        <v>0</v>
      </c>
      <c r="AS504" s="4">
        <f t="shared" si="2191"/>
        <v>0</v>
      </c>
      <c r="AT504" s="4">
        <f t="shared" si="2191"/>
        <v>0</v>
      </c>
      <c r="AU504" s="4">
        <f t="shared" si="2191"/>
        <v>0</v>
      </c>
      <c r="AV504" s="4">
        <f t="shared" si="2191"/>
        <v>0</v>
      </c>
      <c r="AW504" s="4">
        <f t="shared" si="2191"/>
        <v>0</v>
      </c>
      <c r="AX504" s="4">
        <f t="shared" si="2191"/>
        <v>0</v>
      </c>
      <c r="AY504" s="4">
        <f t="shared" si="2191"/>
        <v>0</v>
      </c>
      <c r="AZ504" s="24"/>
      <c r="BA504" s="4"/>
      <c r="BB504" s="4"/>
      <c r="BC504" s="4"/>
      <c r="BD504" s="4"/>
      <c r="BE504" s="4"/>
      <c r="BF504" s="4"/>
      <c r="BG504" s="4"/>
      <c r="BH504" s="4"/>
      <c r="BI504" s="4"/>
      <c r="BJ504" s="4"/>
      <c r="BK504" s="4"/>
      <c r="BL504" s="4"/>
      <c r="BM504" s="4"/>
      <c r="BN504" s="4"/>
    </row>
    <row r="505" spans="1:66">
      <c r="B505" t="s">
        <v>129</v>
      </c>
      <c r="C505" s="4"/>
      <c r="D505" s="24"/>
      <c r="E505" s="24"/>
      <c r="F505" s="24"/>
      <c r="G505" s="24"/>
      <c r="H505" s="4"/>
      <c r="I505" s="4"/>
      <c r="J505" s="4"/>
      <c r="K505" s="4"/>
      <c r="L505" s="4"/>
      <c r="M505" s="4"/>
      <c r="N505" s="4"/>
      <c r="O505" s="4"/>
      <c r="P505" s="4"/>
      <c r="Q505" s="4"/>
      <c r="R505" s="4"/>
      <c r="S505" s="4"/>
      <c r="T505" s="4"/>
      <c r="U505" s="4"/>
      <c r="V505" s="4"/>
      <c r="W505" s="4"/>
      <c r="X505" s="4"/>
      <c r="Y505" s="4"/>
      <c r="Z505" s="4"/>
      <c r="AA505" s="4"/>
      <c r="AB505" s="4"/>
      <c r="AC505" s="4">
        <f t="shared" ref="AC505:AM505" si="2192">+IF($C500&lt;AC$1,-(AC503+AC504),0)</f>
        <v>0</v>
      </c>
      <c r="AD505" s="4">
        <f t="shared" si="2192"/>
        <v>0</v>
      </c>
      <c r="AE505" s="4">
        <f t="shared" si="2192"/>
        <v>0</v>
      </c>
      <c r="AF505" s="4">
        <f t="shared" si="2192"/>
        <v>0</v>
      </c>
      <c r="AG505" s="4">
        <f t="shared" si="2192"/>
        <v>0</v>
      </c>
      <c r="AH505" s="4">
        <f t="shared" si="2192"/>
        <v>0</v>
      </c>
      <c r="AI505" s="4">
        <f t="shared" si="2192"/>
        <v>0</v>
      </c>
      <c r="AJ505" s="4">
        <f t="shared" si="2192"/>
        <v>0</v>
      </c>
      <c r="AK505" s="4">
        <f t="shared" si="2192"/>
        <v>0</v>
      </c>
      <c r="AL505" s="4">
        <f t="shared" si="2192"/>
        <v>0</v>
      </c>
      <c r="AM505" s="4">
        <f t="shared" si="2192"/>
        <v>0</v>
      </c>
      <c r="AN505" s="4">
        <f t="shared" ref="AN505:AY505" si="2193">+IF($C500&lt;AN$1,-(AN503+AN504),0)</f>
        <v>0</v>
      </c>
      <c r="AO505" s="4">
        <f t="shared" si="2193"/>
        <v>0</v>
      </c>
      <c r="AP505" s="4">
        <f t="shared" si="2193"/>
        <v>0</v>
      </c>
      <c r="AQ505" s="4">
        <f t="shared" si="2193"/>
        <v>0</v>
      </c>
      <c r="AR505" s="4">
        <f t="shared" si="2193"/>
        <v>0</v>
      </c>
      <c r="AS505" s="4">
        <f t="shared" si="2193"/>
        <v>0</v>
      </c>
      <c r="AT505" s="4">
        <f t="shared" si="2193"/>
        <v>0</v>
      </c>
      <c r="AU505" s="4">
        <f t="shared" si="2193"/>
        <v>0</v>
      </c>
      <c r="AV505" s="4">
        <f t="shared" si="2193"/>
        <v>0</v>
      </c>
      <c r="AW505" s="4">
        <f t="shared" si="2193"/>
        <v>0</v>
      </c>
      <c r="AX505" s="4">
        <f t="shared" si="2193"/>
        <v>0</v>
      </c>
      <c r="AY505" s="4">
        <f t="shared" si="2193"/>
        <v>0</v>
      </c>
      <c r="AZ505" s="24"/>
      <c r="BA505" s="4"/>
      <c r="BB505" s="4"/>
      <c r="BC505" s="4"/>
      <c r="BD505" s="4"/>
      <c r="BE505" s="4"/>
      <c r="BF505" s="4"/>
      <c r="BG505" s="4"/>
      <c r="BH505" s="4"/>
      <c r="BI505" s="4"/>
      <c r="BJ505" s="4"/>
      <c r="BK505" s="4"/>
      <c r="BL505" s="4"/>
      <c r="BM505" s="4"/>
      <c r="BN505" s="4"/>
    </row>
    <row r="506" spans="1:66">
      <c r="B506" t="s">
        <v>130</v>
      </c>
      <c r="C506" s="4"/>
      <c r="D506" s="28"/>
      <c r="E506" s="28"/>
      <c r="F506" s="28"/>
      <c r="G506" s="28"/>
      <c r="H506" s="4"/>
      <c r="I506" s="7"/>
      <c r="J506" s="4"/>
      <c r="K506" s="4"/>
      <c r="L506" s="4"/>
      <c r="M506" s="4"/>
      <c r="N506" s="4"/>
      <c r="O506" s="4"/>
      <c r="P506" s="4"/>
      <c r="Q506" s="4"/>
      <c r="R506" s="4"/>
      <c r="S506" s="4"/>
      <c r="T506" s="4"/>
      <c r="U506" s="4"/>
      <c r="V506" s="4"/>
      <c r="W506" s="4"/>
      <c r="X506" s="4"/>
      <c r="Y506" s="4"/>
      <c r="Z506" s="4"/>
      <c r="AA506" s="4"/>
      <c r="AB506" s="7"/>
      <c r="AC506" s="4">
        <f t="shared" ref="AC506:AM506" si="2194">+SUM(AC503:AC505)</f>
        <v>0</v>
      </c>
      <c r="AD506" s="4">
        <f t="shared" si="2194"/>
        <v>0</v>
      </c>
      <c r="AE506" s="4">
        <f t="shared" si="2194"/>
        <v>0</v>
      </c>
      <c r="AF506" s="4">
        <f t="shared" si="2194"/>
        <v>0</v>
      </c>
      <c r="AG506" s="4">
        <f t="shared" si="2194"/>
        <v>0</v>
      </c>
      <c r="AH506" s="4">
        <f t="shared" si="2194"/>
        <v>0</v>
      </c>
      <c r="AI506" s="4">
        <f t="shared" si="2194"/>
        <v>0</v>
      </c>
      <c r="AJ506" s="4">
        <f t="shared" si="2194"/>
        <v>0</v>
      </c>
      <c r="AK506" s="4">
        <f t="shared" si="2194"/>
        <v>0</v>
      </c>
      <c r="AL506" s="4">
        <f t="shared" si="2194"/>
        <v>0</v>
      </c>
      <c r="AM506" s="4">
        <f t="shared" si="2194"/>
        <v>0</v>
      </c>
      <c r="AN506" s="4">
        <f t="shared" ref="AN506:AY506" si="2195">+SUM(AN503:AN505)</f>
        <v>0</v>
      </c>
      <c r="AO506" s="4">
        <f t="shared" si="2195"/>
        <v>0</v>
      </c>
      <c r="AP506" s="4">
        <f t="shared" si="2195"/>
        <v>0</v>
      </c>
      <c r="AQ506" s="4">
        <f t="shared" si="2195"/>
        <v>0</v>
      </c>
      <c r="AR506" s="4">
        <f t="shared" si="2195"/>
        <v>0</v>
      </c>
      <c r="AS506" s="4">
        <f t="shared" si="2195"/>
        <v>0</v>
      </c>
      <c r="AT506" s="4">
        <f t="shared" si="2195"/>
        <v>0</v>
      </c>
      <c r="AU506" s="4">
        <f t="shared" si="2195"/>
        <v>0</v>
      </c>
      <c r="AV506" s="4">
        <f t="shared" si="2195"/>
        <v>0</v>
      </c>
      <c r="AW506" s="4">
        <f t="shared" si="2195"/>
        <v>0</v>
      </c>
      <c r="AX506" s="4">
        <f t="shared" si="2195"/>
        <v>0</v>
      </c>
      <c r="AY506" s="4">
        <f t="shared" si="2195"/>
        <v>0</v>
      </c>
      <c r="AZ506" s="24"/>
      <c r="BA506" s="4"/>
      <c r="BB506" s="4"/>
      <c r="BC506" s="4"/>
      <c r="BD506" s="4"/>
      <c r="BE506" s="4"/>
      <c r="BF506" s="4"/>
      <c r="BG506" s="4"/>
      <c r="BH506" s="4"/>
      <c r="BI506" s="4"/>
      <c r="BJ506" s="4"/>
      <c r="BK506" s="4"/>
      <c r="BL506" s="4"/>
      <c r="BM506" s="4"/>
      <c r="BN506" s="4"/>
    </row>
    <row r="507" spans="1:66">
      <c r="D507" s="22"/>
      <c r="E507" s="22"/>
      <c r="F507" s="22"/>
      <c r="G507" s="22"/>
      <c r="BA507"/>
    </row>
    <row r="508" spans="1:66">
      <c r="D508" s="22"/>
      <c r="E508" s="22"/>
      <c r="F508" s="22"/>
      <c r="G508" s="22"/>
      <c r="BA508"/>
    </row>
    <row r="509" spans="1:66">
      <c r="D509" s="22"/>
      <c r="E509" s="22"/>
      <c r="F509" s="22"/>
      <c r="G509" s="22"/>
      <c r="BA509"/>
    </row>
    <row r="510" spans="1:66">
      <c r="D510" s="22"/>
      <c r="E510" s="22"/>
      <c r="F510" s="22"/>
      <c r="G510" s="22"/>
      <c r="BA510"/>
    </row>
    <row r="511" spans="1:66">
      <c r="D511" s="22"/>
      <c r="E511" s="22"/>
      <c r="F511" s="22"/>
      <c r="G511" s="22"/>
      <c r="BA511"/>
    </row>
    <row r="512" spans="1:66">
      <c r="D512" s="22"/>
      <c r="E512" s="22"/>
      <c r="F512" s="22"/>
      <c r="G512" s="22"/>
      <c r="BA512"/>
    </row>
    <row r="513" spans="1:69">
      <c r="D513" s="22"/>
      <c r="E513" s="22"/>
      <c r="F513" s="22"/>
      <c r="G513" s="22"/>
      <c r="BA513"/>
    </row>
    <row r="514" spans="1:69">
      <c r="D514" s="22"/>
      <c r="E514" s="22"/>
      <c r="F514" s="22"/>
      <c r="G514" s="22"/>
      <c r="BA514"/>
    </row>
    <row r="515" spans="1:69" hidden="1" outlineLevel="1">
      <c r="A515" s="1" t="s">
        <v>24</v>
      </c>
      <c r="B515" s="2" t="s">
        <v>324</v>
      </c>
      <c r="C515" s="2"/>
      <c r="D515" s="3" t="str">
        <f t="shared" ref="D515:AY515" si="2196">D11</f>
        <v>1Q12</v>
      </c>
      <c r="E515" s="3" t="str">
        <f t="shared" si="2196"/>
        <v>2Q12</v>
      </c>
      <c r="F515" s="3" t="str">
        <f t="shared" si="2196"/>
        <v>3Q12</v>
      </c>
      <c r="G515" s="3" t="str">
        <f t="shared" si="2196"/>
        <v>4Q12</v>
      </c>
      <c r="H515" s="3" t="str">
        <f t="shared" si="2196"/>
        <v>1Q13</v>
      </c>
      <c r="I515" s="3" t="str">
        <f t="shared" si="2196"/>
        <v>2Q13</v>
      </c>
      <c r="J515" s="3" t="str">
        <f t="shared" si="2196"/>
        <v>3Q13</v>
      </c>
      <c r="K515" s="3" t="str">
        <f t="shared" si="2196"/>
        <v>4Q13</v>
      </c>
      <c r="L515" s="3" t="str">
        <f t="shared" si="2196"/>
        <v>1Q14</v>
      </c>
      <c r="M515" s="3" t="str">
        <f t="shared" si="2196"/>
        <v>2Q14</v>
      </c>
      <c r="N515" s="3" t="str">
        <f t="shared" si="2196"/>
        <v>3Q14</v>
      </c>
      <c r="O515" s="3" t="str">
        <f t="shared" si="2196"/>
        <v>4Q14</v>
      </c>
      <c r="P515" s="3" t="str">
        <f t="shared" si="2196"/>
        <v>1Q15</v>
      </c>
      <c r="Q515" s="3" t="str">
        <f t="shared" si="2196"/>
        <v>2Q15</v>
      </c>
      <c r="R515" s="3" t="str">
        <f t="shared" si="2196"/>
        <v>3Q15</v>
      </c>
      <c r="S515" s="3" t="str">
        <f t="shared" si="2196"/>
        <v>4Q15</v>
      </c>
      <c r="T515" s="3" t="str">
        <f t="shared" si="2196"/>
        <v>1Q16</v>
      </c>
      <c r="U515" s="3" t="str">
        <f t="shared" si="2196"/>
        <v>2Q16</v>
      </c>
      <c r="V515" s="3" t="str">
        <f t="shared" si="2196"/>
        <v>3Q16</v>
      </c>
      <c r="W515" s="3" t="str">
        <f t="shared" si="2196"/>
        <v>4Q16</v>
      </c>
      <c r="X515" s="3" t="str">
        <f t="shared" si="2196"/>
        <v>1Q17</v>
      </c>
      <c r="Y515" s="3" t="str">
        <f t="shared" si="2196"/>
        <v>2Q17</v>
      </c>
      <c r="Z515" s="3" t="str">
        <f t="shared" si="2196"/>
        <v>3Q17</v>
      </c>
      <c r="AA515" s="3" t="str">
        <f t="shared" si="2196"/>
        <v>4Q17</v>
      </c>
      <c r="AB515" s="3" t="str">
        <f t="shared" si="2196"/>
        <v>1Q18E</v>
      </c>
      <c r="AC515" s="3" t="str">
        <f t="shared" si="2196"/>
        <v>2Q18E</v>
      </c>
      <c r="AD515" s="3" t="str">
        <f t="shared" si="2196"/>
        <v>3Q18E</v>
      </c>
      <c r="AE515" s="3" t="str">
        <f t="shared" si="2196"/>
        <v>4Q18E</v>
      </c>
      <c r="AF515" s="3" t="str">
        <f t="shared" si="2196"/>
        <v>1Q19E</v>
      </c>
      <c r="AG515" s="3" t="str">
        <f t="shared" si="2196"/>
        <v>2Q19E</v>
      </c>
      <c r="AH515" s="3" t="str">
        <f t="shared" si="2196"/>
        <v>3Q19E</v>
      </c>
      <c r="AI515" s="3" t="str">
        <f t="shared" si="2196"/>
        <v>4Q19E</v>
      </c>
      <c r="AJ515" s="3" t="str">
        <f t="shared" si="2196"/>
        <v>1Q20E</v>
      </c>
      <c r="AK515" s="3" t="str">
        <f t="shared" si="2196"/>
        <v>2Q20E</v>
      </c>
      <c r="AL515" s="3" t="str">
        <f t="shared" si="2196"/>
        <v>3Q20E</v>
      </c>
      <c r="AM515" s="3" t="str">
        <f t="shared" si="2196"/>
        <v>4Q20E</v>
      </c>
      <c r="AN515" s="3" t="str">
        <f t="shared" si="2196"/>
        <v>1Q21E</v>
      </c>
      <c r="AO515" s="3" t="str">
        <f t="shared" si="2196"/>
        <v>2Q21E</v>
      </c>
      <c r="AP515" s="3" t="str">
        <f t="shared" si="2196"/>
        <v>3Q21E</v>
      </c>
      <c r="AQ515" s="3" t="str">
        <f t="shared" si="2196"/>
        <v>4Q21E</v>
      </c>
      <c r="AR515" s="3" t="str">
        <f t="shared" si="2196"/>
        <v>1Q22E</v>
      </c>
      <c r="AS515" s="3" t="str">
        <f t="shared" si="2196"/>
        <v>2Q22E</v>
      </c>
      <c r="AT515" s="3" t="str">
        <f t="shared" si="2196"/>
        <v>3Q22E</v>
      </c>
      <c r="AU515" s="3" t="str">
        <f t="shared" si="2196"/>
        <v>4Q22E</v>
      </c>
      <c r="AV515" s="3" t="str">
        <f t="shared" si="2196"/>
        <v>1Q23E</v>
      </c>
      <c r="AW515" s="3" t="str">
        <f t="shared" si="2196"/>
        <v>2Q23E</v>
      </c>
      <c r="AX515" s="3" t="str">
        <f t="shared" si="2196"/>
        <v>3Q23E</v>
      </c>
      <c r="AY515" s="3" t="str">
        <f t="shared" si="2196"/>
        <v>4Q23E</v>
      </c>
      <c r="AZ515" s="66"/>
      <c r="BA515" s="3" t="str">
        <f t="shared" ref="BA515:BN515" si="2197">BA11</f>
        <v>2010A</v>
      </c>
      <c r="BB515" s="3" t="str">
        <f t="shared" si="2197"/>
        <v>2011A</v>
      </c>
      <c r="BC515" s="3" t="str">
        <f t="shared" si="2197"/>
        <v>2012A</v>
      </c>
      <c r="BD515" s="3" t="str">
        <f t="shared" si="2197"/>
        <v>2013A</v>
      </c>
      <c r="BE515" s="3" t="str">
        <f t="shared" si="2197"/>
        <v>2014A</v>
      </c>
      <c r="BF515" s="3">
        <f t="shared" si="2197"/>
        <v>2015</v>
      </c>
      <c r="BG515" s="3">
        <f t="shared" si="2197"/>
        <v>2016</v>
      </c>
      <c r="BH515" s="3">
        <f t="shared" si="2197"/>
        <v>2017</v>
      </c>
      <c r="BI515" s="3" t="str">
        <f t="shared" si="2197"/>
        <v>2018E</v>
      </c>
      <c r="BJ515" s="3" t="str">
        <f t="shared" si="2197"/>
        <v>2019E</v>
      </c>
      <c r="BK515" s="3" t="str">
        <f t="shared" si="2197"/>
        <v>2020E</v>
      </c>
      <c r="BL515" s="3" t="str">
        <f t="shared" si="2197"/>
        <v>2021E</v>
      </c>
      <c r="BM515" s="3" t="str">
        <f t="shared" si="2197"/>
        <v>2022E</v>
      </c>
      <c r="BN515" s="3" t="str">
        <f t="shared" si="2197"/>
        <v>2023E</v>
      </c>
    </row>
    <row r="516" spans="1:69" hidden="1" outlineLevel="1">
      <c r="B516" s="236" t="s">
        <v>325</v>
      </c>
      <c r="D516" s="22">
        <v>0</v>
      </c>
      <c r="E516" s="22">
        <v>0</v>
      </c>
      <c r="F516" s="22">
        <v>0</v>
      </c>
      <c r="G516" s="22">
        <v>0</v>
      </c>
      <c r="H516" s="22">
        <v>0</v>
      </c>
      <c r="I516" s="22">
        <v>0</v>
      </c>
      <c r="J516" s="22">
        <v>0</v>
      </c>
      <c r="K516" s="22">
        <v>0</v>
      </c>
      <c r="L516" s="22">
        <v>0</v>
      </c>
      <c r="M516" s="22">
        <v>0</v>
      </c>
      <c r="N516" s="22">
        <v>0</v>
      </c>
      <c r="O516" s="22">
        <v>0</v>
      </c>
      <c r="P516" s="22">
        <v>0</v>
      </c>
      <c r="Q516" s="22">
        <v>0</v>
      </c>
      <c r="R516" s="22">
        <v>0</v>
      </c>
      <c r="S516" s="22">
        <v>0</v>
      </c>
      <c r="T516" s="22">
        <v>0</v>
      </c>
      <c r="U516" s="22">
        <v>0</v>
      </c>
      <c r="V516" s="22">
        <v>0</v>
      </c>
      <c r="W516" s="22">
        <v>0</v>
      </c>
      <c r="X516" s="22">
        <v>0</v>
      </c>
      <c r="Y516" s="22">
        <v>0</v>
      </c>
      <c r="Z516" s="22">
        <v>0</v>
      </c>
      <c r="AA516" s="22">
        <v>0</v>
      </c>
      <c r="AB516" s="22">
        <v>0</v>
      </c>
      <c r="AC516" s="22">
        <v>0</v>
      </c>
      <c r="AD516" s="22">
        <v>0</v>
      </c>
      <c r="AE516" s="22">
        <v>0</v>
      </c>
      <c r="AF516" s="22">
        <v>0</v>
      </c>
      <c r="AG516" s="22">
        <v>0</v>
      </c>
      <c r="AH516" s="22">
        <v>0</v>
      </c>
      <c r="AI516" s="22">
        <v>0</v>
      </c>
      <c r="AJ516" s="22">
        <v>0</v>
      </c>
      <c r="AK516" s="22">
        <v>0</v>
      </c>
      <c r="AL516" s="22">
        <v>0</v>
      </c>
      <c r="AM516" s="22">
        <v>0</v>
      </c>
      <c r="AN516" s="22">
        <v>0</v>
      </c>
      <c r="AO516" s="22">
        <v>0</v>
      </c>
      <c r="AP516" s="22">
        <v>0</v>
      </c>
      <c r="AQ516" s="22">
        <v>0</v>
      </c>
      <c r="AR516" s="22">
        <v>0</v>
      </c>
      <c r="AS516" s="22">
        <v>0</v>
      </c>
      <c r="AT516" s="22">
        <v>0</v>
      </c>
      <c r="AU516" s="22">
        <v>0</v>
      </c>
      <c r="AV516" s="22">
        <v>0</v>
      </c>
      <c r="AW516" s="22">
        <v>0</v>
      </c>
      <c r="AX516" s="22">
        <v>0</v>
      </c>
      <c r="AY516" s="22">
        <v>0</v>
      </c>
      <c r="BA516" s="22">
        <v>0</v>
      </c>
      <c r="BB516" s="22">
        <v>0</v>
      </c>
      <c r="BC516" s="22">
        <v>0</v>
      </c>
      <c r="BD516" s="22">
        <v>0</v>
      </c>
      <c r="BE516" s="22">
        <v>0</v>
      </c>
      <c r="BF516" s="22">
        <v>0</v>
      </c>
      <c r="BG516" s="22">
        <v>0</v>
      </c>
      <c r="BH516" s="22">
        <v>0</v>
      </c>
      <c r="BI516" s="22">
        <v>0</v>
      </c>
      <c r="BJ516" s="22">
        <v>0</v>
      </c>
      <c r="BK516" s="22">
        <v>0</v>
      </c>
      <c r="BL516" s="22">
        <v>0</v>
      </c>
      <c r="BM516" s="22">
        <v>0</v>
      </c>
      <c r="BN516" s="22">
        <v>0</v>
      </c>
    </row>
    <row r="517" spans="1:69" hidden="1" outlineLevel="1">
      <c r="B517" s="236" t="s">
        <v>326</v>
      </c>
      <c r="D517" s="22" t="s">
        <v>327</v>
      </c>
      <c r="E517" s="22" t="s">
        <v>327</v>
      </c>
      <c r="F517" s="22" t="s">
        <v>327</v>
      </c>
      <c r="G517" s="22" t="s">
        <v>327</v>
      </c>
      <c r="H517" s="22" t="s">
        <v>327</v>
      </c>
      <c r="I517" s="22" t="s">
        <v>327</v>
      </c>
      <c r="J517" s="22" t="s">
        <v>327</v>
      </c>
      <c r="K517" s="22" t="s">
        <v>327</v>
      </c>
      <c r="L517" s="22" t="s">
        <v>327</v>
      </c>
      <c r="M517" s="22" t="s">
        <v>327</v>
      </c>
      <c r="N517" s="22" t="s">
        <v>327</v>
      </c>
      <c r="O517" s="22" t="s">
        <v>327</v>
      </c>
      <c r="P517" s="22" t="s">
        <v>327</v>
      </c>
      <c r="Q517" s="22" t="s">
        <v>327</v>
      </c>
      <c r="R517" s="22" t="s">
        <v>327</v>
      </c>
      <c r="S517" s="22" t="s">
        <v>327</v>
      </c>
      <c r="T517" s="22" t="s">
        <v>327</v>
      </c>
      <c r="U517" s="22" t="s">
        <v>327</v>
      </c>
      <c r="V517" s="22" t="s">
        <v>327</v>
      </c>
      <c r="W517" s="22" t="s">
        <v>327</v>
      </c>
      <c r="X517" s="22" t="s">
        <v>327</v>
      </c>
      <c r="Y517" s="22" t="s">
        <v>327</v>
      </c>
      <c r="Z517" s="22" t="s">
        <v>327</v>
      </c>
      <c r="AA517" s="22" t="s">
        <v>327</v>
      </c>
      <c r="AB517" s="22" t="s">
        <v>327</v>
      </c>
      <c r="AC517" s="22" t="s">
        <v>327</v>
      </c>
      <c r="AD517" s="22" t="s">
        <v>327</v>
      </c>
      <c r="AE517" s="22" t="s">
        <v>327</v>
      </c>
      <c r="AF517" s="22" t="s">
        <v>327</v>
      </c>
      <c r="AG517" s="22" t="s">
        <v>327</v>
      </c>
      <c r="AH517" s="22" t="s">
        <v>327</v>
      </c>
      <c r="AI517" s="22" t="s">
        <v>327</v>
      </c>
      <c r="AJ517" s="22" t="s">
        <v>327</v>
      </c>
      <c r="AK517" s="22" t="s">
        <v>327</v>
      </c>
      <c r="AL517" s="22" t="s">
        <v>327</v>
      </c>
      <c r="AM517" s="22" t="s">
        <v>327</v>
      </c>
      <c r="AN517" s="22" t="s">
        <v>327</v>
      </c>
      <c r="AO517" s="22" t="s">
        <v>327</v>
      </c>
      <c r="AP517" s="22" t="s">
        <v>327</v>
      </c>
      <c r="AQ517" s="22" t="s">
        <v>327</v>
      </c>
      <c r="AR517" s="22" t="s">
        <v>327</v>
      </c>
      <c r="AS517" s="22" t="s">
        <v>327</v>
      </c>
      <c r="AT517" s="22" t="s">
        <v>327</v>
      </c>
      <c r="AU517" s="22" t="s">
        <v>327</v>
      </c>
      <c r="AV517" s="22" t="s">
        <v>327</v>
      </c>
      <c r="AW517" s="22" t="s">
        <v>327</v>
      </c>
      <c r="AX517" s="22" t="s">
        <v>327</v>
      </c>
      <c r="AY517" s="22" t="s">
        <v>327</v>
      </c>
      <c r="BA517" s="22" t="s">
        <v>327</v>
      </c>
      <c r="BB517" s="22" t="s">
        <v>327</v>
      </c>
      <c r="BC517" s="22" t="s">
        <v>327</v>
      </c>
      <c r="BD517" s="22" t="s">
        <v>327</v>
      </c>
      <c r="BE517" s="22" t="s">
        <v>327</v>
      </c>
      <c r="BF517" s="22" t="s">
        <v>327</v>
      </c>
      <c r="BG517" s="22" t="s">
        <v>327</v>
      </c>
      <c r="BH517" s="22" t="s">
        <v>327</v>
      </c>
      <c r="BI517" s="22" t="s">
        <v>327</v>
      </c>
      <c r="BJ517" s="22" t="s">
        <v>327</v>
      </c>
      <c r="BK517" s="22" t="s">
        <v>327</v>
      </c>
      <c r="BL517" s="22" t="s">
        <v>327</v>
      </c>
      <c r="BM517" s="22" t="s">
        <v>327</v>
      </c>
      <c r="BN517" s="22" t="s">
        <v>327</v>
      </c>
    </row>
    <row r="518" spans="1:69" collapsed="1">
      <c r="D518" s="22"/>
      <c r="E518" s="22"/>
      <c r="F518" s="22"/>
      <c r="G518" s="22"/>
      <c r="BA518"/>
    </row>
    <row r="519" spans="1:69">
      <c r="D519" s="22"/>
      <c r="E519" s="22"/>
      <c r="F519" s="22"/>
      <c r="G519" s="22"/>
      <c r="BA519"/>
    </row>
    <row r="520" spans="1:69">
      <c r="AZ520"/>
      <c r="BA520"/>
      <c r="BO520"/>
      <c r="BQ520"/>
    </row>
    <row r="521" spans="1:69">
      <c r="D521" s="22"/>
      <c r="E521" s="22"/>
      <c r="F521" s="22"/>
      <c r="G521" s="22"/>
      <c r="BA521"/>
    </row>
    <row r="522" spans="1:69">
      <c r="D522" s="22"/>
      <c r="E522" s="22"/>
      <c r="F522" s="22"/>
      <c r="G522" s="22"/>
      <c r="BA522"/>
    </row>
    <row r="523" spans="1:69">
      <c r="D523" s="22"/>
      <c r="E523" s="22"/>
      <c r="F523" s="22"/>
      <c r="G523" s="22"/>
      <c r="BA523"/>
    </row>
    <row r="524" spans="1:69">
      <c r="D524" s="22"/>
      <c r="E524" s="22"/>
      <c r="F524" s="22"/>
      <c r="G524" s="22"/>
      <c r="BA524"/>
    </row>
    <row r="525" spans="1:69">
      <c r="D525" s="22"/>
      <c r="E525" s="22"/>
      <c r="F525" s="22"/>
      <c r="G525" s="22"/>
      <c r="BA525"/>
    </row>
    <row r="526" spans="1:69">
      <c r="D526" s="22"/>
      <c r="E526" s="22"/>
      <c r="F526" s="22"/>
      <c r="G526" s="22"/>
      <c r="BA526"/>
    </row>
    <row r="527" spans="1:69">
      <c r="D527" s="22"/>
      <c r="E527" s="22"/>
      <c r="F527" s="22"/>
      <c r="G527" s="22"/>
      <c r="BA527"/>
    </row>
    <row r="528" spans="1:69">
      <c r="D528" s="22"/>
      <c r="E528" s="22"/>
      <c r="F528" s="22"/>
      <c r="G528" s="22"/>
      <c r="BA528"/>
    </row>
    <row r="529" spans="4:53">
      <c r="D529" s="22"/>
      <c r="E529" s="22"/>
      <c r="F529" s="22"/>
      <c r="G529" s="22"/>
      <c r="BA529"/>
    </row>
    <row r="530" spans="4:53">
      <c r="D530" s="22"/>
      <c r="E530" s="22"/>
      <c r="F530" s="22"/>
      <c r="G530" s="22"/>
      <c r="BA530"/>
    </row>
    <row r="531" spans="4:53">
      <c r="D531" s="22"/>
      <c r="E531" s="22"/>
      <c r="F531" s="22"/>
      <c r="G531" s="22"/>
      <c r="BA531"/>
    </row>
    <row r="532" spans="4:53">
      <c r="D532" s="22"/>
      <c r="E532" s="22"/>
      <c r="F532" s="22"/>
      <c r="G532" s="22"/>
      <c r="BA532"/>
    </row>
    <row r="533" spans="4:53">
      <c r="BA533"/>
    </row>
  </sheetData>
  <phoneticPr fontId="2" type="noConversion"/>
  <conditionalFormatting sqref="AB376:AY376">
    <cfRule type="expression" dxfId="6" priority="7" stopIfTrue="1">
      <formula>AB376&gt;0</formula>
    </cfRule>
  </conditionalFormatting>
  <conditionalFormatting sqref="V376">
    <cfRule type="expression" dxfId="5" priority="6" stopIfTrue="1">
      <formula>V376&gt;0</formula>
    </cfRule>
  </conditionalFormatting>
  <conditionalFormatting sqref="W376">
    <cfRule type="expression" dxfId="4" priority="5" stopIfTrue="1">
      <formula>W376&gt;0</formula>
    </cfRule>
  </conditionalFormatting>
  <conditionalFormatting sqref="X376">
    <cfRule type="expression" dxfId="3" priority="4" stopIfTrue="1">
      <formula>X376&gt;0</formula>
    </cfRule>
  </conditionalFormatting>
  <conditionalFormatting sqref="Y376">
    <cfRule type="expression" dxfId="2" priority="3" stopIfTrue="1">
      <formula>Y376&gt;0</formula>
    </cfRule>
  </conditionalFormatting>
  <conditionalFormatting sqref="Z376">
    <cfRule type="expression" dxfId="1" priority="2" stopIfTrue="1">
      <formula>Z376&gt;0</formula>
    </cfRule>
  </conditionalFormatting>
  <conditionalFormatting sqref="AA376">
    <cfRule type="expression" dxfId="0" priority="1" stopIfTrue="1">
      <formula>AA376&gt;0</formula>
    </cfRule>
  </conditionalFormatting>
  <dataValidations disablePrompts="1" count="1">
    <dataValidation type="list" allowBlank="1" showInputMessage="1" showErrorMessage="1" sqref="C5:G5">
      <formula1>"1,2,3"</formula1>
    </dataValidation>
  </dataValidations>
  <pageMargins left="0" right="0" top="0" bottom="0" header="0" footer="0"/>
  <pageSetup paperSize="5" scale="86" orientation="landscape" r:id="rId1"/>
  <headerFooter alignWithMargins="0"/>
  <rowBreaks count="1" manualBreakCount="1">
    <brk id="458" max="16383" man="1"/>
  </rowBreak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2"/>
  <sheetViews>
    <sheetView workbookViewId="0"/>
  </sheetViews>
  <sheetFormatPr defaultRowHeight="12.75"/>
  <sheetData>
    <row r="1" spans="1:6">
      <c r="A1" t="s">
        <v>332</v>
      </c>
    </row>
    <row r="2" spans="1:6">
      <c r="A2" s="240" t="s">
        <v>331</v>
      </c>
      <c r="B2" s="240" t="s">
        <v>333</v>
      </c>
      <c r="C2" s="240" t="s">
        <v>329</v>
      </c>
      <c r="D2" s="240" t="s">
        <v>318</v>
      </c>
      <c r="E2" s="240" t="s">
        <v>330</v>
      </c>
      <c r="F2" s="240" t="s">
        <v>541</v>
      </c>
    </row>
  </sheetData>
  <phoneticPr fontId="2" type="noConversion"/>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AA57"/>
  <sheetViews>
    <sheetView zoomScale="70" workbookViewId="0">
      <pane xSplit="2" ySplit="2" topLeftCell="F3" activePane="bottomRight" state="frozen"/>
      <selection activeCell="I178" sqref="I178"/>
      <selection pane="topRight" activeCell="I178" sqref="I178"/>
      <selection pane="bottomLeft" activeCell="I178" sqref="I178"/>
      <selection pane="bottomRight" activeCell="T4" sqref="T4"/>
    </sheetView>
  </sheetViews>
  <sheetFormatPr defaultColWidth="10.28515625" defaultRowHeight="12.75"/>
  <cols>
    <col min="1" max="1" width="4" style="1" customWidth="1"/>
    <col min="2" max="2" width="43.42578125" bestFit="1" customWidth="1"/>
  </cols>
  <sheetData>
    <row r="2" spans="1:27">
      <c r="B2" s="2"/>
      <c r="C2" s="2"/>
      <c r="D2" s="3" t="str">
        <f>QTS!D11</f>
        <v>1Q12</v>
      </c>
      <c r="E2" s="3" t="str">
        <f>QTS!E11</f>
        <v>2Q12</v>
      </c>
      <c r="F2" s="3" t="str">
        <f>QTS!F11</f>
        <v>3Q12</v>
      </c>
      <c r="G2" s="3" t="str">
        <f>QTS!G11</f>
        <v>4Q12</v>
      </c>
      <c r="H2" s="3" t="str">
        <f>QTS!H11</f>
        <v>1Q13</v>
      </c>
      <c r="I2" s="3" t="str">
        <f>QTS!I11</f>
        <v>2Q13</v>
      </c>
      <c r="J2" s="3" t="str">
        <f>QTS!J11</f>
        <v>3Q13</v>
      </c>
      <c r="K2" s="3" t="str">
        <f>QTS!K11</f>
        <v>4Q13</v>
      </c>
      <c r="L2" s="3" t="str">
        <f>QTS!L11</f>
        <v>1Q14</v>
      </c>
      <c r="M2" s="3" t="str">
        <f>QTS!M11</f>
        <v>2Q14</v>
      </c>
      <c r="N2" s="3" t="str">
        <f>QTS!N11</f>
        <v>3Q14</v>
      </c>
      <c r="O2" s="3" t="str">
        <f>QTS!O11</f>
        <v>4Q14</v>
      </c>
      <c r="P2" s="3" t="str">
        <f>QTS!P11</f>
        <v>1Q15</v>
      </c>
      <c r="Q2" s="3" t="str">
        <f>QTS!Q11</f>
        <v>2Q15</v>
      </c>
      <c r="R2" s="3" t="str">
        <f>QTS!R11</f>
        <v>3Q15</v>
      </c>
      <c r="S2" s="3" t="str">
        <f>QTS!S11</f>
        <v>4Q15</v>
      </c>
      <c r="T2" s="66"/>
      <c r="U2" s="3" t="str">
        <f>QTS!BA11</f>
        <v>2010A</v>
      </c>
      <c r="V2" s="3" t="str">
        <f>QTS!BB11</f>
        <v>2011A</v>
      </c>
      <c r="W2" s="3" t="str">
        <f>QTS!BC11</f>
        <v>2012A</v>
      </c>
      <c r="X2" s="3" t="str">
        <f>QTS!BD11</f>
        <v>2013A</v>
      </c>
      <c r="Y2" s="3" t="str">
        <f>QTS!BE11</f>
        <v>2014A</v>
      </c>
      <c r="Z2" s="3">
        <f>QTS!BF11</f>
        <v>2015</v>
      </c>
      <c r="AA2" s="3">
        <f>QTS!BG11</f>
        <v>2016</v>
      </c>
    </row>
    <row r="4" spans="1:27">
      <c r="A4" s="1" t="s">
        <v>24</v>
      </c>
      <c r="B4" t="s">
        <v>303</v>
      </c>
      <c r="D4" s="62">
        <f>QTS!D86</f>
        <v>34.643000000000001</v>
      </c>
      <c r="E4" s="62">
        <f>QTS!E86</f>
        <v>36.689000000000007</v>
      </c>
      <c r="F4" s="62">
        <f>QTS!F86</f>
        <v>36.253999999999998</v>
      </c>
      <c r="G4" s="62">
        <f>QTS!G86</f>
        <v>38.172999999999995</v>
      </c>
      <c r="H4" s="62">
        <f>QTS!H86</f>
        <v>41.497999999999998</v>
      </c>
      <c r="I4" s="62">
        <f>QTS!I86</f>
        <v>42.940000000000005</v>
      </c>
      <c r="J4" s="62">
        <f>QTS!J86</f>
        <v>46.02</v>
      </c>
      <c r="K4" s="62">
        <f>QTS!K86</f>
        <v>47.429000000000002</v>
      </c>
      <c r="L4" s="62">
        <f>QTS!L86</f>
        <v>48.943000000000005</v>
      </c>
      <c r="M4" s="62">
        <f>QTS!M86</f>
        <v>51.337999999999994</v>
      </c>
      <c r="N4" s="62">
        <f>QTS!N86</f>
        <v>57.945</v>
      </c>
      <c r="O4" s="62">
        <f>QTS!O86</f>
        <v>59.562999999999995</v>
      </c>
      <c r="P4" s="62">
        <f>QTS!P86</f>
        <v>61.386000000000003</v>
      </c>
      <c r="Q4" s="62">
        <f>QTS!Q86</f>
        <v>68.117000000000004</v>
      </c>
      <c r="R4" s="62">
        <f>QTS!R86</f>
        <v>88.89</v>
      </c>
      <c r="S4" s="62">
        <f>QTS!S86</f>
        <v>92.690000000000012</v>
      </c>
      <c r="U4" s="62">
        <f>QTS!BA82</f>
        <v>92.8</v>
      </c>
      <c r="V4" s="62">
        <f>QTS!BB82</f>
        <v>104.051</v>
      </c>
      <c r="W4" s="62">
        <f>QTS!BC82</f>
        <v>120.758</v>
      </c>
      <c r="X4" s="62">
        <f>QTS!BD82</f>
        <v>145.30599999999998</v>
      </c>
      <c r="Y4" s="62">
        <f>QTS!BE82</f>
        <v>175.649</v>
      </c>
      <c r="Z4" s="62">
        <f>QTS!BF82</f>
        <v>230.51</v>
      </c>
      <c r="AA4" s="62">
        <f>QTS!BG82</f>
        <v>295.72300000000001</v>
      </c>
    </row>
    <row r="5" spans="1:27">
      <c r="B5" s="14" t="s">
        <v>267</v>
      </c>
      <c r="E5" s="8"/>
      <c r="F5" s="8"/>
      <c r="G5" s="8"/>
      <c r="H5" s="8">
        <f>+H4/D4-1</f>
        <v>0.19787547267846306</v>
      </c>
      <c r="I5" s="8">
        <f t="shared" ref="I5:S5" si="0">+I4/E4-1</f>
        <v>0.17037804246504384</v>
      </c>
      <c r="J5" s="8">
        <f t="shared" si="0"/>
        <v>0.26937717217410517</v>
      </c>
      <c r="K5" s="8">
        <f t="shared" si="0"/>
        <v>0.2424750478086608</v>
      </c>
      <c r="L5" s="8">
        <f t="shared" si="0"/>
        <v>0.1794062364451301</v>
      </c>
      <c r="M5" s="8">
        <f t="shared" si="0"/>
        <v>0.19557522123893767</v>
      </c>
      <c r="N5" s="8">
        <f t="shared" si="0"/>
        <v>0.25912646675358531</v>
      </c>
      <c r="O5" s="8">
        <f t="shared" si="0"/>
        <v>0.25583503763520188</v>
      </c>
      <c r="P5" s="8">
        <f t="shared" si="0"/>
        <v>0.25423451770426819</v>
      </c>
      <c r="Q5" s="8">
        <f t="shared" si="0"/>
        <v>0.32683392418871038</v>
      </c>
      <c r="R5" s="8">
        <f t="shared" si="0"/>
        <v>0.53404090085425837</v>
      </c>
      <c r="S5" s="8">
        <f t="shared" si="0"/>
        <v>0.55616741937108638</v>
      </c>
      <c r="U5" s="8"/>
      <c r="V5" s="8">
        <f t="shared" ref="V5:AA5" si="1">+V4/U4-1</f>
        <v>0.12123922413793098</v>
      </c>
      <c r="W5" s="8">
        <f t="shared" si="1"/>
        <v>0.16056549192223035</v>
      </c>
      <c r="X5" s="8">
        <f t="shared" si="1"/>
        <v>0.20328259825435979</v>
      </c>
      <c r="Y5" s="8">
        <f t="shared" si="1"/>
        <v>0.20882138383824489</v>
      </c>
      <c r="Z5" s="8">
        <f t="shared" si="1"/>
        <v>0.31233311889051452</v>
      </c>
      <c r="AA5" s="8">
        <f t="shared" si="1"/>
        <v>0.28290746605353356</v>
      </c>
    </row>
    <row r="6" spans="1:27">
      <c r="B6" s="14" t="s">
        <v>291</v>
      </c>
      <c r="E6" s="8">
        <f>+E4/D4-1</f>
        <v>5.9059550269896066E-2</v>
      </c>
      <c r="F6" s="8">
        <f>+F4/E4-1</f>
        <v>-1.1856414729210618E-2</v>
      </c>
      <c r="G6" s="8">
        <f>+G4/F4-1</f>
        <v>5.2932090252109987E-2</v>
      </c>
      <c r="H6" s="8">
        <f>+H4/G4-1</f>
        <v>8.7103450082519185E-2</v>
      </c>
      <c r="I6" s="8">
        <f t="shared" ref="I6:S6" si="2">+I4/H4-1</f>
        <v>3.4748662586148837E-2</v>
      </c>
      <c r="J6" s="8">
        <f t="shared" si="2"/>
        <v>7.1727992547740982E-2</v>
      </c>
      <c r="K6" s="8">
        <f t="shared" si="2"/>
        <v>3.0617122990004297E-2</v>
      </c>
      <c r="L6" s="8">
        <f t="shared" si="2"/>
        <v>3.1921398300617909E-2</v>
      </c>
      <c r="M6" s="8">
        <f t="shared" si="2"/>
        <v>4.8934474797212912E-2</v>
      </c>
      <c r="N6" s="8">
        <f t="shared" si="2"/>
        <v>0.12869609256301384</v>
      </c>
      <c r="O6" s="8">
        <f t="shared" si="2"/>
        <v>2.792303045991873E-2</v>
      </c>
      <c r="P6" s="8">
        <f t="shared" si="2"/>
        <v>3.0606248845760131E-2</v>
      </c>
      <c r="Q6" s="8">
        <f t="shared" si="2"/>
        <v>0.10965040888802013</v>
      </c>
      <c r="R6" s="8">
        <f t="shared" si="2"/>
        <v>0.30496058252712244</v>
      </c>
      <c r="S6" s="8">
        <f t="shared" si="2"/>
        <v>4.2749465631679806E-2</v>
      </c>
      <c r="U6" s="193"/>
      <c r="V6" s="193"/>
      <c r="W6" s="193"/>
      <c r="X6" s="193"/>
      <c r="Y6" s="193"/>
      <c r="Z6" s="193"/>
      <c r="AA6" s="193"/>
    </row>
    <row r="8" spans="1:27">
      <c r="A8" s="1" t="s">
        <v>24</v>
      </c>
      <c r="B8" t="s">
        <v>209</v>
      </c>
      <c r="D8" s="62">
        <f>QTS!D102</f>
        <v>17.474000000000004</v>
      </c>
      <c r="E8" s="62">
        <f>QTS!E102</f>
        <v>23.486000000000004</v>
      </c>
      <c r="F8" s="62">
        <f>QTS!F102</f>
        <v>21.910999999999998</v>
      </c>
      <c r="G8" s="62">
        <f>QTS!G102</f>
        <v>23.561999999999994</v>
      </c>
      <c r="H8" s="62">
        <f>QTS!H102</f>
        <v>25.976999999999997</v>
      </c>
      <c r="I8" s="62">
        <f>QTS!I102</f>
        <v>26.966000000000005</v>
      </c>
      <c r="J8" s="62">
        <f>QTS!J102</f>
        <v>29.281000000000002</v>
      </c>
      <c r="K8" s="62">
        <f>QTS!K102</f>
        <v>30.421000000000003</v>
      </c>
      <c r="L8" s="62">
        <f>QTS!L102</f>
        <v>31.502000000000006</v>
      </c>
      <c r="M8" s="62">
        <f>QTS!M102</f>
        <v>33.690999999999995</v>
      </c>
      <c r="N8" s="62">
        <f>QTS!N102</f>
        <v>36.199000000000005</v>
      </c>
      <c r="O8" s="62">
        <f>QTS!O102</f>
        <v>39.762999999999998</v>
      </c>
      <c r="P8" s="62">
        <f>QTS!P102</f>
        <v>40.565000000000005</v>
      </c>
      <c r="Q8" s="62">
        <f>QTS!Q102</f>
        <v>44.612000000000009</v>
      </c>
      <c r="R8" s="62">
        <f>QTS!R102</f>
        <v>56.503</v>
      </c>
      <c r="S8" s="62">
        <f>QTS!S102</f>
        <v>59.179000000000002</v>
      </c>
      <c r="U8" s="62">
        <f>QTS!BA102</f>
        <v>57.369</v>
      </c>
      <c r="V8" s="62">
        <f>QTS!BB102</f>
        <v>73.231999999999971</v>
      </c>
      <c r="W8" s="62">
        <f>QTS!BC102</f>
        <v>86.432999999999993</v>
      </c>
      <c r="X8" s="62">
        <f>QTS!BD102</f>
        <v>112.645</v>
      </c>
      <c r="Y8" s="62">
        <f>QTS!BE102</f>
        <v>141.15499999999997</v>
      </c>
      <c r="Z8" s="62">
        <f>QTS!BF102</f>
        <v>200.85899999999995</v>
      </c>
      <c r="AA8" s="62">
        <f>QTS!BG102</f>
        <v>257.03500000000008</v>
      </c>
    </row>
    <row r="9" spans="1:27">
      <c r="B9" s="14" t="s">
        <v>16</v>
      </c>
      <c r="E9" s="8">
        <f>+E8/E4</f>
        <v>0.64013737087410394</v>
      </c>
      <c r="F9" s="8">
        <f t="shared" ref="F9:Z9" si="3">+F8/F4</f>
        <v>0.60437468968941355</v>
      </c>
      <c r="G9" s="8">
        <f t="shared" si="3"/>
        <v>0.61724255363738756</v>
      </c>
      <c r="H9" s="8">
        <f t="shared" si="3"/>
        <v>0.62598197503494135</v>
      </c>
      <c r="I9" s="8">
        <f t="shared" si="3"/>
        <v>0.62799254774103408</v>
      </c>
      <c r="J9" s="8">
        <f t="shared" si="3"/>
        <v>0.63626684050412863</v>
      </c>
      <c r="K9" s="8">
        <f t="shared" si="3"/>
        <v>0.64140083071538512</v>
      </c>
      <c r="L9" s="8">
        <f t="shared" si="3"/>
        <v>0.64364669104877104</v>
      </c>
      <c r="M9" s="8">
        <f t="shared" si="3"/>
        <v>0.65625852195254974</v>
      </c>
      <c r="N9" s="8">
        <f t="shared" si="3"/>
        <v>0.62471308999913722</v>
      </c>
      <c r="O9" s="8">
        <f t="shared" si="3"/>
        <v>0.6675788660745765</v>
      </c>
      <c r="P9" s="8">
        <f t="shared" si="3"/>
        <v>0.66081842765451415</v>
      </c>
      <c r="Q9" s="8">
        <f t="shared" si="3"/>
        <v>0.65493195531218351</v>
      </c>
      <c r="R9" s="8">
        <f t="shared" si="3"/>
        <v>0.63565080436494548</v>
      </c>
      <c r="S9" s="8">
        <f t="shared" si="3"/>
        <v>0.63846153846153841</v>
      </c>
      <c r="U9" s="8">
        <f t="shared" si="3"/>
        <v>0.61820043103448274</v>
      </c>
      <c r="V9" s="8">
        <f t="shared" si="3"/>
        <v>0.70380870919068506</v>
      </c>
      <c r="W9" s="8">
        <f t="shared" si="3"/>
        <v>0.71575382169297264</v>
      </c>
      <c r="X9" s="8">
        <f t="shared" si="3"/>
        <v>0.77522607462871462</v>
      </c>
      <c r="Y9" s="8">
        <f t="shared" si="3"/>
        <v>0.80361971887115768</v>
      </c>
      <c r="Z9" s="8">
        <f t="shared" si="3"/>
        <v>0.87136783653637573</v>
      </c>
      <c r="AA9" s="8">
        <f>+AA8/AA4</f>
        <v>0.86917486972606151</v>
      </c>
    </row>
    <row r="11" spans="1:27">
      <c r="A11" s="1" t="s">
        <v>24</v>
      </c>
      <c r="B11" t="s">
        <v>17</v>
      </c>
      <c r="D11" s="62">
        <f>QTS!D108</f>
        <v>7.682000000000003</v>
      </c>
      <c r="E11" s="62">
        <f>QTS!E108</f>
        <v>14.657000000000004</v>
      </c>
      <c r="F11" s="62">
        <f>QTS!F108</f>
        <v>13.782999999999998</v>
      </c>
      <c r="G11" s="62">
        <f>QTS!G108</f>
        <v>14.121999999999998</v>
      </c>
      <c r="H11" s="62">
        <f>QTS!H108</f>
        <v>15.284999999999995</v>
      </c>
      <c r="I11" s="62">
        <f>QTS!I108</f>
        <v>15.091000000000003</v>
      </c>
      <c r="J11" s="62">
        <f>QTS!J108</f>
        <v>19.184000000000005</v>
      </c>
      <c r="K11" s="62">
        <f>QTS!K108</f>
        <v>20.353999999999999</v>
      </c>
      <c r="L11" s="62">
        <f>QTS!L108</f>
        <v>20.660000000000004</v>
      </c>
      <c r="M11" s="62">
        <f>QTS!M108</f>
        <v>19.972999999999995</v>
      </c>
      <c r="N11" s="62">
        <f>QTS!N108</f>
        <v>24.653000000000002</v>
      </c>
      <c r="O11" s="62">
        <f>QTS!O108</f>
        <v>27.398999999999997</v>
      </c>
      <c r="P11" s="62">
        <f>QTS!P108</f>
        <v>26.622000000000003</v>
      </c>
      <c r="Q11" s="62">
        <f>QTS!Q108</f>
        <v>25.245000000000008</v>
      </c>
      <c r="R11" s="62">
        <f>QTS!R108</f>
        <v>35.581000000000003</v>
      </c>
      <c r="S11" s="62">
        <f>QTS!S108</f>
        <v>33.878</v>
      </c>
      <c r="U11" s="62">
        <f>QTS!BA108</f>
        <v>56.738999999999997</v>
      </c>
      <c r="V11" s="62">
        <f>QTS!BB108</f>
        <v>44.897999999999975</v>
      </c>
      <c r="W11" s="62">
        <f>QTS!BC108</f>
        <v>50.243999999999993</v>
      </c>
      <c r="X11" s="62">
        <f>QTS!BD108</f>
        <v>69.914000000000001</v>
      </c>
      <c r="Y11" s="62">
        <f>QTS!BE108</f>
        <v>92.684999999999974</v>
      </c>
      <c r="Z11" s="62">
        <f>QTS!BF108</f>
        <v>121.32599999999996</v>
      </c>
      <c r="AA11" s="62">
        <f>QTS!BG108</f>
        <v>162.65100000000007</v>
      </c>
    </row>
    <row r="12" spans="1:27">
      <c r="B12" s="14" t="s">
        <v>269</v>
      </c>
      <c r="E12" s="8">
        <f>+E11/E4</f>
        <v>0.39949303605985448</v>
      </c>
      <c r="F12" s="8">
        <f t="shared" ref="F12:Z12" si="4">+F11/F4</f>
        <v>0.38017873889777676</v>
      </c>
      <c r="G12" s="8">
        <f t="shared" si="4"/>
        <v>0.36994734498205539</v>
      </c>
      <c r="H12" s="8">
        <f t="shared" si="4"/>
        <v>0.36833100390380247</v>
      </c>
      <c r="I12" s="8">
        <f t="shared" si="4"/>
        <v>0.35144387517466236</v>
      </c>
      <c r="J12" s="8">
        <f t="shared" si="4"/>
        <v>0.41686223381138643</v>
      </c>
      <c r="K12" s="8">
        <f t="shared" si="4"/>
        <v>0.42914672457778991</v>
      </c>
      <c r="L12" s="8">
        <f t="shared" si="4"/>
        <v>0.42212369491040602</v>
      </c>
      <c r="M12" s="8">
        <f t="shared" si="4"/>
        <v>0.38904904748918923</v>
      </c>
      <c r="N12" s="8">
        <f t="shared" si="4"/>
        <v>0.4254551730088878</v>
      </c>
      <c r="O12" s="8">
        <f t="shared" si="4"/>
        <v>0.46000033577892313</v>
      </c>
      <c r="P12" s="8">
        <f t="shared" si="4"/>
        <v>0.4336819470237514</v>
      </c>
      <c r="Q12" s="8">
        <f t="shared" si="4"/>
        <v>0.37061232878723382</v>
      </c>
      <c r="R12" s="8">
        <f t="shared" si="4"/>
        <v>0.40028124648441898</v>
      </c>
      <c r="S12" s="8">
        <f t="shared" si="4"/>
        <v>0.36549789621318368</v>
      </c>
      <c r="U12" s="8">
        <f t="shared" si="4"/>
        <v>0.61141163793103448</v>
      </c>
      <c r="V12" s="8">
        <f t="shared" si="4"/>
        <v>0.43149993753063376</v>
      </c>
      <c r="W12" s="8">
        <f t="shared" si="4"/>
        <v>0.41607181304758273</v>
      </c>
      <c r="X12" s="8">
        <f t="shared" si="4"/>
        <v>0.48115012456471179</v>
      </c>
      <c r="Y12" s="8">
        <f t="shared" si="4"/>
        <v>0.52767166337411531</v>
      </c>
      <c r="Z12" s="8">
        <f t="shared" si="4"/>
        <v>0.52633725217994864</v>
      </c>
      <c r="AA12" s="8">
        <f>+AA11/AA4</f>
        <v>0.55001132816859044</v>
      </c>
    </row>
    <row r="14" spans="1:27">
      <c r="A14" s="1" t="s">
        <v>24</v>
      </c>
      <c r="B14" t="s">
        <v>19</v>
      </c>
      <c r="D14" s="62">
        <f>QTS!D113</f>
        <v>12.502000000000002</v>
      </c>
      <c r="E14" s="62">
        <f>QTS!E113</f>
        <v>14.751000000000003</v>
      </c>
      <c r="F14" s="62">
        <f>QTS!F113</f>
        <v>13.390999999999996</v>
      </c>
      <c r="G14" s="62">
        <f>QTS!G113</f>
        <v>14.686</v>
      </c>
      <c r="H14" s="62">
        <f>QTS!H113</f>
        <v>16.757999999999996</v>
      </c>
      <c r="I14" s="62">
        <f>QTS!I113</f>
        <v>17.690000000000001</v>
      </c>
      <c r="J14" s="62">
        <f>QTS!J113</f>
        <v>19.694000000000006</v>
      </c>
      <c r="K14" s="62">
        <f>QTS!K113</f>
        <v>21.228000000000002</v>
      </c>
      <c r="L14" s="62">
        <f>QTS!L113</f>
        <v>21.635000000000005</v>
      </c>
      <c r="M14" s="62">
        <f>QTS!M113</f>
        <v>23.282999999999998</v>
      </c>
      <c r="N14" s="62">
        <f>QTS!N113</f>
        <v>26.079000000000004</v>
      </c>
      <c r="O14" s="62">
        <f>QTS!O113</f>
        <v>29.027999999999995</v>
      </c>
      <c r="P14" s="62">
        <f>QTS!P113</f>
        <v>28.034000000000002</v>
      </c>
      <c r="Q14" s="62">
        <f>QTS!Q113</f>
        <v>31.828000000000007</v>
      </c>
      <c r="R14" s="62">
        <f>QTS!R113</f>
        <v>39.131</v>
      </c>
      <c r="S14" s="62">
        <f>QTS!S113</f>
        <v>41.047000000000004</v>
      </c>
      <c r="U14" s="62">
        <f>QTS!BA113</f>
        <v>34.856999999999999</v>
      </c>
      <c r="V14" s="62">
        <f>QTS!BB113</f>
        <v>42.305999999999976</v>
      </c>
      <c r="W14" s="62">
        <f>QTS!BC113</f>
        <v>55.533000000000001</v>
      </c>
      <c r="X14" s="62">
        <f>QTS!BD113</f>
        <v>78.646999999999991</v>
      </c>
      <c r="Y14" s="62">
        <f>QTS!BE113</f>
        <v>100.02499999999998</v>
      </c>
      <c r="Z14" s="62">
        <f>QTS!BF113</f>
        <v>140.03999999999996</v>
      </c>
      <c r="AA14" s="62">
        <f>QTS!BG113</f>
        <v>184.33400000000009</v>
      </c>
    </row>
    <row r="15" spans="1:27">
      <c r="B15" s="14" t="s">
        <v>269</v>
      </c>
      <c r="E15" s="8">
        <f>+E14/E4</f>
        <v>0.40205511188639648</v>
      </c>
      <c r="F15" s="8">
        <f t="shared" ref="F15:Z15" si="5">+F14/F4</f>
        <v>0.36936613890880998</v>
      </c>
      <c r="G15" s="8">
        <f t="shared" si="5"/>
        <v>0.38472218583815793</v>
      </c>
      <c r="H15" s="8">
        <f t="shared" si="5"/>
        <v>0.40382669044291281</v>
      </c>
      <c r="I15" s="8">
        <f t="shared" si="5"/>
        <v>0.41197019096413601</v>
      </c>
      <c r="J15" s="8">
        <f t="shared" si="5"/>
        <v>0.42794437201216873</v>
      </c>
      <c r="K15" s="8">
        <f t="shared" si="5"/>
        <v>0.44757426890720869</v>
      </c>
      <c r="L15" s="8">
        <f t="shared" si="5"/>
        <v>0.44204482765666187</v>
      </c>
      <c r="M15" s="8">
        <f t="shared" si="5"/>
        <v>0.45352370563714989</v>
      </c>
      <c r="N15" s="8">
        <f t="shared" si="5"/>
        <v>0.45006471654154812</v>
      </c>
      <c r="O15" s="8">
        <f t="shared" si="5"/>
        <v>0.48734952907006024</v>
      </c>
      <c r="P15" s="8">
        <f t="shared" si="5"/>
        <v>0.45668393444759392</v>
      </c>
      <c r="Q15" s="8">
        <f t="shared" si="5"/>
        <v>0.46725487029669543</v>
      </c>
      <c r="R15" s="8">
        <f t="shared" si="5"/>
        <v>0.44021824727190911</v>
      </c>
      <c r="S15" s="8">
        <f t="shared" si="5"/>
        <v>0.44284173049951447</v>
      </c>
      <c r="U15" s="8">
        <f t="shared" si="5"/>
        <v>0.37561422413793105</v>
      </c>
      <c r="V15" s="8">
        <f t="shared" si="5"/>
        <v>0.40658907651055709</v>
      </c>
      <c r="W15" s="8">
        <f t="shared" si="5"/>
        <v>0.45987015353020094</v>
      </c>
      <c r="X15" s="8">
        <f t="shared" si="5"/>
        <v>0.54125087745860456</v>
      </c>
      <c r="Y15" s="8">
        <f t="shared" si="5"/>
        <v>0.56945954716508473</v>
      </c>
      <c r="Z15" s="8">
        <f t="shared" si="5"/>
        <v>0.60752245021907925</v>
      </c>
      <c r="AA15" s="8">
        <f>+AA14/AA4</f>
        <v>0.62333332206152403</v>
      </c>
    </row>
    <row r="17" spans="1:27">
      <c r="A17" s="1" t="s">
        <v>24</v>
      </c>
      <c r="B17" t="s">
        <v>36</v>
      </c>
      <c r="D17" s="62">
        <f>QTS!D161</f>
        <v>0.74200000000000621</v>
      </c>
      <c r="E17" s="62">
        <f>QTS!E161</f>
        <v>8.011000000000001</v>
      </c>
      <c r="F17" s="62">
        <f>QTS!F161</f>
        <v>4.9469999999999992</v>
      </c>
      <c r="G17" s="62">
        <f>QTS!G161</f>
        <v>6.5529999999999902</v>
      </c>
      <c r="H17" s="62">
        <f>QTS!H161</f>
        <v>7.4329999999999927</v>
      </c>
      <c r="I17" s="62">
        <f>QTS!I161</f>
        <v>8.8780000000000054</v>
      </c>
      <c r="J17" s="62">
        <f>QTS!J161</f>
        <v>13.440000000000007</v>
      </c>
      <c r="K17" s="62">
        <f>QTS!K161</f>
        <v>16.213000000000001</v>
      </c>
      <c r="L17" s="62">
        <f>QTS!L161</f>
        <v>17.192000000000004</v>
      </c>
      <c r="M17" s="62">
        <f>QTS!M161</f>
        <v>16.123999999999995</v>
      </c>
      <c r="N17" s="62">
        <f>QTS!N161</f>
        <v>17.602</v>
      </c>
      <c r="O17" s="62">
        <f>QTS!O161</f>
        <v>20.04</v>
      </c>
      <c r="P17" s="62">
        <f>QTS!P161</f>
        <v>19.339000000000006</v>
      </c>
      <c r="Q17" s="62">
        <f>QTS!Q161</f>
        <v>21.845000000000006</v>
      </c>
      <c r="R17" s="62">
        <f>QTS!R161</f>
        <v>29.260000000000005</v>
      </c>
      <c r="S17" s="62">
        <f>QTS!S161</f>
        <v>28.073</v>
      </c>
      <c r="U17" s="62">
        <f>QTS!BA161</f>
        <v>31.771000000000001</v>
      </c>
      <c r="V17" s="62">
        <f>QTS!BB161</f>
        <v>23.046999999999972</v>
      </c>
      <c r="W17" s="62">
        <f>QTS!BC161</f>
        <v>20.252999999999986</v>
      </c>
      <c r="X17" s="62">
        <f>QTS!BD161</f>
        <v>45.963999999999999</v>
      </c>
      <c r="Y17" s="62">
        <f>QTS!BE161</f>
        <v>70.957999999999998</v>
      </c>
      <c r="Z17" s="62">
        <f>QTS!BF161</f>
        <v>98.353000000000023</v>
      </c>
      <c r="AA17" s="62">
        <f>QTS!BG161</f>
        <v>133.15899999999999</v>
      </c>
    </row>
    <row r="18" spans="1:27">
      <c r="B18" s="14" t="s">
        <v>267</v>
      </c>
      <c r="E18" s="8"/>
      <c r="F18" s="8"/>
      <c r="G18" s="8"/>
      <c r="H18" s="8">
        <f t="shared" ref="H18:S18" si="6">+H17/D17-1</f>
        <v>9.0175202156333292</v>
      </c>
      <c r="I18" s="8">
        <f t="shared" si="6"/>
        <v>0.10822618899013903</v>
      </c>
      <c r="J18" s="8">
        <f t="shared" si="6"/>
        <v>1.7167980594299594</v>
      </c>
      <c r="K18" s="8">
        <f t="shared" si="6"/>
        <v>1.474133984434614</v>
      </c>
      <c r="L18" s="8">
        <f t="shared" si="6"/>
        <v>1.3129288308892804</v>
      </c>
      <c r="M18" s="8">
        <f t="shared" si="6"/>
        <v>0.81617481414732884</v>
      </c>
      <c r="N18" s="8">
        <f t="shared" si="6"/>
        <v>0.30967261904761845</v>
      </c>
      <c r="O18" s="8">
        <f t="shared" si="6"/>
        <v>0.23604514895454254</v>
      </c>
      <c r="P18" s="8">
        <f t="shared" si="6"/>
        <v>0.12488366682177765</v>
      </c>
      <c r="Q18" s="8">
        <f t="shared" si="6"/>
        <v>0.35481270156288836</v>
      </c>
      <c r="R18" s="8">
        <f t="shared" si="6"/>
        <v>0.66231110101124901</v>
      </c>
      <c r="S18" s="8">
        <f t="shared" si="6"/>
        <v>0.40084830339321376</v>
      </c>
      <c r="U18" s="8"/>
      <c r="V18" s="8">
        <f t="shared" ref="V18:AA18" si="7">+V17/U17-1</f>
        <v>-0.27459003493752254</v>
      </c>
      <c r="W18" s="8">
        <f t="shared" si="7"/>
        <v>-0.12123052891916475</v>
      </c>
      <c r="X18" s="8">
        <f t="shared" si="7"/>
        <v>1.269490939613886</v>
      </c>
      <c r="Y18" s="8">
        <f t="shared" si="7"/>
        <v>0.54377338786876694</v>
      </c>
      <c r="Z18" s="8">
        <f t="shared" si="7"/>
        <v>0.38607345190112485</v>
      </c>
      <c r="AA18" s="8">
        <f t="shared" si="7"/>
        <v>0.35388854432503281</v>
      </c>
    </row>
    <row r="19" spans="1:27">
      <c r="B19" s="14" t="s">
        <v>291</v>
      </c>
      <c r="E19" s="8">
        <f>+E17/D17-1</f>
        <v>9.7964959568732262</v>
      </c>
      <c r="F19" s="8">
        <f t="shared" ref="F19:S19" si="8">+F17/E17-1</f>
        <v>-0.38247409811509192</v>
      </c>
      <c r="G19" s="8">
        <f t="shared" si="8"/>
        <v>0.32464119668485769</v>
      </c>
      <c r="H19" s="8">
        <f t="shared" si="8"/>
        <v>0.13428963833358831</v>
      </c>
      <c r="I19" s="8">
        <f t="shared" si="8"/>
        <v>0.19440333647248953</v>
      </c>
      <c r="J19" s="8">
        <f t="shared" si="8"/>
        <v>0.51385447172786636</v>
      </c>
      <c r="K19" s="8">
        <f t="shared" si="8"/>
        <v>0.20632440476190417</v>
      </c>
      <c r="L19" s="8">
        <f t="shared" si="8"/>
        <v>6.0383642755813316E-2</v>
      </c>
      <c r="M19" s="8">
        <f t="shared" si="8"/>
        <v>-6.2121917170777641E-2</v>
      </c>
      <c r="N19" s="8">
        <f t="shared" si="8"/>
        <v>9.1664599354999154E-2</v>
      </c>
      <c r="O19" s="8">
        <f t="shared" si="8"/>
        <v>0.13850698784229065</v>
      </c>
      <c r="P19" s="8">
        <f t="shared" si="8"/>
        <v>-3.49800399201593E-2</v>
      </c>
      <c r="Q19" s="8">
        <f t="shared" si="8"/>
        <v>0.12958270851646936</v>
      </c>
      <c r="R19" s="8">
        <f t="shared" si="8"/>
        <v>0.33943694209201181</v>
      </c>
      <c r="S19" s="8">
        <f t="shared" si="8"/>
        <v>-4.0567327409432807E-2</v>
      </c>
      <c r="U19" s="193"/>
      <c r="V19" s="193"/>
      <c r="W19" s="193"/>
      <c r="X19" s="193"/>
      <c r="Y19" s="193"/>
      <c r="Z19" s="193"/>
      <c r="AA19" s="193"/>
    </row>
    <row r="21" spans="1:27">
      <c r="A21" s="1" t="s">
        <v>24</v>
      </c>
      <c r="B21" t="s">
        <v>40</v>
      </c>
      <c r="D21" s="62">
        <f>QTS!D169</f>
        <v>5.1600000000000055</v>
      </c>
      <c r="E21" s="62">
        <f>QTS!E169</f>
        <v>8.011000000000001</v>
      </c>
      <c r="F21" s="62">
        <f>QTS!F169</f>
        <v>5.3509999999999991</v>
      </c>
      <c r="G21" s="62">
        <f>QTS!G169</f>
        <v>7.0459999999999905</v>
      </c>
      <c r="H21" s="62">
        <f>QTS!H169</f>
        <v>8.5309999999999935</v>
      </c>
      <c r="I21" s="62">
        <f>QTS!I169</f>
        <v>11.057000000000006</v>
      </c>
      <c r="J21" s="62">
        <f>QTS!J169</f>
        <v>13.440000000000007</v>
      </c>
      <c r="K21" s="62">
        <f>QTS!K169</f>
        <v>16.431999999999999</v>
      </c>
      <c r="L21" s="62">
        <f>QTS!L169</f>
        <v>17.256000000000004</v>
      </c>
      <c r="M21" s="62">
        <f>QTS!M169</f>
        <v>18.368999999999993</v>
      </c>
      <c r="N21" s="62">
        <f>QTS!N169</f>
        <v>18.102999999999998</v>
      </c>
      <c r="O21" s="62">
        <f>QTS!O169</f>
        <v>20.416999999999998</v>
      </c>
      <c r="P21" s="62">
        <f>QTS!P169</f>
        <v>19.444000000000006</v>
      </c>
      <c r="Q21" s="62">
        <f>QTS!Q169</f>
        <v>23.422000000000004</v>
      </c>
      <c r="R21" s="62">
        <f>QTS!R169</f>
        <v>29.536000000000005</v>
      </c>
      <c r="S21" s="62">
        <f>QTS!S169</f>
        <v>31.514000000000003</v>
      </c>
      <c r="U21" s="62">
        <f>QTS!BA169</f>
        <v>2.4560000000000008</v>
      </c>
      <c r="V21" s="62">
        <f>QTS!BB169</f>
        <v>13.899999999999972</v>
      </c>
      <c r="W21" s="62">
        <f>QTS!BC169</f>
        <v>25.567999999999987</v>
      </c>
      <c r="X21" s="62">
        <f>QTS!BD169</f>
        <v>49.46</v>
      </c>
      <c r="Y21" s="62">
        <f>QTS!BE169</f>
        <v>74.144999999999996</v>
      </c>
      <c r="Z21" s="62">
        <f>QTS!BF169</f>
        <v>103.91600000000003</v>
      </c>
      <c r="AA21" s="62">
        <f>QTS!BG169</f>
        <v>140.666</v>
      </c>
    </row>
    <row r="22" spans="1:27">
      <c r="B22" s="14" t="s">
        <v>267</v>
      </c>
      <c r="E22" s="8"/>
      <c r="F22" s="8"/>
      <c r="G22" s="8"/>
      <c r="H22" s="8">
        <f t="shared" ref="H22:S22" si="9">+H21/D21-1</f>
        <v>0.65329457364340793</v>
      </c>
      <c r="I22" s="8">
        <f t="shared" si="9"/>
        <v>0.38022718761702712</v>
      </c>
      <c r="J22" s="8">
        <f t="shared" si="9"/>
        <v>1.511680059801908</v>
      </c>
      <c r="K22" s="8">
        <f t="shared" si="9"/>
        <v>1.3321033210332134</v>
      </c>
      <c r="L22" s="8">
        <f t="shared" si="9"/>
        <v>1.0227405931309361</v>
      </c>
      <c r="M22" s="8">
        <f t="shared" si="9"/>
        <v>0.66130053359862373</v>
      </c>
      <c r="N22" s="8">
        <f t="shared" si="9"/>
        <v>0.34694940476190395</v>
      </c>
      <c r="O22" s="8">
        <f t="shared" si="9"/>
        <v>0.24251460564751692</v>
      </c>
      <c r="P22" s="8">
        <f t="shared" si="9"/>
        <v>0.12679647658785353</v>
      </c>
      <c r="Q22" s="8">
        <f t="shared" si="9"/>
        <v>0.27508302030595089</v>
      </c>
      <c r="R22" s="8">
        <f t="shared" si="9"/>
        <v>0.63155278130696613</v>
      </c>
      <c r="S22" s="8">
        <f t="shared" si="9"/>
        <v>0.54351765685458231</v>
      </c>
      <c r="U22" s="8"/>
      <c r="V22" s="8">
        <f t="shared" ref="V22:AA22" si="10">+V21/U21-1</f>
        <v>4.6596091205211589</v>
      </c>
      <c r="W22" s="8">
        <f t="shared" si="10"/>
        <v>0.83942446043165742</v>
      </c>
      <c r="X22" s="8">
        <f t="shared" si="10"/>
        <v>0.93444931163955047</v>
      </c>
      <c r="Y22" s="8">
        <f t="shared" si="10"/>
        <v>0.49909017387788102</v>
      </c>
      <c r="Z22" s="8">
        <f t="shared" si="10"/>
        <v>0.40152404073100056</v>
      </c>
      <c r="AA22" s="8">
        <f t="shared" si="10"/>
        <v>0.35365102582855346</v>
      </c>
    </row>
    <row r="23" spans="1:27">
      <c r="B23" s="14" t="s">
        <v>291</v>
      </c>
      <c r="E23" s="8">
        <f>+E21/D21-1</f>
        <v>0.55251937984495969</v>
      </c>
      <c r="F23" s="8">
        <f t="shared" ref="F23:S23" si="11">+F21/E21-1</f>
        <v>-0.33204344026962951</v>
      </c>
      <c r="G23" s="8">
        <f t="shared" si="11"/>
        <v>0.31676322182769412</v>
      </c>
      <c r="H23" s="8">
        <f t="shared" si="11"/>
        <v>0.21075787680953795</v>
      </c>
      <c r="I23" s="8">
        <f t="shared" si="11"/>
        <v>0.29609658891103208</v>
      </c>
      <c r="J23" s="8">
        <f t="shared" si="11"/>
        <v>0.21551958035633523</v>
      </c>
      <c r="K23" s="8">
        <f t="shared" si="11"/>
        <v>0.22261904761904683</v>
      </c>
      <c r="L23" s="8">
        <f t="shared" si="11"/>
        <v>5.0146056475170786E-2</v>
      </c>
      <c r="M23" s="8">
        <f t="shared" si="11"/>
        <v>6.4499304589707318E-2</v>
      </c>
      <c r="N23" s="8">
        <f t="shared" si="11"/>
        <v>-1.4480918939517418E-2</v>
      </c>
      <c r="O23" s="8">
        <f t="shared" si="11"/>
        <v>0.12782411754957734</v>
      </c>
      <c r="P23" s="8">
        <f t="shared" si="11"/>
        <v>-4.7656364794043782E-2</v>
      </c>
      <c r="Q23" s="8">
        <f t="shared" si="11"/>
        <v>0.20458753342933544</v>
      </c>
      <c r="R23" s="8">
        <f t="shared" si="11"/>
        <v>0.26103663222611218</v>
      </c>
      <c r="S23" s="8">
        <f t="shared" si="11"/>
        <v>6.6969122426868921E-2</v>
      </c>
      <c r="U23" s="193"/>
      <c r="V23" s="193"/>
      <c r="W23" s="193"/>
      <c r="X23" s="193"/>
      <c r="Y23" s="193"/>
      <c r="Z23" s="193"/>
      <c r="AA23" s="193"/>
    </row>
    <row r="24" spans="1:27">
      <c r="B24" s="14" t="s">
        <v>304</v>
      </c>
      <c r="K24" s="83">
        <f>QTS!K170</f>
        <v>0.44659194386943701</v>
      </c>
      <c r="L24" s="83">
        <f>QTS!L170</f>
        <v>0.46767188296798412</v>
      </c>
      <c r="M24" s="83">
        <f>QTS!M170</f>
        <v>0.49409516069981751</v>
      </c>
      <c r="N24" s="83">
        <f>QTS!N170</f>
        <v>0.48576836611891888</v>
      </c>
      <c r="O24" s="83">
        <f>QTS!O170</f>
        <v>0.54981957235956258</v>
      </c>
      <c r="P24" s="83">
        <f>QTS!P170</f>
        <v>0.4678436866967961</v>
      </c>
      <c r="Q24" s="83">
        <f>QTS!Q170</f>
        <v>0.52036296105231428</v>
      </c>
      <c r="R24" s="83">
        <f>QTS!R170</f>
        <v>0.60607283088727404</v>
      </c>
      <c r="S24" s="83">
        <f>QTS!S170</f>
        <v>0.64538555878851345</v>
      </c>
      <c r="U24" s="209"/>
      <c r="V24" s="209"/>
      <c r="W24" s="209"/>
      <c r="X24" s="83">
        <f>QTS!BD170</f>
        <v>1.3442330540276508</v>
      </c>
      <c r="Y24" s="83">
        <f>QTS!BE170</f>
        <v>1.997354982146283</v>
      </c>
      <c r="Z24" s="83">
        <f>QTS!BF170</f>
        <v>2.2396650374248979</v>
      </c>
      <c r="AA24" s="83">
        <f>QTS!BG170</f>
        <v>2.6099802852503151</v>
      </c>
    </row>
    <row r="26" spans="1:27">
      <c r="A26" s="1" t="s">
        <v>24</v>
      </c>
      <c r="B26" t="s">
        <v>49</v>
      </c>
      <c r="D26" s="62"/>
      <c r="E26" s="62"/>
      <c r="F26" s="62">
        <f>QTS!F181</f>
        <v>5.4869999999999992</v>
      </c>
      <c r="G26" s="62"/>
      <c r="H26" s="62">
        <f>QTS!H181</f>
        <v>8.3599999999999941</v>
      </c>
      <c r="I26" s="62">
        <f>QTS!I181</f>
        <v>9.773000000000005</v>
      </c>
      <c r="J26" s="62">
        <f>QTS!J181</f>
        <v>12.932000000000006</v>
      </c>
      <c r="K26" s="62">
        <f>QTS!K181</f>
        <v>16.291999999999998</v>
      </c>
      <c r="L26" s="62">
        <f>QTS!L181</f>
        <v>17.732000000000003</v>
      </c>
      <c r="M26" s="62">
        <f>QTS!M181</f>
        <v>18.713999999999992</v>
      </c>
      <c r="N26" s="62">
        <f>QTS!N181</f>
        <v>12.879999999999999</v>
      </c>
      <c r="O26" s="62">
        <f>QTS!O181</f>
        <v>19.702999999999999</v>
      </c>
      <c r="P26" s="62">
        <f>QTS!P181</f>
        <v>20.075000000000006</v>
      </c>
      <c r="Q26" s="62">
        <f>QTS!Q181</f>
        <v>22.238000000000003</v>
      </c>
      <c r="R26" s="62">
        <f>QTS!R181</f>
        <v>29.670000000000005</v>
      </c>
      <c r="S26" s="62">
        <f>QTS!S181</f>
        <v>27.843000000000004</v>
      </c>
      <c r="U26" s="62">
        <f>QTS!BA181</f>
        <v>0</v>
      </c>
      <c r="V26" s="62">
        <f>QTS!BB181</f>
        <v>13.979999999999972</v>
      </c>
      <c r="W26" s="62">
        <f>QTS!BC181</f>
        <v>25.186999999999987</v>
      </c>
      <c r="X26" s="62">
        <f>QTS!BD181</f>
        <v>47.356999999999999</v>
      </c>
      <c r="Y26" s="62">
        <f>QTS!BE181</f>
        <v>69.028999999999996</v>
      </c>
      <c r="Z26" s="62">
        <f>QTS!BF181</f>
        <v>99.826000000000022</v>
      </c>
      <c r="AA26" s="62">
        <f>QTS!BG181</f>
        <v>134.11900000000003</v>
      </c>
    </row>
    <row r="27" spans="1:27">
      <c r="B27" s="14" t="s">
        <v>267</v>
      </c>
      <c r="E27" s="8"/>
      <c r="F27" s="8"/>
      <c r="G27" s="8"/>
      <c r="H27" s="8"/>
      <c r="I27" s="8"/>
      <c r="J27" s="8">
        <f>+J26/F26-1</f>
        <v>1.3568434481501743</v>
      </c>
      <c r="K27" s="8"/>
      <c r="L27" s="8">
        <f t="shared" ref="L27:S27" si="12">+L26/H26-1</f>
        <v>1.1210526315789493</v>
      </c>
      <c r="M27" s="8">
        <f t="shared" si="12"/>
        <v>0.91486749206998685</v>
      </c>
      <c r="N27" s="8">
        <f t="shared" si="12"/>
        <v>-4.0210330961959473E-3</v>
      </c>
      <c r="O27" s="8">
        <f t="shared" si="12"/>
        <v>0.20936656027498168</v>
      </c>
      <c r="P27" s="8">
        <f t="shared" si="12"/>
        <v>0.13213399503722112</v>
      </c>
      <c r="Q27" s="8">
        <f t="shared" si="12"/>
        <v>0.18830821844608381</v>
      </c>
      <c r="R27" s="8">
        <f t="shared" si="12"/>
        <v>1.3035714285714293</v>
      </c>
      <c r="S27" s="8">
        <f t="shared" si="12"/>
        <v>0.41313505557529329</v>
      </c>
      <c r="U27" s="8"/>
      <c r="V27" s="8"/>
      <c r="W27" s="8">
        <f>+W26/V26-1</f>
        <v>0.80164520743920153</v>
      </c>
      <c r="X27" s="8">
        <f>+X26/W26-1</f>
        <v>0.88021598443641658</v>
      </c>
      <c r="Y27" s="8">
        <f>+Y26/X26-1</f>
        <v>0.45763033975969747</v>
      </c>
      <c r="Z27" s="8">
        <f>+Z26/Y26-1</f>
        <v>0.44614582277014048</v>
      </c>
      <c r="AA27" s="8">
        <f>+AA26/Z26-1</f>
        <v>0.34352773826458027</v>
      </c>
    </row>
    <row r="28" spans="1:27">
      <c r="B28" s="14" t="s">
        <v>291</v>
      </c>
      <c r="E28" s="8"/>
      <c r="F28" s="8"/>
      <c r="G28" s="8"/>
      <c r="H28" s="8"/>
      <c r="I28" s="8">
        <f t="shared" ref="I28:S28" si="13">+I26/H26-1</f>
        <v>0.16901913875598229</v>
      </c>
      <c r="J28" s="8">
        <f t="shared" si="13"/>
        <v>0.32323749104676147</v>
      </c>
      <c r="K28" s="8">
        <f t="shared" si="13"/>
        <v>0.25982060006186125</v>
      </c>
      <c r="L28" s="8">
        <f t="shared" si="13"/>
        <v>8.8386938374662716E-2</v>
      </c>
      <c r="M28" s="8">
        <f t="shared" si="13"/>
        <v>5.5380103767199929E-2</v>
      </c>
      <c r="N28" s="8">
        <f t="shared" si="13"/>
        <v>-0.31174521748423611</v>
      </c>
      <c r="O28" s="8">
        <f t="shared" si="13"/>
        <v>0.52973602484472049</v>
      </c>
      <c r="P28" s="8">
        <f t="shared" si="13"/>
        <v>1.8880373547175866E-2</v>
      </c>
      <c r="Q28" s="8">
        <f t="shared" si="13"/>
        <v>0.10774595267745934</v>
      </c>
      <c r="R28" s="8">
        <f t="shared" si="13"/>
        <v>0.33420271607158925</v>
      </c>
      <c r="S28" s="8">
        <f t="shared" si="13"/>
        <v>-6.1577350859454039E-2</v>
      </c>
      <c r="U28" s="193"/>
      <c r="V28" s="193"/>
      <c r="W28" s="193"/>
      <c r="X28" s="193"/>
      <c r="Y28" s="193"/>
      <c r="Z28" s="193"/>
      <c r="AA28" s="193"/>
    </row>
    <row r="29" spans="1:27">
      <c r="B29" s="14" t="s">
        <v>304</v>
      </c>
      <c r="K29" s="83">
        <f>QTS!K182</f>
        <v>0.44278699790170811</v>
      </c>
      <c r="L29" s="83">
        <f>QTS!L182</f>
        <v>0.48057242865022565</v>
      </c>
      <c r="M29" s="83">
        <f>QTS!M182</f>
        <v>0.50337507960892725</v>
      </c>
      <c r="N29" s="83">
        <f>QTS!N182</f>
        <v>0.34561655833904192</v>
      </c>
      <c r="O29" s="83">
        <f>QTS!O182</f>
        <v>0.53059191037862874</v>
      </c>
      <c r="P29" s="83">
        <f>QTS!P182</f>
        <v>0.48302622970778553</v>
      </c>
      <c r="Q29" s="83">
        <f>QTS!Q182</f>
        <v>0.49405821568958092</v>
      </c>
      <c r="R29" s="83">
        <f>QTS!R182</f>
        <v>0.60882248416933304</v>
      </c>
      <c r="S29" s="83">
        <f>QTS!S182</f>
        <v>0.5702059438138154</v>
      </c>
      <c r="U29" s="209"/>
      <c r="V29" s="209"/>
      <c r="W29" s="209"/>
      <c r="X29" s="83">
        <f>QTS!BD182</f>
        <v>1.287077329955266</v>
      </c>
      <c r="Y29" s="83">
        <f>QTS!BE182</f>
        <v>1.8601559769768237</v>
      </c>
      <c r="Z29" s="83">
        <f>QTS!BF182</f>
        <v>2.1561128733805148</v>
      </c>
      <c r="AA29" s="83">
        <f>QTS!BG182</f>
        <v>2.4852008810627124</v>
      </c>
    </row>
    <row r="31" spans="1:27">
      <c r="A31" s="1" t="s">
        <v>24</v>
      </c>
      <c r="B31" t="s">
        <v>121</v>
      </c>
      <c r="D31" s="62"/>
      <c r="E31" s="62"/>
      <c r="F31" s="62"/>
      <c r="G31" s="62"/>
      <c r="H31" s="62">
        <f>QTS!H321</f>
        <v>41.503999999999998</v>
      </c>
      <c r="I31" s="62">
        <f>QTS!I321</f>
        <v>45.022000000000006</v>
      </c>
      <c r="J31" s="62">
        <f>QTS!J321</f>
        <v>37.572000000000003</v>
      </c>
      <c r="K31" s="62">
        <f>QTS!K321</f>
        <v>44.739999999999981</v>
      </c>
      <c r="L31" s="62">
        <f>QTS!L321</f>
        <v>59.164999999999999</v>
      </c>
      <c r="M31" s="62">
        <f>QTS!M321</f>
        <v>128.292</v>
      </c>
      <c r="N31" s="62">
        <f>QTS!N321</f>
        <v>59.615000000000016</v>
      </c>
      <c r="O31" s="62">
        <f>QTS!O321</f>
        <v>45.136999999999993</v>
      </c>
      <c r="P31" s="62">
        <f>QTS!P321</f>
        <v>73.399000000000001</v>
      </c>
      <c r="Q31" s="292">
        <f>QTS!Q321-QTS!Q317</f>
        <v>59.615999999999985</v>
      </c>
      <c r="R31" s="62">
        <f>QTS!R321</f>
        <v>82.006</v>
      </c>
      <c r="S31" s="62">
        <f>QTS!S321</f>
        <v>71.72199999999998</v>
      </c>
      <c r="U31" s="210"/>
      <c r="V31" s="210"/>
      <c r="W31" s="210"/>
      <c r="X31" s="62">
        <f>QTS!BD321</f>
        <v>168.83799999999999</v>
      </c>
      <c r="Y31" s="62">
        <f>QTS!BE321</f>
        <v>292.209</v>
      </c>
      <c r="Z31" s="62">
        <f>QTS!BF321</f>
        <v>612.74299999999994</v>
      </c>
      <c r="AA31" s="62">
        <f>QTS!BG321</f>
        <v>452.97199999999998</v>
      </c>
    </row>
    <row r="32" spans="1:27">
      <c r="B32" s="14" t="s">
        <v>16</v>
      </c>
      <c r="H32" s="8">
        <f t="shared" ref="H32:S32" si="14">+H31/H4</f>
        <v>1.0001445852812183</v>
      </c>
      <c r="I32" s="8">
        <f t="shared" si="14"/>
        <v>1.0484862598975315</v>
      </c>
      <c r="J32" s="8">
        <f t="shared" si="14"/>
        <v>0.81642764015645375</v>
      </c>
      <c r="K32" s="8">
        <f t="shared" si="14"/>
        <v>0.94330472917413355</v>
      </c>
      <c r="L32" s="8">
        <f t="shared" si="14"/>
        <v>1.2088551989048484</v>
      </c>
      <c r="M32" s="8">
        <f t="shared" si="14"/>
        <v>2.4989676263196854</v>
      </c>
      <c r="N32" s="8">
        <f t="shared" si="14"/>
        <v>1.0288204331693851</v>
      </c>
      <c r="O32" s="8">
        <f t="shared" si="14"/>
        <v>0.75780266272686059</v>
      </c>
      <c r="P32" s="8">
        <f t="shared" si="14"/>
        <v>1.1956960870556803</v>
      </c>
      <c r="Q32" s="8">
        <f t="shared" si="14"/>
        <v>0.87520002348899661</v>
      </c>
      <c r="R32" s="8">
        <f t="shared" si="14"/>
        <v>0.92255596805039941</v>
      </c>
      <c r="S32" s="8">
        <f t="shared" si="14"/>
        <v>0.77378357967418243</v>
      </c>
      <c r="U32" s="193"/>
      <c r="V32" s="193"/>
      <c r="W32" s="193"/>
      <c r="X32" s="8">
        <f>+X31/X4</f>
        <v>1.1619478892819293</v>
      </c>
      <c r="Y32" s="8">
        <f>+Y31/Y4</f>
        <v>1.6635961491383384</v>
      </c>
      <c r="Z32" s="8">
        <f>+Z31/Z4</f>
        <v>2.6582057177562795</v>
      </c>
      <c r="AA32" s="8">
        <f>+AA31/AA4</f>
        <v>1.5317442336240332</v>
      </c>
    </row>
    <row r="34" spans="1:27">
      <c r="A34" s="1" t="s">
        <v>24</v>
      </c>
      <c r="B34" t="s">
        <v>163</v>
      </c>
      <c r="D34" s="62"/>
      <c r="E34" s="62"/>
      <c r="F34" s="62"/>
      <c r="G34" s="62"/>
      <c r="H34" s="62"/>
      <c r="I34" s="62"/>
      <c r="J34" s="62"/>
      <c r="K34" s="62">
        <f>QTS!K185</f>
        <v>8.8306115999999992</v>
      </c>
      <c r="L34" s="62">
        <f>QTS!L185</f>
        <v>10.700322560000002</v>
      </c>
      <c r="M34" s="62">
        <f>QTS!M185</f>
        <v>10.78134421</v>
      </c>
      <c r="N34" s="62">
        <f>QTS!N185</f>
        <v>10.807352569999999</v>
      </c>
      <c r="O34" s="62">
        <f>QTS!O185</f>
        <v>10.76886</v>
      </c>
      <c r="P34" s="62">
        <f>QTS!P185</f>
        <v>13.2994848</v>
      </c>
      <c r="Q34" s="62">
        <f>QTS!Q185</f>
        <v>14.403484800000001</v>
      </c>
      <c r="R34" s="62">
        <f>QTS!R185</f>
        <v>15.594693440000002</v>
      </c>
      <c r="S34" s="62">
        <f>QTS!S185</f>
        <v>17.57870136</v>
      </c>
      <c r="U34" s="210"/>
      <c r="V34" s="210"/>
      <c r="W34" s="210"/>
      <c r="X34" s="62">
        <f>QTS!BD185</f>
        <v>8.8306115999999992</v>
      </c>
      <c r="Y34" s="62">
        <f>QTS!BE185</f>
        <v>43.05787934</v>
      </c>
      <c r="Z34" s="62">
        <f>QTS!BF185</f>
        <v>60.8763644</v>
      </c>
      <c r="AA34" s="62">
        <f>QTS!BG185</f>
        <v>79.358081459999994</v>
      </c>
    </row>
    <row r="35" spans="1:27">
      <c r="B35" s="14" t="s">
        <v>304</v>
      </c>
      <c r="K35" s="83">
        <f>QTS!K187</f>
        <v>0.24</v>
      </c>
      <c r="L35" s="83">
        <f>QTS!L187</f>
        <v>0.28999999999999998</v>
      </c>
      <c r="M35" s="83">
        <f>QTS!M187</f>
        <v>0.28999999999999998</v>
      </c>
      <c r="N35" s="83">
        <f>QTS!N187</f>
        <v>0.28999999999999998</v>
      </c>
      <c r="O35" s="83">
        <f>QTS!O187</f>
        <v>0.28999999999999998</v>
      </c>
      <c r="P35" s="83">
        <f>QTS!P187</f>
        <v>0.32</v>
      </c>
      <c r="Q35" s="83">
        <f>QTS!Q187</f>
        <v>0.32</v>
      </c>
      <c r="R35" s="83">
        <f>QTS!R187</f>
        <v>0.32</v>
      </c>
      <c r="S35" s="83">
        <f>QTS!S187</f>
        <v>0.36</v>
      </c>
      <c r="U35" s="209"/>
      <c r="V35" s="209"/>
      <c r="W35" s="209"/>
      <c r="X35" s="83">
        <f>QTS!BD187</f>
        <v>0.23999999999999996</v>
      </c>
      <c r="Y35" s="83">
        <f>QTS!BE187</f>
        <v>1.1595271002315937</v>
      </c>
      <c r="Z35" s="83">
        <f>QTS!BF187</f>
        <v>1.246707065282324</v>
      </c>
      <c r="AA35" s="83">
        <f>QTS!BG187</f>
        <v>1.4280214867005985</v>
      </c>
    </row>
    <row r="36" spans="1:27">
      <c r="B36" s="14" t="s">
        <v>307</v>
      </c>
      <c r="K36" s="8">
        <f>+K34/K26</f>
        <v>0.54202133562484656</v>
      </c>
      <c r="L36" s="8">
        <f t="shared" ref="L36:S36" si="15">+L34/L26</f>
        <v>0.60344702007669748</v>
      </c>
      <c r="M36" s="8">
        <f t="shared" si="15"/>
        <v>0.57611115795661028</v>
      </c>
      <c r="N36" s="8">
        <f t="shared" si="15"/>
        <v>0.83908016847826083</v>
      </c>
      <c r="O36" s="8">
        <f t="shared" si="15"/>
        <v>0.54655940719687357</v>
      </c>
      <c r="P36" s="8">
        <f t="shared" si="15"/>
        <v>0.6624899028642588</v>
      </c>
      <c r="Q36" s="8">
        <f t="shared" si="15"/>
        <v>0.64769695116467307</v>
      </c>
      <c r="R36" s="8">
        <f t="shared" si="15"/>
        <v>0.52560476710481963</v>
      </c>
      <c r="S36" s="8">
        <f t="shared" si="15"/>
        <v>0.63135083719426777</v>
      </c>
      <c r="U36" s="193"/>
      <c r="V36" s="193"/>
      <c r="W36" s="193"/>
      <c r="X36" s="8">
        <f>+X34/X26</f>
        <v>0.18646898241020335</v>
      </c>
      <c r="Y36" s="8">
        <f>+Y34/Y26</f>
        <v>0.62376507467875819</v>
      </c>
      <c r="Z36" s="8">
        <f>+Z34/Z26</f>
        <v>0.60982473904593981</v>
      </c>
      <c r="AA36" s="8">
        <f>+AA34/AA26</f>
        <v>0.59169902444843736</v>
      </c>
    </row>
    <row r="38" spans="1:27">
      <c r="A38" s="1" t="s">
        <v>24</v>
      </c>
      <c r="B38" t="s">
        <v>223</v>
      </c>
      <c r="D38" s="62"/>
      <c r="E38" s="62"/>
      <c r="F38" s="62"/>
      <c r="G38" s="62"/>
      <c r="H38" s="62"/>
      <c r="I38" s="62">
        <f>QTS!I393</f>
        <v>561.06577600000003</v>
      </c>
      <c r="J38" s="62">
        <f>QTS!J393</f>
        <v>611.37099999999998</v>
      </c>
      <c r="K38" s="62">
        <f>QTS!K393</f>
        <v>347.87700000000001</v>
      </c>
      <c r="L38" s="62">
        <f>QTS!L393</f>
        <v>405.52199999999999</v>
      </c>
      <c r="M38" s="62">
        <f>QTS!M393</f>
        <v>531.18000000000006</v>
      </c>
      <c r="N38" s="62">
        <f>QTS!N393</f>
        <v>590.88799999999992</v>
      </c>
      <c r="O38" s="62">
        <f>QTS!O393</f>
        <v>637.22900000000004</v>
      </c>
      <c r="P38" s="62">
        <f>QTS!P393</f>
        <v>537.18799999999999</v>
      </c>
      <c r="Q38" s="62">
        <f>QTS!Q393</f>
        <v>754.06299999999999</v>
      </c>
      <c r="R38" s="62">
        <f>QTS!R393</f>
        <v>820.93700000000001</v>
      </c>
      <c r="S38" s="62">
        <f>QTS!S393</f>
        <v>871.73899999999992</v>
      </c>
      <c r="U38" s="210"/>
      <c r="V38" s="210"/>
      <c r="W38" s="210"/>
      <c r="X38" s="62">
        <f>QTS!BD393</f>
        <v>347.87700000000001</v>
      </c>
      <c r="Y38" s="62">
        <f>QTS!BE393</f>
        <v>637.22900000000004</v>
      </c>
      <c r="Z38" s="62">
        <f>QTS!BF393</f>
        <v>871.73899999999992</v>
      </c>
      <c r="AA38" s="62">
        <f>QTS!BG393</f>
        <v>965.82600000000002</v>
      </c>
    </row>
    <row r="39" spans="1:27">
      <c r="B39" t="s">
        <v>305</v>
      </c>
      <c r="D39" s="62"/>
      <c r="E39" s="62"/>
      <c r="F39" s="62"/>
      <c r="G39" s="62">
        <f>QTS!G399</f>
        <v>8.2319999999999993</v>
      </c>
      <c r="H39" s="62"/>
      <c r="I39" s="62">
        <f>QTS!I399</f>
        <v>4.7</v>
      </c>
      <c r="J39" s="62">
        <f>QTS!J399</f>
        <v>6.5039999999999996</v>
      </c>
      <c r="K39" s="62">
        <f>QTS!K399</f>
        <v>5.21</v>
      </c>
      <c r="L39" s="62">
        <f>QTS!L399</f>
        <v>7.9279999999999999</v>
      </c>
      <c r="M39" s="62">
        <f>QTS!M399</f>
        <v>7.4890000000000061</v>
      </c>
      <c r="N39" s="62">
        <f>QTS!N399</f>
        <v>5.044999999999968</v>
      </c>
      <c r="O39" s="62">
        <f>QTS!O399</f>
        <v>10.787999999999963</v>
      </c>
      <c r="P39" s="62">
        <f>QTS!P399</f>
        <v>5.747999999999978</v>
      </c>
      <c r="Q39" s="62">
        <f>QTS!Q399</f>
        <v>10.743999999999991</v>
      </c>
      <c r="R39" s="62">
        <f>QTS!R399</f>
        <v>10.730000000000002</v>
      </c>
      <c r="S39" s="62">
        <f>QTS!S399</f>
        <v>8.8040000000000216</v>
      </c>
      <c r="U39" s="210"/>
      <c r="V39" s="210"/>
      <c r="W39" s="210"/>
      <c r="X39" s="62">
        <f>QTS!BD399</f>
        <v>5.21</v>
      </c>
      <c r="Y39" s="62">
        <f>QTS!BE399</f>
        <v>10.787999999999963</v>
      </c>
      <c r="Z39" s="62">
        <f>QTS!BF399</f>
        <v>8.8040000000000216</v>
      </c>
      <c r="AA39" s="62">
        <f>QTS!BG399</f>
        <v>9.5800000000000018</v>
      </c>
    </row>
    <row r="40" spans="1:27">
      <c r="B40" t="s">
        <v>306</v>
      </c>
      <c r="K40" s="84">
        <f>QTS!K383</f>
        <v>36.794215000000001</v>
      </c>
      <c r="L40" s="84">
        <f>QTS!L383</f>
        <v>36.897664000000006</v>
      </c>
      <c r="M40" s="84">
        <f>QTS!M383</f>
        <v>37.177049000000004</v>
      </c>
      <c r="N40" s="84">
        <f>QTS!N383</f>
        <v>37.266733000000002</v>
      </c>
      <c r="O40" s="84">
        <f>QTS!O383</f>
        <v>37.134</v>
      </c>
      <c r="P40" s="84">
        <f>QTS!P383</f>
        <v>41.560890000000001</v>
      </c>
      <c r="Q40" s="84">
        <f>QTS!Q383</f>
        <v>45.010890000000003</v>
      </c>
      <c r="R40" s="84">
        <f>QTS!R383</f>
        <v>48.733417000000003</v>
      </c>
      <c r="S40" s="84">
        <f>QTS!S383</f>
        <v>48.829726000000001</v>
      </c>
      <c r="U40" s="211"/>
      <c r="V40" s="211"/>
      <c r="W40" s="211"/>
      <c r="X40" s="84">
        <f>QTS!BD383</f>
        <v>36.794215000000001</v>
      </c>
      <c r="Y40" s="84">
        <f>QTS!BE383</f>
        <v>37.134</v>
      </c>
      <c r="Z40" s="84">
        <f>QTS!BF383</f>
        <v>48.829726000000001</v>
      </c>
      <c r="AA40" s="84">
        <f>QTS!BG383</f>
        <v>55.572049999999997</v>
      </c>
    </row>
    <row r="41" spans="1:27">
      <c r="B41" t="s">
        <v>308</v>
      </c>
      <c r="I41" s="46">
        <f t="shared" ref="I41:S41" si="16">+(I38-I39)/(I14*4)</f>
        <v>7.8627158846806093</v>
      </c>
      <c r="J41" s="46">
        <f t="shared" si="16"/>
        <v>7.6783157306793921</v>
      </c>
      <c r="K41" s="46">
        <f t="shared" si="16"/>
        <v>4.0355544563783683</v>
      </c>
      <c r="L41" s="46">
        <f t="shared" si="16"/>
        <v>4.5943378784377158</v>
      </c>
      <c r="M41" s="46">
        <f t="shared" si="16"/>
        <v>5.6231048404415249</v>
      </c>
      <c r="N41" s="46">
        <f t="shared" si="16"/>
        <v>5.6160416427010222</v>
      </c>
      <c r="O41" s="46">
        <f t="shared" si="16"/>
        <v>5.3951443433925874</v>
      </c>
      <c r="P41" s="46">
        <f t="shared" si="16"/>
        <v>4.7392452022544056</v>
      </c>
      <c r="Q41" s="46">
        <f t="shared" si="16"/>
        <v>5.8385619580243793</v>
      </c>
      <c r="R41" s="46">
        <f t="shared" si="16"/>
        <v>5.1762477319772051</v>
      </c>
      <c r="S41" s="46">
        <f t="shared" si="16"/>
        <v>5.2557738689794613</v>
      </c>
      <c r="U41" s="212"/>
      <c r="V41" s="212"/>
      <c r="W41" s="212"/>
      <c r="X41" s="46">
        <f>+(X38-X39)/(X14*4)</f>
        <v>1.0892564242755607</v>
      </c>
      <c r="Y41" s="46">
        <f>+(Y38-Y39)/(Y14*4)</f>
        <v>1.5657110722319425</v>
      </c>
      <c r="Z41" s="46">
        <f>+(Z38-Z39)/(Z14*4)</f>
        <v>1.5405152099400174</v>
      </c>
      <c r="AA41" s="46">
        <f>+(AA38-AA39)/(AA14*4)</f>
        <v>1.2968931396269807</v>
      </c>
    </row>
    <row r="45" spans="1:27">
      <c r="A45" s="1" t="s">
        <v>24</v>
      </c>
      <c r="B45" t="s">
        <v>207</v>
      </c>
      <c r="I45" s="214"/>
      <c r="J45" s="214"/>
      <c r="K45" s="215">
        <f>QTS!K333</f>
        <v>0</v>
      </c>
      <c r="L45" s="215">
        <f>QTS!L333</f>
        <v>0</v>
      </c>
      <c r="M45" s="215">
        <f>QTS!M333</f>
        <v>0</v>
      </c>
      <c r="N45" s="215">
        <f>QTS!N333</f>
        <v>0</v>
      </c>
      <c r="O45" s="215">
        <f>QTS!O333</f>
        <v>0</v>
      </c>
      <c r="P45" s="215">
        <f>QTS!P333</f>
        <v>0</v>
      </c>
      <c r="Q45" s="215">
        <f>QTS!Q333</f>
        <v>17.507571428571424</v>
      </c>
      <c r="R45" s="215">
        <f>QTS!R333</f>
        <v>0</v>
      </c>
      <c r="S45" s="215">
        <f>QTS!S333</f>
        <v>0</v>
      </c>
    </row>
    <row r="46" spans="1:27">
      <c r="B46" t="s">
        <v>198</v>
      </c>
      <c r="I46" s="216"/>
      <c r="J46" s="216"/>
      <c r="K46" s="216">
        <f>QTS!K334</f>
        <v>0</v>
      </c>
      <c r="L46" s="216">
        <f>QTS!L334</f>
        <v>0</v>
      </c>
      <c r="M46" s="216">
        <f>QTS!M334</f>
        <v>0</v>
      </c>
      <c r="N46" s="216">
        <f>QTS!N334</f>
        <v>0</v>
      </c>
      <c r="O46" s="216">
        <f>QTS!O334</f>
        <v>0</v>
      </c>
      <c r="P46" s="216">
        <f>QTS!P334</f>
        <v>0</v>
      </c>
      <c r="Q46" s="216">
        <f>QTS!Q334</f>
        <v>122331.1714285714</v>
      </c>
      <c r="R46" s="216">
        <f>QTS!R334</f>
        <v>0</v>
      </c>
      <c r="S46" s="216">
        <f>QTS!S334</f>
        <v>0</v>
      </c>
    </row>
    <row r="47" spans="1:27">
      <c r="B47" t="s">
        <v>199</v>
      </c>
      <c r="I47" s="216">
        <f>QTS!I335</f>
        <v>1418053</v>
      </c>
      <c r="J47" s="216">
        <f>QTS!J335</f>
        <v>1470441</v>
      </c>
      <c r="K47" s="216">
        <f>QTS!K335</f>
        <v>1419495</v>
      </c>
      <c r="L47" s="216">
        <f>QTS!L335</f>
        <v>1477541</v>
      </c>
      <c r="M47" s="216">
        <f>QTS!M335</f>
        <v>1718764</v>
      </c>
      <c r="N47" s="216">
        <f>QTS!N335</f>
        <v>1872232</v>
      </c>
      <c r="O47" s="216">
        <f>QTS!O335</f>
        <v>1894371</v>
      </c>
      <c r="P47" s="216">
        <f>QTS!P335</f>
        <v>1928064</v>
      </c>
      <c r="Q47" s="216">
        <f>QTS!Q335</f>
        <v>2082636</v>
      </c>
      <c r="R47" s="216">
        <f>QTS!R335</f>
        <v>2111961</v>
      </c>
      <c r="S47" s="216">
        <f>QTS!S335</f>
        <v>2194518</v>
      </c>
    </row>
    <row r="48" spans="1:27">
      <c r="I48" s="25"/>
      <c r="J48" s="25"/>
      <c r="K48" s="25"/>
      <c r="L48" s="25"/>
      <c r="M48" s="25"/>
      <c r="N48" s="25"/>
      <c r="O48" s="25"/>
      <c r="P48" s="25"/>
      <c r="Q48" s="25"/>
      <c r="R48" s="25"/>
      <c r="S48" s="25"/>
    </row>
    <row r="49" spans="1:19">
      <c r="A49" s="1" t="s">
        <v>24</v>
      </c>
      <c r="B49" t="s">
        <v>208</v>
      </c>
      <c r="D49" s="217">
        <f>QTS!D337</f>
        <v>32.214999999999996</v>
      </c>
      <c r="E49" s="217">
        <f>QTS!E337</f>
        <v>34.184000000000005</v>
      </c>
      <c r="F49" s="217">
        <f>QTS!F337</f>
        <v>33.878999999999998</v>
      </c>
      <c r="G49" s="217">
        <f>QTS!G337</f>
        <v>34.976999999999997</v>
      </c>
      <c r="H49" s="217">
        <f>QTS!H337</f>
        <v>37.915999999999997</v>
      </c>
      <c r="I49" s="217">
        <f>QTS!I337</f>
        <v>39.108000000000004</v>
      </c>
      <c r="J49" s="217">
        <f>QTS!J337</f>
        <v>41.988</v>
      </c>
      <c r="K49" s="217">
        <f>QTS!K337</f>
        <v>43.825000000000003</v>
      </c>
      <c r="L49" s="217">
        <f>QTS!L337</f>
        <v>44.81</v>
      </c>
      <c r="M49" s="217">
        <f>QTS!M337</f>
        <v>46.936</v>
      </c>
      <c r="N49" s="217">
        <f>QTS!N337</f>
        <v>50.69</v>
      </c>
      <c r="O49" s="217">
        <f>QTS!O337</f>
        <v>53.444000000000003</v>
      </c>
      <c r="P49" s="217">
        <f>QTS!P337</f>
        <v>55.128</v>
      </c>
      <c r="Q49" s="217">
        <f>QTS!Q337</f>
        <v>60.412999999999997</v>
      </c>
      <c r="R49" s="217">
        <f>QTS!R337</f>
        <v>81.317000000000007</v>
      </c>
      <c r="S49" s="217">
        <f>QTS!S337</f>
        <v>85.645999999999987</v>
      </c>
    </row>
    <row r="50" spans="1:19">
      <c r="B50" t="s">
        <v>206</v>
      </c>
      <c r="I50" s="214">
        <f>QTS!I338</f>
        <v>0.81</v>
      </c>
      <c r="J50" s="214">
        <f>QTS!J338</f>
        <v>0.89600000000000002</v>
      </c>
      <c r="K50" s="214">
        <f>QTS!K338</f>
        <v>0.91500000000000004</v>
      </c>
      <c r="L50" s="214">
        <f>QTS!L338</f>
        <v>0.92600000000000005</v>
      </c>
      <c r="M50" s="214">
        <f>QTS!M338</f>
        <v>0.90400000000000003</v>
      </c>
      <c r="N50" s="214">
        <f>QTS!N338</f>
        <v>0.83888175499590889</v>
      </c>
      <c r="O50" s="214">
        <f>QTS!O338</f>
        <v>0.85</v>
      </c>
      <c r="P50" s="214">
        <f>QTS!P338</f>
        <v>0.83048428342954039</v>
      </c>
      <c r="Q50" s="214">
        <f>QTS!Q338</f>
        <v>0.84180220175197873</v>
      </c>
      <c r="R50" s="214">
        <f>QTS!R338</f>
        <v>0.87111000580286824</v>
      </c>
      <c r="S50" s="214">
        <f>QTS!S338</f>
        <v>0.90684524802348465</v>
      </c>
    </row>
    <row r="51" spans="1:19">
      <c r="B51" t="s">
        <v>200</v>
      </c>
      <c r="I51" s="214">
        <f>QTS!I339</f>
        <v>0.36879087029892393</v>
      </c>
      <c r="J51" s="214">
        <f>QTS!J339</f>
        <v>0.37304794956071002</v>
      </c>
      <c r="K51" s="214">
        <f>QTS!K339</f>
        <v>0.34205544929710918</v>
      </c>
      <c r="L51" s="214">
        <f>QTS!L339</f>
        <v>0.33943829646690005</v>
      </c>
      <c r="M51" s="214">
        <f>QTS!M339</f>
        <v>0.32419343202440826</v>
      </c>
      <c r="N51" s="214">
        <f>QTS!N339</f>
        <v>0.36686799499207362</v>
      </c>
      <c r="O51" s="214">
        <f>QTS!O339</f>
        <v>0.36858250047113261</v>
      </c>
      <c r="P51" s="214">
        <f>QTS!P339</f>
        <v>0.37683292670782714</v>
      </c>
      <c r="Q51" s="214">
        <f>QTS!Q339</f>
        <v>0.39542483660130717</v>
      </c>
      <c r="R51" s="214">
        <f>QTS!R339</f>
        <v>0.39982272399916474</v>
      </c>
      <c r="S51" s="214">
        <f>QTS!S339</f>
        <v>0.38247852147943195</v>
      </c>
    </row>
    <row r="52" spans="1:19">
      <c r="B52" t="s">
        <v>201</v>
      </c>
      <c r="I52" s="216">
        <f>QTS!I340</f>
        <v>522965</v>
      </c>
      <c r="J52" s="216">
        <f>QTS!J340</f>
        <v>548545</v>
      </c>
      <c r="K52" s="216">
        <f>QTS!K340</f>
        <v>485546</v>
      </c>
      <c r="L52" s="216">
        <f>QTS!L340</f>
        <v>501534</v>
      </c>
      <c r="M52" s="216">
        <f>QTS!M340</f>
        <v>557212</v>
      </c>
      <c r="N52" s="216">
        <f>QTS!N340</f>
        <v>686862</v>
      </c>
      <c r="O52" s="216">
        <f>QTS!O340</f>
        <v>698232</v>
      </c>
      <c r="P52" s="216">
        <f>QTS!P340</f>
        <v>726558</v>
      </c>
      <c r="Q52" s="216">
        <f>QTS!Q340</f>
        <v>823526</v>
      </c>
      <c r="R52" s="216">
        <f>QTS!R340</f>
        <v>844410</v>
      </c>
      <c r="S52" s="216">
        <f>QTS!S340</f>
        <v>839356</v>
      </c>
    </row>
    <row r="53" spans="1:19">
      <c r="B53" t="s">
        <v>202</v>
      </c>
      <c r="I53" s="216">
        <f>QTS!I341</f>
        <v>423601.65</v>
      </c>
      <c r="J53" s="216">
        <f>QTS!J341</f>
        <v>491496.32</v>
      </c>
      <c r="K53" s="216">
        <f>QTS!K341</f>
        <v>444274.59</v>
      </c>
      <c r="L53" s="216">
        <f>QTS!L341</f>
        <v>464420.484</v>
      </c>
      <c r="M53" s="216">
        <f>QTS!M341</f>
        <v>503719.64799999999</v>
      </c>
      <c r="N53" s="216">
        <f>QTS!N341</f>
        <v>576196</v>
      </c>
      <c r="O53" s="216">
        <f>QTS!O341</f>
        <v>593497.19999999995</v>
      </c>
      <c r="P53" s="216">
        <f>QTS!P341</f>
        <v>603395</v>
      </c>
      <c r="Q53" s="216">
        <f>QTS!Q341</f>
        <v>693246</v>
      </c>
      <c r="R53" s="216">
        <f>QTS!R341</f>
        <v>735574</v>
      </c>
      <c r="S53" s="216">
        <f>QTS!S341</f>
        <v>761166</v>
      </c>
    </row>
    <row r="54" spans="1:19">
      <c r="B54" t="s">
        <v>220</v>
      </c>
      <c r="I54" s="217">
        <f>QTS!I342</f>
        <v>92.32258656216284</v>
      </c>
      <c r="J54" s="217">
        <f>QTS!J342</f>
        <v>85.42892040371737</v>
      </c>
      <c r="K54" s="217">
        <f>QTS!K342</f>
        <v>98.643949004600955</v>
      </c>
      <c r="L54" s="217">
        <f>QTS!L342</f>
        <v>96.485838897665843</v>
      </c>
      <c r="M54" s="217">
        <f>QTS!M342</f>
        <v>93.178815212703398</v>
      </c>
      <c r="N54" s="217">
        <f>QTS!N342</f>
        <v>87.973536782622574</v>
      </c>
      <c r="O54" s="217">
        <f>QTS!O342</f>
        <v>90.049287511381692</v>
      </c>
      <c r="P54" s="217">
        <f>QTS!P342</f>
        <v>91.363037479594624</v>
      </c>
      <c r="Q54" s="217">
        <f>QTS!Q342</f>
        <v>87.145111547704573</v>
      </c>
      <c r="R54" s="217">
        <f>QTS!R342</f>
        <v>110.54904061318099</v>
      </c>
      <c r="S54" s="217">
        <f>QTS!S342</f>
        <v>112.51947669759288</v>
      </c>
    </row>
    <row r="55" spans="1:19">
      <c r="B55" t="s">
        <v>221</v>
      </c>
      <c r="I55" s="217">
        <f>QTS!I343</f>
        <v>369.29034624865136</v>
      </c>
      <c r="J55" s="217">
        <f>QTS!J343</f>
        <v>341.71568161486948</v>
      </c>
      <c r="K55" s="217">
        <f>QTS!K343</f>
        <v>394.57579601840382</v>
      </c>
      <c r="L55" s="217">
        <f>QTS!L343</f>
        <v>385.94335559066337</v>
      </c>
      <c r="M55" s="217">
        <f>QTS!M343</f>
        <v>372.71526085081359</v>
      </c>
      <c r="N55" s="217">
        <f>QTS!N343</f>
        <v>351.8941471304903</v>
      </c>
      <c r="O55" s="217">
        <f>QTS!O343</f>
        <v>360.19715004552677</v>
      </c>
      <c r="P55" s="217">
        <f>QTS!P343</f>
        <v>365.4521499183785</v>
      </c>
      <c r="Q55" s="217">
        <f>QTS!Q343</f>
        <v>348.58044619081829</v>
      </c>
      <c r="R55" s="217">
        <f>QTS!R343</f>
        <v>442.19616245272397</v>
      </c>
      <c r="S55" s="217">
        <f>QTS!S343</f>
        <v>450.07790679037151</v>
      </c>
    </row>
    <row r="57" spans="1:19">
      <c r="A57" s="1" t="s">
        <v>24</v>
      </c>
      <c r="B57" t="s">
        <v>316</v>
      </c>
      <c r="H57" s="224">
        <f>QTS!H39</f>
        <v>2.8295374400999496E-2</v>
      </c>
      <c r="I57" s="224">
        <f>QTS!I39</f>
        <v>3.2386052096000206E-2</v>
      </c>
      <c r="J57" s="224">
        <f>QTS!J39</f>
        <v>5.302281656099983E-2</v>
      </c>
      <c r="K57" s="224">
        <f>QTS!K39</f>
        <v>9.5222947840999606E-2</v>
      </c>
      <c r="L57" s="224">
        <f>QTS!L39</f>
        <v>5.718701441600027E-2</v>
      </c>
      <c r="M57" s="224">
        <f>QTS!M39</f>
        <v>7.819356632099983E-2</v>
      </c>
      <c r="N57" s="224">
        <f>QTS!N39</f>
        <v>4.4731338640999763E-2</v>
      </c>
      <c r="O57" s="224">
        <f>QTS!O39</f>
        <v>4.4731338640999763E-2</v>
      </c>
      <c r="P57" s="224">
        <f>QTS!P39</f>
        <v>1.6096256256000085E-2</v>
      </c>
      <c r="Q57" s="224">
        <f>QTS!Q39</f>
        <v>1.6096256256000085E-2</v>
      </c>
      <c r="R57" s="224">
        <f>QTS!R39</f>
        <v>3.2386052096000206E-2</v>
      </c>
      <c r="S57" s="224">
        <f>QTS!S39</f>
        <v>9.0946826256000035E-2</v>
      </c>
    </row>
  </sheetData>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indexed="24"/>
    <pageSetUpPr fitToPage="1"/>
  </sheetPr>
  <dimension ref="A3:J34"/>
  <sheetViews>
    <sheetView showGridLines="0" zoomScaleNormal="100" zoomScaleSheetLayoutView="100" workbookViewId="0"/>
  </sheetViews>
  <sheetFormatPr defaultColWidth="8" defaultRowHeight="11.25"/>
  <cols>
    <col min="1" max="2" width="8" style="85" customWidth="1"/>
    <col min="3" max="3" width="31" style="85" bestFit="1" customWidth="1"/>
    <col min="4" max="6" width="8" style="85"/>
    <col min="7" max="16384" width="8" style="385"/>
  </cols>
  <sheetData>
    <row r="3" spans="3:6">
      <c r="C3" s="85" t="s">
        <v>113</v>
      </c>
      <c r="D3" s="324">
        <f ca="1">+QTS!AB393</f>
        <v>1329.9290000000001</v>
      </c>
      <c r="E3" s="204"/>
    </row>
    <row r="4" spans="3:6">
      <c r="C4" s="85" t="s">
        <v>224</v>
      </c>
      <c r="D4" s="324">
        <f>+QTS!AA399</f>
        <v>8.2429999999999382</v>
      </c>
      <c r="E4" s="204"/>
    </row>
    <row r="5" spans="3:6">
      <c r="D5" s="322"/>
    </row>
    <row r="6" spans="3:6">
      <c r="C6" s="85" t="s">
        <v>420</v>
      </c>
      <c r="D6" s="323">
        <f>QTS!$AA$132</f>
        <v>57.784287999999997</v>
      </c>
      <c r="E6" s="87"/>
      <c r="F6" s="87"/>
    </row>
    <row r="7" spans="3:6">
      <c r="C7" s="85" t="s">
        <v>225</v>
      </c>
      <c r="D7" s="90"/>
      <c r="E7" s="89"/>
      <c r="F7" s="89"/>
    </row>
    <row r="8" spans="3:6">
      <c r="D8" s="88"/>
      <c r="E8" s="89"/>
      <c r="F8" s="89"/>
    </row>
    <row r="9" spans="3:6">
      <c r="C9" s="85" t="s">
        <v>226</v>
      </c>
      <c r="D9" s="91">
        <f ca="1">+D3-D4</f>
        <v>1321.6860000000001</v>
      </c>
    </row>
    <row r="11" spans="3:6">
      <c r="D11" s="92">
        <v>1</v>
      </c>
      <c r="E11" s="92">
        <v>2</v>
      </c>
      <c r="F11" s="92">
        <v>3</v>
      </c>
    </row>
    <row r="12" spans="3:6">
      <c r="C12" s="93" t="s">
        <v>227</v>
      </c>
      <c r="D12" s="94" t="s">
        <v>228</v>
      </c>
      <c r="E12" s="94" t="s">
        <v>229</v>
      </c>
      <c r="F12" s="95" t="s">
        <v>230</v>
      </c>
    </row>
    <row r="13" spans="3:6">
      <c r="D13" s="96"/>
      <c r="E13" s="96"/>
      <c r="F13" s="96"/>
    </row>
    <row r="14" spans="3:6">
      <c r="C14" s="93" t="s">
        <v>506</v>
      </c>
      <c r="D14" s="109"/>
      <c r="E14" s="109"/>
      <c r="F14" s="110"/>
    </row>
    <row r="15" spans="3:6">
      <c r="D15" s="103"/>
      <c r="E15" s="103"/>
      <c r="F15" s="103"/>
    </row>
    <row r="16" spans="3:6">
      <c r="C16" s="97" t="s">
        <v>507</v>
      </c>
      <c r="D16" s="293" t="s">
        <v>379</v>
      </c>
      <c r="E16" s="293" t="s">
        <v>380</v>
      </c>
      <c r="F16" s="293" t="s">
        <v>381</v>
      </c>
    </row>
    <row r="17" spans="3:10">
      <c r="C17" s="85" t="s">
        <v>508</v>
      </c>
      <c r="D17" s="86">
        <f ca="1">+IF(QTS!$C$5=D$11,Estimates!Y$45,Valuation!D17)</f>
        <v>240.24099448177475</v>
      </c>
      <c r="E17" s="86">
        <f ca="1">+IF(QTS!$C$5=E$11,Estimates!Y$13,Valuation!E17)</f>
        <v>233.44940292474826</v>
      </c>
      <c r="F17" s="86">
        <f ca="1">+IF(QTS!$C$5=F$11,Estimates!Y$76,Valuation!F17)</f>
        <v>214.21998811437419</v>
      </c>
      <c r="H17" s="386"/>
      <c r="I17" s="386"/>
      <c r="J17" s="386"/>
    </row>
    <row r="18" spans="3:10">
      <c r="C18" s="85" t="s">
        <v>231</v>
      </c>
      <c r="D18" s="220">
        <v>20</v>
      </c>
      <c r="E18" s="220">
        <v>17</v>
      </c>
      <c r="F18" s="220">
        <v>14.5</v>
      </c>
      <c r="H18" s="387"/>
      <c r="I18" s="387"/>
      <c r="J18" s="387"/>
    </row>
    <row r="19" spans="3:10">
      <c r="C19" s="85" t="s">
        <v>232</v>
      </c>
      <c r="D19" s="91">
        <f ca="1">+D17*D18</f>
        <v>4804.8198896354952</v>
      </c>
      <c r="E19" s="91">
        <f ca="1">+E17*E18</f>
        <v>3968.6398497207201</v>
      </c>
      <c r="F19" s="91">
        <f ca="1">+F17*F18</f>
        <v>3106.1898276584257</v>
      </c>
      <c r="H19" s="388"/>
      <c r="I19" s="388"/>
      <c r="J19" s="388"/>
    </row>
    <row r="20" spans="3:10">
      <c r="C20" s="85" t="s">
        <v>226</v>
      </c>
      <c r="D20" s="91">
        <f ca="1">+$D$9</f>
        <v>1321.6860000000001</v>
      </c>
      <c r="E20" s="91">
        <f ca="1">+$D$9</f>
        <v>1321.6860000000001</v>
      </c>
      <c r="F20" s="91">
        <f ca="1">+$D$9</f>
        <v>1321.6860000000001</v>
      </c>
      <c r="H20" s="388"/>
      <c r="I20" s="388"/>
      <c r="J20" s="388"/>
    </row>
    <row r="21" spans="3:10">
      <c r="C21" s="85" t="s">
        <v>233</v>
      </c>
      <c r="D21" s="91">
        <f ca="1">+D19-D20</f>
        <v>3483.1338896354951</v>
      </c>
      <c r="E21" s="91">
        <f ca="1">+E19-E20</f>
        <v>2646.95384972072</v>
      </c>
      <c r="F21" s="91">
        <f ca="1">+F19-F20</f>
        <v>1784.5038276584255</v>
      </c>
      <c r="H21" s="388"/>
      <c r="I21" s="388"/>
      <c r="J21" s="388"/>
    </row>
    <row r="22" spans="3:10">
      <c r="C22" s="85" t="s">
        <v>234</v>
      </c>
      <c r="D22" s="87">
        <f>+$D$6</f>
        <v>57.784287999999997</v>
      </c>
      <c r="E22" s="87">
        <f>+$D$6</f>
        <v>57.784287999999997</v>
      </c>
      <c r="F22" s="87">
        <f>+$D$6</f>
        <v>57.784287999999997</v>
      </c>
      <c r="H22" s="389"/>
      <c r="I22" s="389"/>
      <c r="J22" s="389"/>
    </row>
    <row r="23" spans="3:10">
      <c r="C23" s="98" t="s">
        <v>235</v>
      </c>
      <c r="D23" s="99">
        <f ca="1">+D21/(D22)</f>
        <v>60.278217664211681</v>
      </c>
      <c r="E23" s="99">
        <f ca="1">+E21/(E22)</f>
        <v>45.807501335323543</v>
      </c>
      <c r="F23" s="99">
        <f ca="1">+F21/(F22)</f>
        <v>30.882163463854148</v>
      </c>
      <c r="H23" s="390"/>
      <c r="I23" s="390"/>
      <c r="J23" s="390"/>
    </row>
    <row r="24" spans="3:10">
      <c r="D24" s="100"/>
      <c r="E24" s="100"/>
      <c r="F24" s="100"/>
    </row>
    <row r="25" spans="3:10">
      <c r="C25" s="97" t="s">
        <v>540</v>
      </c>
      <c r="D25" s="91"/>
      <c r="E25" s="91"/>
      <c r="F25" s="91"/>
    </row>
    <row r="26" spans="3:10">
      <c r="C26" s="85" t="s">
        <v>540</v>
      </c>
      <c r="D26" s="86">
        <f ca="1">+IF(QTS!$C$5=D$11,Estimates!Y$55,Valuation!D26)</f>
        <v>173.46806701016277</v>
      </c>
      <c r="E26" s="86">
        <f ca="1">+IF(QTS!$C$5=E$11,Estimates!Y$23,Valuation!E26)</f>
        <v>166.12595761240027</v>
      </c>
      <c r="F26" s="86">
        <f ca="1">+IF(QTS!$C$5=F$11,Estimates!Y$86,Valuation!F26)</f>
        <v>144.99202718689438</v>
      </c>
      <c r="H26" s="386"/>
      <c r="I26" s="386"/>
      <c r="J26" s="386"/>
    </row>
    <row r="27" spans="3:10">
      <c r="C27" s="85" t="s">
        <v>231</v>
      </c>
      <c r="D27" s="220">
        <v>20.5</v>
      </c>
      <c r="E27" s="220">
        <v>17.5</v>
      </c>
      <c r="F27" s="220">
        <v>15</v>
      </c>
      <c r="H27" s="387"/>
      <c r="I27" s="387"/>
      <c r="J27" s="387"/>
    </row>
    <row r="28" spans="3:10">
      <c r="C28" s="85" t="s">
        <v>233</v>
      </c>
      <c r="D28" s="91">
        <f ca="1">+D26*D27:D27</f>
        <v>3556.0953737083369</v>
      </c>
      <c r="E28" s="91">
        <f ca="1">+E26*E27:E27</f>
        <v>2907.2042582170047</v>
      </c>
      <c r="F28" s="91">
        <f ca="1">+F26*F27:F27</f>
        <v>2174.8804078034154</v>
      </c>
      <c r="H28" s="388"/>
      <c r="I28" s="388"/>
      <c r="J28" s="388"/>
    </row>
    <row r="29" spans="3:10">
      <c r="C29" s="85" t="s">
        <v>234</v>
      </c>
      <c r="D29" s="87">
        <f>+$D$6</f>
        <v>57.784287999999997</v>
      </c>
      <c r="E29" s="87">
        <f>+$D$6</f>
        <v>57.784287999999997</v>
      </c>
      <c r="F29" s="87">
        <f>+$D$6</f>
        <v>57.784287999999997</v>
      </c>
      <c r="H29" s="389"/>
      <c r="I29" s="389"/>
      <c r="J29" s="389"/>
    </row>
    <row r="30" spans="3:10">
      <c r="C30" s="98" t="s">
        <v>235</v>
      </c>
      <c r="D30" s="99">
        <f ca="1">+D28/(D29)</f>
        <v>61.540870309042091</v>
      </c>
      <c r="E30" s="99">
        <f ca="1">+E28/(E29)</f>
        <v>50.311327851214585</v>
      </c>
      <c r="F30" s="99">
        <f ca="1">+F28/(F29)</f>
        <v>37.637919979275601</v>
      </c>
      <c r="H30" s="390"/>
      <c r="I30" s="390"/>
      <c r="J30" s="390"/>
    </row>
    <row r="31" spans="3:10">
      <c r="D31" s="100">
        <f ca="1">+AVERAGE(D30,D23)</f>
        <v>60.909543986626886</v>
      </c>
      <c r="E31" s="100">
        <f ca="1">+AVERAGE(E30,E23)</f>
        <v>48.059414593269068</v>
      </c>
      <c r="F31" s="100">
        <f ca="1">+AVERAGE(F30,F23)</f>
        <v>34.260041721564875</v>
      </c>
      <c r="H31" s="390"/>
      <c r="I31" s="390"/>
      <c r="J31" s="390"/>
    </row>
    <row r="32" spans="3:10">
      <c r="C32" s="101" t="s">
        <v>236</v>
      </c>
      <c r="D32" s="102">
        <f ca="1">+ROUND(AVERAGE(D30,D23),0)</f>
        <v>61</v>
      </c>
      <c r="E32" s="102">
        <f ca="1">+ROUND(AVERAGE(E30,E23),0)</f>
        <v>48</v>
      </c>
      <c r="F32" s="102">
        <f ca="1">+ROUND(AVERAGE(F30,F23),0)</f>
        <v>34</v>
      </c>
      <c r="H32" s="391"/>
      <c r="I32" s="391"/>
      <c r="J32" s="391"/>
    </row>
    <row r="33" spans="3:10">
      <c r="C33" s="85" t="s">
        <v>509</v>
      </c>
      <c r="D33" s="103">
        <f ca="1">+(D32*(D22)+D20)/D17</f>
        <v>20.173607666145706</v>
      </c>
      <c r="E33" s="103">
        <f ca="1">+(E32*(E22)+E20)/E17</f>
        <v>17.542695644932184</v>
      </c>
      <c r="F33" s="103">
        <f ca="1">+(F32*(F22)+F20)/F17</f>
        <v>15.341013791137847</v>
      </c>
      <c r="H33" s="392"/>
      <c r="I33" s="392"/>
      <c r="J33" s="392"/>
    </row>
    <row r="34" spans="3:10">
      <c r="C34" s="85" t="s">
        <v>510</v>
      </c>
      <c r="D34" s="103">
        <f ca="1">+D32*(D29)/D26</f>
        <v>20.319829630622991</v>
      </c>
      <c r="E34" s="103">
        <f ca="1">+E32*(E29)/E26</f>
        <v>16.696041147713839</v>
      </c>
      <c r="F34" s="103">
        <f ca="1">+F32*(F29)/F26</f>
        <v>13.550164309845467</v>
      </c>
      <c r="H34" s="392"/>
      <c r="I34" s="392"/>
      <c r="J34" s="392"/>
    </row>
  </sheetData>
  <phoneticPr fontId="2" type="noConversion"/>
  <pageMargins left="0.7" right="0.7" top="0.75" bottom="0.75" header="0.3" footer="0.3"/>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43"/>
  <sheetViews>
    <sheetView workbookViewId="0">
      <selection activeCell="B42" sqref="B42"/>
    </sheetView>
  </sheetViews>
  <sheetFormatPr defaultRowHeight="12.75"/>
  <cols>
    <col min="1" max="1" width="29.5703125" style="372" bestFit="1" customWidth="1"/>
    <col min="2" max="2" width="19.85546875" style="408" customWidth="1"/>
    <col min="3" max="3" width="12" style="372" bestFit="1" customWidth="1"/>
    <col min="4" max="256" width="9.140625" style="372"/>
    <col min="257" max="257" width="29.5703125" style="372" bestFit="1" customWidth="1"/>
    <col min="258" max="258" width="19.85546875" style="372" customWidth="1"/>
    <col min="259" max="259" width="12" style="372" bestFit="1" customWidth="1"/>
    <col min="260" max="512" width="9.140625" style="372"/>
    <col min="513" max="513" width="29.5703125" style="372" bestFit="1" customWidth="1"/>
    <col min="514" max="514" width="19.85546875" style="372" customWidth="1"/>
    <col min="515" max="515" width="12" style="372" bestFit="1" customWidth="1"/>
    <col min="516" max="768" width="9.140625" style="372"/>
    <col min="769" max="769" width="29.5703125" style="372" bestFit="1" customWidth="1"/>
    <col min="770" max="770" width="19.85546875" style="372" customWidth="1"/>
    <col min="771" max="771" width="12" style="372" bestFit="1" customWidth="1"/>
    <col min="772" max="1024" width="9.140625" style="372"/>
    <col min="1025" max="1025" width="29.5703125" style="372" bestFit="1" customWidth="1"/>
    <col min="1026" max="1026" width="19.85546875" style="372" customWidth="1"/>
    <col min="1027" max="1027" width="12" style="372" bestFit="1" customWidth="1"/>
    <col min="1028" max="1280" width="9.140625" style="372"/>
    <col min="1281" max="1281" width="29.5703125" style="372" bestFit="1" customWidth="1"/>
    <col min="1282" max="1282" width="19.85546875" style="372" customWidth="1"/>
    <col min="1283" max="1283" width="12" style="372" bestFit="1" customWidth="1"/>
    <col min="1284" max="1536" width="9.140625" style="372"/>
    <col min="1537" max="1537" width="29.5703125" style="372" bestFit="1" customWidth="1"/>
    <col min="1538" max="1538" width="19.85546875" style="372" customWidth="1"/>
    <col min="1539" max="1539" width="12" style="372" bestFit="1" customWidth="1"/>
    <col min="1540" max="1792" width="9.140625" style="372"/>
    <col min="1793" max="1793" width="29.5703125" style="372" bestFit="1" customWidth="1"/>
    <col min="1794" max="1794" width="19.85546875" style="372" customWidth="1"/>
    <col min="1795" max="1795" width="12" style="372" bestFit="1" customWidth="1"/>
    <col min="1796" max="2048" width="9.140625" style="372"/>
    <col min="2049" max="2049" width="29.5703125" style="372" bestFit="1" customWidth="1"/>
    <col min="2050" max="2050" width="19.85546875" style="372" customWidth="1"/>
    <col min="2051" max="2051" width="12" style="372" bestFit="1" customWidth="1"/>
    <col min="2052" max="2304" width="9.140625" style="372"/>
    <col min="2305" max="2305" width="29.5703125" style="372" bestFit="1" customWidth="1"/>
    <col min="2306" max="2306" width="19.85546875" style="372" customWidth="1"/>
    <col min="2307" max="2307" width="12" style="372" bestFit="1" customWidth="1"/>
    <col min="2308" max="2560" width="9.140625" style="372"/>
    <col min="2561" max="2561" width="29.5703125" style="372" bestFit="1" customWidth="1"/>
    <col min="2562" max="2562" width="19.85546875" style="372" customWidth="1"/>
    <col min="2563" max="2563" width="12" style="372" bestFit="1" customWidth="1"/>
    <col min="2564" max="2816" width="9.140625" style="372"/>
    <col min="2817" max="2817" width="29.5703125" style="372" bestFit="1" customWidth="1"/>
    <col min="2818" max="2818" width="19.85546875" style="372" customWidth="1"/>
    <col min="2819" max="2819" width="12" style="372" bestFit="1" customWidth="1"/>
    <col min="2820" max="3072" width="9.140625" style="372"/>
    <col min="3073" max="3073" width="29.5703125" style="372" bestFit="1" customWidth="1"/>
    <col min="3074" max="3074" width="19.85546875" style="372" customWidth="1"/>
    <col min="3075" max="3075" width="12" style="372" bestFit="1" customWidth="1"/>
    <col min="3076" max="3328" width="9.140625" style="372"/>
    <col min="3329" max="3329" width="29.5703125" style="372" bestFit="1" customWidth="1"/>
    <col min="3330" max="3330" width="19.85546875" style="372" customWidth="1"/>
    <col min="3331" max="3331" width="12" style="372" bestFit="1" customWidth="1"/>
    <col min="3332" max="3584" width="9.140625" style="372"/>
    <col min="3585" max="3585" width="29.5703125" style="372" bestFit="1" customWidth="1"/>
    <col min="3586" max="3586" width="19.85546875" style="372" customWidth="1"/>
    <col min="3587" max="3587" width="12" style="372" bestFit="1" customWidth="1"/>
    <col min="3588" max="3840" width="9.140625" style="372"/>
    <col min="3841" max="3841" width="29.5703125" style="372" bestFit="1" customWidth="1"/>
    <col min="3842" max="3842" width="19.85546875" style="372" customWidth="1"/>
    <col min="3843" max="3843" width="12" style="372" bestFit="1" customWidth="1"/>
    <col min="3844" max="4096" width="9.140625" style="372"/>
    <col min="4097" max="4097" width="29.5703125" style="372" bestFit="1" customWidth="1"/>
    <col min="4098" max="4098" width="19.85546875" style="372" customWidth="1"/>
    <col min="4099" max="4099" width="12" style="372" bestFit="1" customWidth="1"/>
    <col min="4100" max="4352" width="9.140625" style="372"/>
    <col min="4353" max="4353" width="29.5703125" style="372" bestFit="1" customWidth="1"/>
    <col min="4354" max="4354" width="19.85546875" style="372" customWidth="1"/>
    <col min="4355" max="4355" width="12" style="372" bestFit="1" customWidth="1"/>
    <col min="4356" max="4608" width="9.140625" style="372"/>
    <col min="4609" max="4609" width="29.5703125" style="372" bestFit="1" customWidth="1"/>
    <col min="4610" max="4610" width="19.85546875" style="372" customWidth="1"/>
    <col min="4611" max="4611" width="12" style="372" bestFit="1" customWidth="1"/>
    <col min="4612" max="4864" width="9.140625" style="372"/>
    <col min="4865" max="4865" width="29.5703125" style="372" bestFit="1" customWidth="1"/>
    <col min="4866" max="4866" width="19.85546875" style="372" customWidth="1"/>
    <col min="4867" max="4867" width="12" style="372" bestFit="1" customWidth="1"/>
    <col min="4868" max="5120" width="9.140625" style="372"/>
    <col min="5121" max="5121" width="29.5703125" style="372" bestFit="1" customWidth="1"/>
    <col min="5122" max="5122" width="19.85546875" style="372" customWidth="1"/>
    <col min="5123" max="5123" width="12" style="372" bestFit="1" customWidth="1"/>
    <col min="5124" max="5376" width="9.140625" style="372"/>
    <col min="5377" max="5377" width="29.5703125" style="372" bestFit="1" customWidth="1"/>
    <col min="5378" max="5378" width="19.85546875" style="372" customWidth="1"/>
    <col min="5379" max="5379" width="12" style="372" bestFit="1" customWidth="1"/>
    <col min="5380" max="5632" width="9.140625" style="372"/>
    <col min="5633" max="5633" width="29.5703125" style="372" bestFit="1" customWidth="1"/>
    <col min="5634" max="5634" width="19.85546875" style="372" customWidth="1"/>
    <col min="5635" max="5635" width="12" style="372" bestFit="1" customWidth="1"/>
    <col min="5636" max="5888" width="9.140625" style="372"/>
    <col min="5889" max="5889" width="29.5703125" style="372" bestFit="1" customWidth="1"/>
    <col min="5890" max="5890" width="19.85546875" style="372" customWidth="1"/>
    <col min="5891" max="5891" width="12" style="372" bestFit="1" customWidth="1"/>
    <col min="5892" max="6144" width="9.140625" style="372"/>
    <col min="6145" max="6145" width="29.5703125" style="372" bestFit="1" customWidth="1"/>
    <col min="6146" max="6146" width="19.85546875" style="372" customWidth="1"/>
    <col min="6147" max="6147" width="12" style="372" bestFit="1" customWidth="1"/>
    <col min="6148" max="6400" width="9.140625" style="372"/>
    <col min="6401" max="6401" width="29.5703125" style="372" bestFit="1" customWidth="1"/>
    <col min="6402" max="6402" width="19.85546875" style="372" customWidth="1"/>
    <col min="6403" max="6403" width="12" style="372" bestFit="1" customWidth="1"/>
    <col min="6404" max="6656" width="9.140625" style="372"/>
    <col min="6657" max="6657" width="29.5703125" style="372" bestFit="1" customWidth="1"/>
    <col min="6658" max="6658" width="19.85546875" style="372" customWidth="1"/>
    <col min="6659" max="6659" width="12" style="372" bestFit="1" customWidth="1"/>
    <col min="6660" max="6912" width="9.140625" style="372"/>
    <col min="6913" max="6913" width="29.5703125" style="372" bestFit="1" customWidth="1"/>
    <col min="6914" max="6914" width="19.85546875" style="372" customWidth="1"/>
    <col min="6915" max="6915" width="12" style="372" bestFit="1" customWidth="1"/>
    <col min="6916" max="7168" width="9.140625" style="372"/>
    <col min="7169" max="7169" width="29.5703125" style="372" bestFit="1" customWidth="1"/>
    <col min="7170" max="7170" width="19.85546875" style="372" customWidth="1"/>
    <col min="7171" max="7171" width="12" style="372" bestFit="1" customWidth="1"/>
    <col min="7172" max="7424" width="9.140625" style="372"/>
    <col min="7425" max="7425" width="29.5703125" style="372" bestFit="1" customWidth="1"/>
    <col min="7426" max="7426" width="19.85546875" style="372" customWidth="1"/>
    <col min="7427" max="7427" width="12" style="372" bestFit="1" customWidth="1"/>
    <col min="7428" max="7680" width="9.140625" style="372"/>
    <col min="7681" max="7681" width="29.5703125" style="372" bestFit="1" customWidth="1"/>
    <col min="7682" max="7682" width="19.85546875" style="372" customWidth="1"/>
    <col min="7683" max="7683" width="12" style="372" bestFit="1" customWidth="1"/>
    <col min="7684" max="7936" width="9.140625" style="372"/>
    <col min="7937" max="7937" width="29.5703125" style="372" bestFit="1" customWidth="1"/>
    <col min="7938" max="7938" width="19.85546875" style="372" customWidth="1"/>
    <col min="7939" max="7939" width="12" style="372" bestFit="1" customWidth="1"/>
    <col min="7940" max="8192" width="9.140625" style="372"/>
    <col min="8193" max="8193" width="29.5703125" style="372" bestFit="1" customWidth="1"/>
    <col min="8194" max="8194" width="19.85546875" style="372" customWidth="1"/>
    <col min="8195" max="8195" width="12" style="372" bestFit="1" customWidth="1"/>
    <col min="8196" max="8448" width="9.140625" style="372"/>
    <col min="8449" max="8449" width="29.5703125" style="372" bestFit="1" customWidth="1"/>
    <col min="8450" max="8450" width="19.85546875" style="372" customWidth="1"/>
    <col min="8451" max="8451" width="12" style="372" bestFit="1" customWidth="1"/>
    <col min="8452" max="8704" width="9.140625" style="372"/>
    <col min="8705" max="8705" width="29.5703125" style="372" bestFit="1" customWidth="1"/>
    <col min="8706" max="8706" width="19.85546875" style="372" customWidth="1"/>
    <col min="8707" max="8707" width="12" style="372" bestFit="1" customWidth="1"/>
    <col min="8708" max="8960" width="9.140625" style="372"/>
    <col min="8961" max="8961" width="29.5703125" style="372" bestFit="1" customWidth="1"/>
    <col min="8962" max="8962" width="19.85546875" style="372" customWidth="1"/>
    <col min="8963" max="8963" width="12" style="372" bestFit="1" customWidth="1"/>
    <col min="8964" max="9216" width="9.140625" style="372"/>
    <col min="9217" max="9217" width="29.5703125" style="372" bestFit="1" customWidth="1"/>
    <col min="9218" max="9218" width="19.85546875" style="372" customWidth="1"/>
    <col min="9219" max="9219" width="12" style="372" bestFit="1" customWidth="1"/>
    <col min="9220" max="9472" width="9.140625" style="372"/>
    <col min="9473" max="9473" width="29.5703125" style="372" bestFit="1" customWidth="1"/>
    <col min="9474" max="9474" width="19.85546875" style="372" customWidth="1"/>
    <col min="9475" max="9475" width="12" style="372" bestFit="1" customWidth="1"/>
    <col min="9476" max="9728" width="9.140625" style="372"/>
    <col min="9729" max="9729" width="29.5703125" style="372" bestFit="1" customWidth="1"/>
    <col min="9730" max="9730" width="19.85546875" style="372" customWidth="1"/>
    <col min="9731" max="9731" width="12" style="372" bestFit="1" customWidth="1"/>
    <col min="9732" max="9984" width="9.140625" style="372"/>
    <col min="9985" max="9985" width="29.5703125" style="372" bestFit="1" customWidth="1"/>
    <col min="9986" max="9986" width="19.85546875" style="372" customWidth="1"/>
    <col min="9987" max="9987" width="12" style="372" bestFit="1" customWidth="1"/>
    <col min="9988" max="10240" width="9.140625" style="372"/>
    <col min="10241" max="10241" width="29.5703125" style="372" bestFit="1" customWidth="1"/>
    <col min="10242" max="10242" width="19.85546875" style="372" customWidth="1"/>
    <col min="10243" max="10243" width="12" style="372" bestFit="1" customWidth="1"/>
    <col min="10244" max="10496" width="9.140625" style="372"/>
    <col min="10497" max="10497" width="29.5703125" style="372" bestFit="1" customWidth="1"/>
    <col min="10498" max="10498" width="19.85546875" style="372" customWidth="1"/>
    <col min="10499" max="10499" width="12" style="372" bestFit="1" customWidth="1"/>
    <col min="10500" max="10752" width="9.140625" style="372"/>
    <col min="10753" max="10753" width="29.5703125" style="372" bestFit="1" customWidth="1"/>
    <col min="10754" max="10754" width="19.85546875" style="372" customWidth="1"/>
    <col min="10755" max="10755" width="12" style="372" bestFit="1" customWidth="1"/>
    <col min="10756" max="11008" width="9.140625" style="372"/>
    <col min="11009" max="11009" width="29.5703125" style="372" bestFit="1" customWidth="1"/>
    <col min="11010" max="11010" width="19.85546875" style="372" customWidth="1"/>
    <col min="11011" max="11011" width="12" style="372" bestFit="1" customWidth="1"/>
    <col min="11012" max="11264" width="9.140625" style="372"/>
    <col min="11265" max="11265" width="29.5703125" style="372" bestFit="1" customWidth="1"/>
    <col min="11266" max="11266" width="19.85546875" style="372" customWidth="1"/>
    <col min="11267" max="11267" width="12" style="372" bestFit="1" customWidth="1"/>
    <col min="11268" max="11520" width="9.140625" style="372"/>
    <col min="11521" max="11521" width="29.5703125" style="372" bestFit="1" customWidth="1"/>
    <col min="11522" max="11522" width="19.85546875" style="372" customWidth="1"/>
    <col min="11523" max="11523" width="12" style="372" bestFit="1" customWidth="1"/>
    <col min="11524" max="11776" width="9.140625" style="372"/>
    <col min="11777" max="11777" width="29.5703125" style="372" bestFit="1" customWidth="1"/>
    <col min="11778" max="11778" width="19.85546875" style="372" customWidth="1"/>
    <col min="11779" max="11779" width="12" style="372" bestFit="1" customWidth="1"/>
    <col min="11780" max="12032" width="9.140625" style="372"/>
    <col min="12033" max="12033" width="29.5703125" style="372" bestFit="1" customWidth="1"/>
    <col min="12034" max="12034" width="19.85546875" style="372" customWidth="1"/>
    <col min="12035" max="12035" width="12" style="372" bestFit="1" customWidth="1"/>
    <col min="12036" max="12288" width="9.140625" style="372"/>
    <col min="12289" max="12289" width="29.5703125" style="372" bestFit="1" customWidth="1"/>
    <col min="12290" max="12290" width="19.85546875" style="372" customWidth="1"/>
    <col min="12291" max="12291" width="12" style="372" bestFit="1" customWidth="1"/>
    <col min="12292" max="12544" width="9.140625" style="372"/>
    <col min="12545" max="12545" width="29.5703125" style="372" bestFit="1" customWidth="1"/>
    <col min="12546" max="12546" width="19.85546875" style="372" customWidth="1"/>
    <col min="12547" max="12547" width="12" style="372" bestFit="1" customWidth="1"/>
    <col min="12548" max="12800" width="9.140625" style="372"/>
    <col min="12801" max="12801" width="29.5703125" style="372" bestFit="1" customWidth="1"/>
    <col min="12802" max="12802" width="19.85546875" style="372" customWidth="1"/>
    <col min="12803" max="12803" width="12" style="372" bestFit="1" customWidth="1"/>
    <col min="12804" max="13056" width="9.140625" style="372"/>
    <col min="13057" max="13057" width="29.5703125" style="372" bestFit="1" customWidth="1"/>
    <col min="13058" max="13058" width="19.85546875" style="372" customWidth="1"/>
    <col min="13059" max="13059" width="12" style="372" bestFit="1" customWidth="1"/>
    <col min="13060" max="13312" width="9.140625" style="372"/>
    <col min="13313" max="13313" width="29.5703125" style="372" bestFit="1" customWidth="1"/>
    <col min="13314" max="13314" width="19.85546875" style="372" customWidth="1"/>
    <col min="13315" max="13315" width="12" style="372" bestFit="1" customWidth="1"/>
    <col min="13316" max="13568" width="9.140625" style="372"/>
    <col min="13569" max="13569" width="29.5703125" style="372" bestFit="1" customWidth="1"/>
    <col min="13570" max="13570" width="19.85546875" style="372" customWidth="1"/>
    <col min="13571" max="13571" width="12" style="372" bestFit="1" customWidth="1"/>
    <col min="13572" max="13824" width="9.140625" style="372"/>
    <col min="13825" max="13825" width="29.5703125" style="372" bestFit="1" customWidth="1"/>
    <col min="13826" max="13826" width="19.85546875" style="372" customWidth="1"/>
    <col min="13827" max="13827" width="12" style="372" bestFit="1" customWidth="1"/>
    <col min="13828" max="14080" width="9.140625" style="372"/>
    <col min="14081" max="14081" width="29.5703125" style="372" bestFit="1" customWidth="1"/>
    <col min="14082" max="14082" width="19.85546875" style="372" customWidth="1"/>
    <col min="14083" max="14083" width="12" style="372" bestFit="1" customWidth="1"/>
    <col min="14084" max="14336" width="9.140625" style="372"/>
    <col min="14337" max="14337" width="29.5703125" style="372" bestFit="1" customWidth="1"/>
    <col min="14338" max="14338" width="19.85546875" style="372" customWidth="1"/>
    <col min="14339" max="14339" width="12" style="372" bestFit="1" customWidth="1"/>
    <col min="14340" max="14592" width="9.140625" style="372"/>
    <col min="14593" max="14593" width="29.5703125" style="372" bestFit="1" customWidth="1"/>
    <col min="14594" max="14594" width="19.85546875" style="372" customWidth="1"/>
    <col min="14595" max="14595" width="12" style="372" bestFit="1" customWidth="1"/>
    <col min="14596" max="14848" width="9.140625" style="372"/>
    <col min="14849" max="14849" width="29.5703125" style="372" bestFit="1" customWidth="1"/>
    <col min="14850" max="14850" width="19.85546875" style="372" customWidth="1"/>
    <col min="14851" max="14851" width="12" style="372" bestFit="1" customWidth="1"/>
    <col min="14852" max="15104" width="9.140625" style="372"/>
    <col min="15105" max="15105" width="29.5703125" style="372" bestFit="1" customWidth="1"/>
    <col min="15106" max="15106" width="19.85546875" style="372" customWidth="1"/>
    <col min="15107" max="15107" width="12" style="372" bestFit="1" customWidth="1"/>
    <col min="15108" max="15360" width="9.140625" style="372"/>
    <col min="15361" max="15361" width="29.5703125" style="372" bestFit="1" customWidth="1"/>
    <col min="15362" max="15362" width="19.85546875" style="372" customWidth="1"/>
    <col min="15363" max="15363" width="12" style="372" bestFit="1" customWidth="1"/>
    <col min="15364" max="15616" width="9.140625" style="372"/>
    <col min="15617" max="15617" width="29.5703125" style="372" bestFit="1" customWidth="1"/>
    <col min="15618" max="15618" width="19.85546875" style="372" customWidth="1"/>
    <col min="15619" max="15619" width="12" style="372" bestFit="1" customWidth="1"/>
    <col min="15620" max="15872" width="9.140625" style="372"/>
    <col min="15873" max="15873" width="29.5703125" style="372" bestFit="1" customWidth="1"/>
    <col min="15874" max="15874" width="19.85546875" style="372" customWidth="1"/>
    <col min="15875" max="15875" width="12" style="372" bestFit="1" customWidth="1"/>
    <col min="15876" max="16128" width="9.140625" style="372"/>
    <col min="16129" max="16129" width="29.5703125" style="372" bestFit="1" customWidth="1"/>
    <col min="16130" max="16130" width="19.85546875" style="372" customWidth="1"/>
    <col min="16131" max="16131" width="12" style="372" bestFit="1" customWidth="1"/>
    <col min="16132" max="16384" width="9.140625" style="372"/>
  </cols>
  <sheetData>
    <row r="1" spans="1:2">
      <c r="A1" s="372" t="s">
        <v>845</v>
      </c>
      <c r="B1" s="407">
        <v>6.1</v>
      </c>
    </row>
    <row r="2" spans="1:2">
      <c r="A2" s="372" t="s">
        <v>846</v>
      </c>
      <c r="B2" s="411">
        <v>43213.396134259259</v>
      </c>
    </row>
    <row r="3" spans="1:2">
      <c r="A3" s="372" t="s">
        <v>847</v>
      </c>
      <c r="B3" s="408" t="s">
        <v>542</v>
      </c>
    </row>
    <row r="4" spans="1:2">
      <c r="A4" s="372" t="s">
        <v>848</v>
      </c>
      <c r="B4" s="408" t="s">
        <v>849</v>
      </c>
    </row>
    <row r="5" spans="1:2">
      <c r="A5" s="372" t="s">
        <v>850</v>
      </c>
      <c r="B5" s="408" t="s">
        <v>851</v>
      </c>
    </row>
    <row r="6" spans="1:2">
      <c r="A6" s="372" t="s">
        <v>852</v>
      </c>
    </row>
    <row r="7" spans="1:2">
      <c r="A7" s="372" t="s">
        <v>853</v>
      </c>
      <c r="B7" s="408" t="s">
        <v>320</v>
      </c>
    </row>
    <row r="8" spans="1:2">
      <c r="A8" s="372" t="s">
        <v>854</v>
      </c>
      <c r="B8" s="408" t="s">
        <v>855</v>
      </c>
    </row>
    <row r="9" spans="1:2">
      <c r="A9" s="372" t="s">
        <v>856</v>
      </c>
      <c r="B9" s="408" t="s">
        <v>893</v>
      </c>
    </row>
    <row r="10" spans="1:2">
      <c r="A10" s="372" t="s">
        <v>857</v>
      </c>
    </row>
    <row r="11" spans="1:2">
      <c r="A11" s="372" t="s">
        <v>858</v>
      </c>
    </row>
    <row r="12" spans="1:2">
      <c r="A12" s="372" t="s">
        <v>859</v>
      </c>
    </row>
    <row r="13" spans="1:2">
      <c r="A13" s="372" t="s">
        <v>860</v>
      </c>
    </row>
    <row r="14" spans="1:2">
      <c r="A14" s="372" t="s">
        <v>861</v>
      </c>
    </row>
    <row r="15" spans="1:2">
      <c r="A15" s="372" t="s">
        <v>862</v>
      </c>
    </row>
    <row r="16" spans="1:2">
      <c r="A16" s="372" t="s">
        <v>863</v>
      </c>
    </row>
    <row r="17" spans="1:4">
      <c r="A17" s="372" t="s">
        <v>864</v>
      </c>
      <c r="B17" s="408" t="s">
        <v>894</v>
      </c>
    </row>
    <row r="18" spans="1:4">
      <c r="A18" s="372" t="s">
        <v>865</v>
      </c>
      <c r="B18" s="408" t="s">
        <v>896</v>
      </c>
    </row>
    <row r="19" spans="1:4">
      <c r="A19" s="372" t="s">
        <v>866</v>
      </c>
      <c r="B19" s="408" t="s">
        <v>319</v>
      </c>
    </row>
    <row r="20" spans="1:4">
      <c r="A20" s="372" t="s">
        <v>867</v>
      </c>
      <c r="B20" s="409" t="s">
        <v>897</v>
      </c>
    </row>
    <row r="21" spans="1:4">
      <c r="A21" s="372" t="s">
        <v>868</v>
      </c>
      <c r="B21" s="408" t="s">
        <v>319</v>
      </c>
    </row>
    <row r="22" spans="1:4">
      <c r="A22" s="372" t="s">
        <v>869</v>
      </c>
      <c r="B22" s="409" t="s">
        <v>333</v>
      </c>
    </row>
    <row r="23" spans="1:4">
      <c r="A23" s="372" t="s">
        <v>470</v>
      </c>
      <c r="B23" s="407">
        <v>34.31</v>
      </c>
    </row>
    <row r="24" spans="1:4">
      <c r="A24" s="372" t="s">
        <v>469</v>
      </c>
      <c r="B24" s="408" t="s">
        <v>318</v>
      </c>
      <c r="D24" s="372" t="s">
        <v>251</v>
      </c>
    </row>
    <row r="25" spans="1:4">
      <c r="A25" s="372" t="s">
        <v>870</v>
      </c>
      <c r="B25" s="408" t="s">
        <v>898</v>
      </c>
    </row>
    <row r="26" spans="1:4">
      <c r="A26" s="372" t="s">
        <v>871</v>
      </c>
      <c r="B26" s="408">
        <v>0</v>
      </c>
    </row>
    <row r="27" spans="1:4">
      <c r="A27" s="372" t="s">
        <v>872</v>
      </c>
      <c r="B27" s="408" t="s">
        <v>873</v>
      </c>
    </row>
    <row r="28" spans="1:4">
      <c r="A28" s="372" t="s">
        <v>874</v>
      </c>
      <c r="B28" s="408" t="s">
        <v>875</v>
      </c>
    </row>
    <row r="29" spans="1:4">
      <c r="A29" s="372" t="s">
        <v>876</v>
      </c>
    </row>
    <row r="30" spans="1:4">
      <c r="A30" s="372" t="s">
        <v>877</v>
      </c>
    </row>
    <row r="31" spans="1:4">
      <c r="A31" s="372" t="s">
        <v>878</v>
      </c>
    </row>
    <row r="32" spans="1:4">
      <c r="A32" s="372" t="s">
        <v>879</v>
      </c>
      <c r="B32" s="407"/>
    </row>
    <row r="33" spans="1:2">
      <c r="A33" s="372" t="s">
        <v>880</v>
      </c>
      <c r="B33" s="407"/>
    </row>
    <row r="34" spans="1:2">
      <c r="A34" s="372" t="s">
        <v>881</v>
      </c>
      <c r="B34" s="407"/>
    </row>
    <row r="35" spans="1:2">
      <c r="A35" s="372" t="s">
        <v>882</v>
      </c>
      <c r="B35" s="408">
        <v>1000000</v>
      </c>
    </row>
    <row r="36" spans="1:2">
      <c r="A36" s="372" t="s">
        <v>883</v>
      </c>
      <c r="B36" s="408" t="s">
        <v>895</v>
      </c>
    </row>
    <row r="37" spans="1:2">
      <c r="A37" s="372" t="s">
        <v>884</v>
      </c>
      <c r="B37" s="408" t="s">
        <v>885</v>
      </c>
    </row>
    <row r="38" spans="1:2">
      <c r="A38" s="372" t="s">
        <v>886</v>
      </c>
      <c r="B38" s="408" t="s">
        <v>887</v>
      </c>
    </row>
    <row r="39" spans="1:2">
      <c r="A39" s="372" t="s">
        <v>888</v>
      </c>
      <c r="B39" s="408" t="s">
        <v>317</v>
      </c>
    </row>
    <row r="40" spans="1:2">
      <c r="A40" s="372" t="s">
        <v>889</v>
      </c>
      <c r="B40" s="408">
        <v>1500004829</v>
      </c>
    </row>
    <row r="41" spans="1:2">
      <c r="A41" s="372" t="s">
        <v>890</v>
      </c>
      <c r="B41" s="408">
        <v>1</v>
      </c>
    </row>
    <row r="42" spans="1:2">
      <c r="A42" s="410" t="s">
        <v>891</v>
      </c>
    </row>
    <row r="43" spans="1:2">
      <c r="A43" s="372" t="s">
        <v>892</v>
      </c>
    </row>
  </sheetData>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13"/>
  <sheetViews>
    <sheetView workbookViewId="0">
      <selection activeCell="E11" sqref="E11"/>
    </sheetView>
  </sheetViews>
  <sheetFormatPr defaultRowHeight="12.75"/>
  <cols>
    <col min="1" max="1" width="28.5703125" style="372" bestFit="1" customWidth="1"/>
    <col min="2" max="256" width="9.140625" style="372"/>
    <col min="257" max="257" width="28.5703125" style="372" bestFit="1" customWidth="1"/>
    <col min="258" max="512" width="9.140625" style="372"/>
    <col min="513" max="513" width="28.5703125" style="372" bestFit="1" customWidth="1"/>
    <col min="514" max="768" width="9.140625" style="372"/>
    <col min="769" max="769" width="28.5703125" style="372" bestFit="1" customWidth="1"/>
    <col min="770" max="1024" width="9.140625" style="372"/>
    <col min="1025" max="1025" width="28.5703125" style="372" bestFit="1" customWidth="1"/>
    <col min="1026" max="1280" width="9.140625" style="372"/>
    <col min="1281" max="1281" width="28.5703125" style="372" bestFit="1" customWidth="1"/>
    <col min="1282" max="1536" width="9.140625" style="372"/>
    <col min="1537" max="1537" width="28.5703125" style="372" bestFit="1" customWidth="1"/>
    <col min="1538" max="1792" width="9.140625" style="372"/>
    <col min="1793" max="1793" width="28.5703125" style="372" bestFit="1" customWidth="1"/>
    <col min="1794" max="2048" width="9.140625" style="372"/>
    <col min="2049" max="2049" width="28.5703125" style="372" bestFit="1" customWidth="1"/>
    <col min="2050" max="2304" width="9.140625" style="372"/>
    <col min="2305" max="2305" width="28.5703125" style="372" bestFit="1" customWidth="1"/>
    <col min="2306" max="2560" width="9.140625" style="372"/>
    <col min="2561" max="2561" width="28.5703125" style="372" bestFit="1" customWidth="1"/>
    <col min="2562" max="2816" width="9.140625" style="372"/>
    <col min="2817" max="2817" width="28.5703125" style="372" bestFit="1" customWidth="1"/>
    <col min="2818" max="3072" width="9.140625" style="372"/>
    <col min="3073" max="3073" width="28.5703125" style="372" bestFit="1" customWidth="1"/>
    <col min="3074" max="3328" width="9.140625" style="372"/>
    <col min="3329" max="3329" width="28.5703125" style="372" bestFit="1" customWidth="1"/>
    <col min="3330" max="3584" width="9.140625" style="372"/>
    <col min="3585" max="3585" width="28.5703125" style="372" bestFit="1" customWidth="1"/>
    <col min="3586" max="3840" width="9.140625" style="372"/>
    <col min="3841" max="3841" width="28.5703125" style="372" bestFit="1" customWidth="1"/>
    <col min="3842" max="4096" width="9.140625" style="372"/>
    <col min="4097" max="4097" width="28.5703125" style="372" bestFit="1" customWidth="1"/>
    <col min="4098" max="4352" width="9.140625" style="372"/>
    <col min="4353" max="4353" width="28.5703125" style="372" bestFit="1" customWidth="1"/>
    <col min="4354" max="4608" width="9.140625" style="372"/>
    <col min="4609" max="4609" width="28.5703125" style="372" bestFit="1" customWidth="1"/>
    <col min="4610" max="4864" width="9.140625" style="372"/>
    <col min="4865" max="4865" width="28.5703125" style="372" bestFit="1" customWidth="1"/>
    <col min="4866" max="5120" width="9.140625" style="372"/>
    <col min="5121" max="5121" width="28.5703125" style="372" bestFit="1" customWidth="1"/>
    <col min="5122" max="5376" width="9.140625" style="372"/>
    <col min="5377" max="5377" width="28.5703125" style="372" bestFit="1" customWidth="1"/>
    <col min="5378" max="5632" width="9.140625" style="372"/>
    <col min="5633" max="5633" width="28.5703125" style="372" bestFit="1" customWidth="1"/>
    <col min="5634" max="5888" width="9.140625" style="372"/>
    <col min="5889" max="5889" width="28.5703125" style="372" bestFit="1" customWidth="1"/>
    <col min="5890" max="6144" width="9.140625" style="372"/>
    <col min="6145" max="6145" width="28.5703125" style="372" bestFit="1" customWidth="1"/>
    <col min="6146" max="6400" width="9.140625" style="372"/>
    <col min="6401" max="6401" width="28.5703125" style="372" bestFit="1" customWidth="1"/>
    <col min="6402" max="6656" width="9.140625" style="372"/>
    <col min="6657" max="6657" width="28.5703125" style="372" bestFit="1" customWidth="1"/>
    <col min="6658" max="6912" width="9.140625" style="372"/>
    <col min="6913" max="6913" width="28.5703125" style="372" bestFit="1" customWidth="1"/>
    <col min="6914" max="7168" width="9.140625" style="372"/>
    <col min="7169" max="7169" width="28.5703125" style="372" bestFit="1" customWidth="1"/>
    <col min="7170" max="7424" width="9.140625" style="372"/>
    <col min="7425" max="7425" width="28.5703125" style="372" bestFit="1" customWidth="1"/>
    <col min="7426" max="7680" width="9.140625" style="372"/>
    <col min="7681" max="7681" width="28.5703125" style="372" bestFit="1" customWidth="1"/>
    <col min="7682" max="7936" width="9.140625" style="372"/>
    <col min="7937" max="7937" width="28.5703125" style="372" bestFit="1" customWidth="1"/>
    <col min="7938" max="8192" width="9.140625" style="372"/>
    <col min="8193" max="8193" width="28.5703125" style="372" bestFit="1" customWidth="1"/>
    <col min="8194" max="8448" width="9.140625" style="372"/>
    <col min="8449" max="8449" width="28.5703125" style="372" bestFit="1" customWidth="1"/>
    <col min="8450" max="8704" width="9.140625" style="372"/>
    <col min="8705" max="8705" width="28.5703125" style="372" bestFit="1" customWidth="1"/>
    <col min="8706" max="8960" width="9.140625" style="372"/>
    <col min="8961" max="8961" width="28.5703125" style="372" bestFit="1" customWidth="1"/>
    <col min="8962" max="9216" width="9.140625" style="372"/>
    <col min="9217" max="9217" width="28.5703125" style="372" bestFit="1" customWidth="1"/>
    <col min="9218" max="9472" width="9.140625" style="372"/>
    <col min="9473" max="9473" width="28.5703125" style="372" bestFit="1" customWidth="1"/>
    <col min="9474" max="9728" width="9.140625" style="372"/>
    <col min="9729" max="9729" width="28.5703125" style="372" bestFit="1" customWidth="1"/>
    <col min="9730" max="9984" width="9.140625" style="372"/>
    <col min="9985" max="9985" width="28.5703125" style="372" bestFit="1" customWidth="1"/>
    <col min="9986" max="10240" width="9.140625" style="372"/>
    <col min="10241" max="10241" width="28.5703125" style="372" bestFit="1" customWidth="1"/>
    <col min="10242" max="10496" width="9.140625" style="372"/>
    <col min="10497" max="10497" width="28.5703125" style="372" bestFit="1" customWidth="1"/>
    <col min="10498" max="10752" width="9.140625" style="372"/>
    <col min="10753" max="10753" width="28.5703125" style="372" bestFit="1" customWidth="1"/>
    <col min="10754" max="11008" width="9.140625" style="372"/>
    <col min="11009" max="11009" width="28.5703125" style="372" bestFit="1" customWidth="1"/>
    <col min="11010" max="11264" width="9.140625" style="372"/>
    <col min="11265" max="11265" width="28.5703125" style="372" bestFit="1" customWidth="1"/>
    <col min="11266" max="11520" width="9.140625" style="372"/>
    <col min="11521" max="11521" width="28.5703125" style="372" bestFit="1" customWidth="1"/>
    <col min="11522" max="11776" width="9.140625" style="372"/>
    <col min="11777" max="11777" width="28.5703125" style="372" bestFit="1" customWidth="1"/>
    <col min="11778" max="12032" width="9.140625" style="372"/>
    <col min="12033" max="12033" width="28.5703125" style="372" bestFit="1" customWidth="1"/>
    <col min="12034" max="12288" width="9.140625" style="372"/>
    <col min="12289" max="12289" width="28.5703125" style="372" bestFit="1" customWidth="1"/>
    <col min="12290" max="12544" width="9.140625" style="372"/>
    <col min="12545" max="12545" width="28.5703125" style="372" bestFit="1" customWidth="1"/>
    <col min="12546" max="12800" width="9.140625" style="372"/>
    <col min="12801" max="12801" width="28.5703125" style="372" bestFit="1" customWidth="1"/>
    <col min="12802" max="13056" width="9.140625" style="372"/>
    <col min="13057" max="13057" width="28.5703125" style="372" bestFit="1" customWidth="1"/>
    <col min="13058" max="13312" width="9.140625" style="372"/>
    <col min="13313" max="13313" width="28.5703125" style="372" bestFit="1" customWidth="1"/>
    <col min="13314" max="13568" width="9.140625" style="372"/>
    <col min="13569" max="13569" width="28.5703125" style="372" bestFit="1" customWidth="1"/>
    <col min="13570" max="13824" width="9.140625" style="372"/>
    <col min="13825" max="13825" width="28.5703125" style="372" bestFit="1" customWidth="1"/>
    <col min="13826" max="14080" width="9.140625" style="372"/>
    <col min="14081" max="14081" width="28.5703125" style="372" bestFit="1" customWidth="1"/>
    <col min="14082" max="14336" width="9.140625" style="372"/>
    <col min="14337" max="14337" width="28.5703125" style="372" bestFit="1" customWidth="1"/>
    <col min="14338" max="14592" width="9.140625" style="372"/>
    <col min="14593" max="14593" width="28.5703125" style="372" bestFit="1" customWidth="1"/>
    <col min="14594" max="14848" width="9.140625" style="372"/>
    <col min="14849" max="14849" width="28.5703125" style="372" bestFit="1" customWidth="1"/>
    <col min="14850" max="15104" width="9.140625" style="372"/>
    <col min="15105" max="15105" width="28.5703125" style="372" bestFit="1" customWidth="1"/>
    <col min="15106" max="15360" width="9.140625" style="372"/>
    <col min="15361" max="15361" width="28.5703125" style="372" bestFit="1" customWidth="1"/>
    <col min="15362" max="15616" width="9.140625" style="372"/>
    <col min="15617" max="15617" width="28.5703125" style="372" bestFit="1" customWidth="1"/>
    <col min="15618" max="15872" width="9.140625" style="372"/>
    <col min="15873" max="15873" width="28.5703125" style="372" bestFit="1" customWidth="1"/>
    <col min="15874" max="16128" width="9.140625" style="372"/>
    <col min="16129" max="16129" width="28.5703125" style="372" bestFit="1" customWidth="1"/>
    <col min="16130" max="16384" width="9.140625" style="372"/>
  </cols>
  <sheetData>
    <row r="1" spans="1:1">
      <c r="A1" s="412" t="s">
        <v>899</v>
      </c>
    </row>
    <row r="2" spans="1:1">
      <c r="A2" s="412" t="s">
        <v>904</v>
      </c>
    </row>
    <row r="3" spans="1:1">
      <c r="A3" s="412" t="s">
        <v>905</v>
      </c>
    </row>
    <row r="4" spans="1:1">
      <c r="A4" s="412" t="s">
        <v>906</v>
      </c>
    </row>
    <row r="5" spans="1:1">
      <c r="A5" s="412" t="s">
        <v>907</v>
      </c>
    </row>
    <row r="6" spans="1:1">
      <c r="A6" s="412" t="s">
        <v>900</v>
      </c>
    </row>
    <row r="7" spans="1:1">
      <c r="A7" s="412" t="s">
        <v>908</v>
      </c>
    </row>
    <row r="8" spans="1:1">
      <c r="A8" s="412" t="s">
        <v>909</v>
      </c>
    </row>
    <row r="9" spans="1:1">
      <c r="A9" s="412" t="s">
        <v>910</v>
      </c>
    </row>
    <row r="10" spans="1:1">
      <c r="A10" s="412" t="s">
        <v>901</v>
      </c>
    </row>
    <row r="11" spans="1:1">
      <c r="A11" s="412" t="s">
        <v>911</v>
      </c>
    </row>
    <row r="12" spans="1:1">
      <c r="A12" s="412" t="s">
        <v>902</v>
      </c>
    </row>
    <row r="13" spans="1:1">
      <c r="A13" s="412" t="s">
        <v>903</v>
      </c>
    </row>
  </sheetData>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AI218"/>
  <sheetViews>
    <sheetView showGridLines="0" zoomScale="85" zoomScaleNormal="85" workbookViewId="0">
      <pane xSplit="2" ySplit="3" topLeftCell="C4" activePane="bottomRight" state="frozen"/>
      <selection activeCell="B22" sqref="A1:IV65536"/>
      <selection pane="topRight" activeCell="B22" sqref="A1:IV65536"/>
      <selection pane="bottomLeft" activeCell="B22" sqref="A1:IV65536"/>
      <selection pane="bottomRight" activeCell="C4" sqref="C4"/>
    </sheetView>
  </sheetViews>
  <sheetFormatPr defaultRowHeight="12.75"/>
  <cols>
    <col min="1" max="1" width="4" customWidth="1"/>
    <col min="2" max="2" width="64.7109375" customWidth="1"/>
    <col min="3" max="3" width="2.140625" customWidth="1"/>
  </cols>
  <sheetData>
    <row r="3" spans="1:35">
      <c r="B3" s="2"/>
      <c r="C3" s="2"/>
      <c r="D3" s="3" t="str">
        <f>QTS!D11</f>
        <v>1Q12</v>
      </c>
      <c r="E3" s="3" t="str">
        <f>QTS!E11</f>
        <v>2Q12</v>
      </c>
      <c r="F3" s="3" t="str">
        <f>QTS!F11</f>
        <v>3Q12</v>
      </c>
      <c r="G3" s="3" t="str">
        <f>QTS!G11</f>
        <v>4Q12</v>
      </c>
      <c r="H3" s="3" t="str">
        <f>QTS!H11</f>
        <v>1Q13</v>
      </c>
      <c r="I3" s="3" t="str">
        <f>QTS!I11</f>
        <v>2Q13</v>
      </c>
      <c r="J3" s="3" t="str">
        <f>QTS!J11</f>
        <v>3Q13</v>
      </c>
      <c r="K3" s="3" t="str">
        <f>QTS!K11</f>
        <v>4Q13</v>
      </c>
      <c r="L3" s="3" t="str">
        <f>QTS!L11</f>
        <v>1Q14</v>
      </c>
      <c r="M3" s="3" t="str">
        <f>QTS!M11</f>
        <v>2Q14</v>
      </c>
      <c r="N3" s="3" t="str">
        <f>QTS!N11</f>
        <v>3Q14</v>
      </c>
      <c r="O3" s="3" t="str">
        <f>QTS!O11</f>
        <v>4Q14</v>
      </c>
      <c r="P3" s="3" t="str">
        <f>QTS!P11</f>
        <v>1Q15</v>
      </c>
      <c r="Q3" s="3" t="str">
        <f>QTS!Q11</f>
        <v>2Q15</v>
      </c>
      <c r="R3" s="3" t="str">
        <f>QTS!R11</f>
        <v>3Q15</v>
      </c>
      <c r="S3" s="3" t="str">
        <f>QTS!S11</f>
        <v>4Q15</v>
      </c>
      <c r="T3" s="3" t="str">
        <f>QTS!T11</f>
        <v>1Q16</v>
      </c>
      <c r="U3" s="3" t="str">
        <f>QTS!U11</f>
        <v>2Q16</v>
      </c>
      <c r="V3" s="3" t="str">
        <f>QTS!V11</f>
        <v>3Q16</v>
      </c>
      <c r="W3" s="3" t="str">
        <f>QTS!W11</f>
        <v>4Q16</v>
      </c>
      <c r="X3" s="3" t="str">
        <f>QTS!X11</f>
        <v>1Q17</v>
      </c>
      <c r="Y3" s="3" t="str">
        <f>QTS!Y11</f>
        <v>2Q17</v>
      </c>
      <c r="Z3" s="3" t="str">
        <f>QTS!Z11</f>
        <v>3Q17</v>
      </c>
      <c r="AA3" s="3" t="str">
        <f>QTS!AA11</f>
        <v>4Q17</v>
      </c>
      <c r="AB3" s="66"/>
      <c r="AC3" s="3" t="str">
        <f>QTS!BA11</f>
        <v>2010A</v>
      </c>
      <c r="AD3" s="3" t="str">
        <f>QTS!BB11</f>
        <v>2011A</v>
      </c>
      <c r="AE3" s="3" t="str">
        <f>QTS!BC11</f>
        <v>2012A</v>
      </c>
      <c r="AF3" s="3" t="str">
        <f>QTS!BD11</f>
        <v>2013A</v>
      </c>
      <c r="AG3" s="3" t="str">
        <f>QTS!BE11</f>
        <v>2014A</v>
      </c>
      <c r="AH3" s="3">
        <f>QTS!BF11</f>
        <v>2015</v>
      </c>
      <c r="AI3" s="66"/>
    </row>
    <row r="5" spans="1:35">
      <c r="A5" s="1" t="s">
        <v>24</v>
      </c>
      <c r="B5" s="32" t="s">
        <v>265</v>
      </c>
      <c r="C5" s="32"/>
      <c r="D5" s="210">
        <f>Link!D4</f>
        <v>34.643000000000001</v>
      </c>
      <c r="E5" s="210">
        <f>Link!E4</f>
        <v>36.689000000000007</v>
      </c>
      <c r="F5" s="210">
        <f>Link!F4</f>
        <v>36.253999999999998</v>
      </c>
      <c r="G5" s="210">
        <f>Link!G4</f>
        <v>38.172999999999995</v>
      </c>
      <c r="H5" s="210">
        <f>Link!H4</f>
        <v>41.497999999999998</v>
      </c>
      <c r="I5" s="210">
        <f>Link!I4</f>
        <v>42.940000000000005</v>
      </c>
      <c r="J5" s="210">
        <f>Link!J4</f>
        <v>46.02</v>
      </c>
      <c r="K5" s="210">
        <f>Link!K4</f>
        <v>47.429000000000002</v>
      </c>
      <c r="L5" s="210">
        <f>Link!L4</f>
        <v>48.943000000000005</v>
      </c>
      <c r="M5" s="210">
        <f>Link!M4</f>
        <v>51.337999999999994</v>
      </c>
      <c r="N5" s="210">
        <f>Link!N4</f>
        <v>57.945</v>
      </c>
      <c r="O5" s="210">
        <f>Link!O4</f>
        <v>59.562999999999995</v>
      </c>
      <c r="P5" s="210">
        <f>Link!P4</f>
        <v>61.386000000000003</v>
      </c>
      <c r="Q5" s="210">
        <f>Link!Q4</f>
        <v>68.117000000000004</v>
      </c>
      <c r="R5" s="210">
        <f>Link!R4</f>
        <v>88.89</v>
      </c>
      <c r="S5" s="210">
        <f>Link!S4</f>
        <v>92.690000000000012</v>
      </c>
      <c r="T5" s="210">
        <f>QTS!T18</f>
        <v>94.768000000000001</v>
      </c>
      <c r="U5" s="210">
        <f>QTS!U18</f>
        <v>98.687000000000012</v>
      </c>
      <c r="V5" s="210">
        <f>QTS!V18</f>
        <v>103.46499999999999</v>
      </c>
      <c r="W5" s="210">
        <f>QTS!W18</f>
        <v>105.44300000000001</v>
      </c>
      <c r="X5" s="210">
        <f>QTS!X18</f>
        <v>105.96400000000001</v>
      </c>
      <c r="Y5" s="210">
        <f>QTS!Y18</f>
        <v>107.86799999999999</v>
      </c>
      <c r="Z5" s="210">
        <f>QTS!Z18</f>
        <v>113.767</v>
      </c>
      <c r="AA5" s="210">
        <f>QTS!AA18</f>
        <v>118.91099999999999</v>
      </c>
    </row>
    <row r="6" spans="1:35">
      <c r="B6" s="104" t="s">
        <v>267</v>
      </c>
      <c r="C6" s="32"/>
      <c r="D6" s="32"/>
      <c r="E6" s="193"/>
      <c r="F6" s="193"/>
      <c r="G6" s="193"/>
      <c r="H6" s="193">
        <f>+H5/D5-1</f>
        <v>0.19787547267846306</v>
      </c>
      <c r="I6" s="193">
        <f t="shared" ref="I6:S6" si="0">+I5/E5-1</f>
        <v>0.17037804246504384</v>
      </c>
      <c r="J6" s="193">
        <f t="shared" si="0"/>
        <v>0.26937717217410517</v>
      </c>
      <c r="K6" s="193">
        <f t="shared" si="0"/>
        <v>0.2424750478086608</v>
      </c>
      <c r="L6" s="193">
        <f t="shared" si="0"/>
        <v>0.1794062364451301</v>
      </c>
      <c r="M6" s="193">
        <f t="shared" si="0"/>
        <v>0.19557522123893767</v>
      </c>
      <c r="N6" s="193">
        <f t="shared" si="0"/>
        <v>0.25912646675358531</v>
      </c>
      <c r="O6" s="193">
        <f t="shared" si="0"/>
        <v>0.25583503763520188</v>
      </c>
      <c r="P6" s="193">
        <f t="shared" si="0"/>
        <v>0.25423451770426819</v>
      </c>
      <c r="Q6" s="193">
        <f t="shared" si="0"/>
        <v>0.32683392418871038</v>
      </c>
      <c r="R6" s="193">
        <f t="shared" si="0"/>
        <v>0.53404090085425837</v>
      </c>
      <c r="S6" s="193">
        <f t="shared" si="0"/>
        <v>0.55616741937108638</v>
      </c>
      <c r="T6" s="193">
        <f t="shared" ref="T6:AA6" si="1">+T5/P5-1</f>
        <v>0.54380477633336577</v>
      </c>
      <c r="U6" s="193">
        <f t="shared" si="1"/>
        <v>0.44878664650527766</v>
      </c>
      <c r="V6" s="193">
        <f t="shared" si="1"/>
        <v>0.16396670041624462</v>
      </c>
      <c r="W6" s="193">
        <f t="shared" si="1"/>
        <v>0.13758765778401116</v>
      </c>
      <c r="X6" s="193">
        <f t="shared" si="1"/>
        <v>0.11814114469019099</v>
      </c>
      <c r="Y6" s="193">
        <f t="shared" si="1"/>
        <v>9.3031503642830193E-2</v>
      </c>
      <c r="Z6" s="193">
        <f t="shared" si="1"/>
        <v>9.9569902865703552E-2</v>
      </c>
      <c r="AA6" s="193">
        <f t="shared" si="1"/>
        <v>0.12772777709283667</v>
      </c>
    </row>
    <row r="7" spans="1:35">
      <c r="B7" s="104" t="s">
        <v>291</v>
      </c>
      <c r="C7" s="32"/>
      <c r="D7" s="32"/>
      <c r="E7" s="193">
        <f>+E5/D5-1</f>
        <v>5.9059550269896066E-2</v>
      </c>
      <c r="F7" s="193">
        <f t="shared" ref="F7:S7" si="2">+F5/E5-1</f>
        <v>-1.1856414729210618E-2</v>
      </c>
      <c r="G7" s="193">
        <f t="shared" si="2"/>
        <v>5.2932090252109987E-2</v>
      </c>
      <c r="H7" s="193">
        <f t="shared" si="2"/>
        <v>8.7103450082519185E-2</v>
      </c>
      <c r="I7" s="193">
        <f t="shared" si="2"/>
        <v>3.4748662586148837E-2</v>
      </c>
      <c r="J7" s="193">
        <f t="shared" si="2"/>
        <v>7.1727992547740982E-2</v>
      </c>
      <c r="K7" s="193">
        <f t="shared" si="2"/>
        <v>3.0617122990004297E-2</v>
      </c>
      <c r="L7" s="193">
        <f t="shared" si="2"/>
        <v>3.1921398300617909E-2</v>
      </c>
      <c r="M7" s="193">
        <f t="shared" si="2"/>
        <v>4.8934474797212912E-2</v>
      </c>
      <c r="N7" s="193">
        <f t="shared" si="2"/>
        <v>0.12869609256301384</v>
      </c>
      <c r="O7" s="193">
        <f t="shared" si="2"/>
        <v>2.792303045991873E-2</v>
      </c>
      <c r="P7" s="193">
        <f t="shared" si="2"/>
        <v>3.0606248845760131E-2</v>
      </c>
      <c r="Q7" s="193">
        <f t="shared" si="2"/>
        <v>0.10965040888802013</v>
      </c>
      <c r="R7" s="193">
        <f t="shared" si="2"/>
        <v>0.30496058252712244</v>
      </c>
      <c r="S7" s="193">
        <f t="shared" si="2"/>
        <v>4.2749465631679806E-2</v>
      </c>
      <c r="T7" s="193">
        <f t="shared" ref="T7:AA7" si="3">+T5/S5-1</f>
        <v>2.2418815406192616E-2</v>
      </c>
      <c r="U7" s="193">
        <f t="shared" si="3"/>
        <v>4.1353621475603619E-2</v>
      </c>
      <c r="V7" s="193">
        <f t="shared" si="3"/>
        <v>4.8415698116266448E-2</v>
      </c>
      <c r="W7" s="193">
        <f t="shared" si="3"/>
        <v>1.9117575991881575E-2</v>
      </c>
      <c r="X7" s="193">
        <f t="shared" si="3"/>
        <v>4.9410582020616989E-3</v>
      </c>
      <c r="Y7" s="193">
        <f t="shared" si="3"/>
        <v>1.7968366615076725E-2</v>
      </c>
      <c r="Z7" s="193">
        <f t="shared" si="3"/>
        <v>5.4687210294063204E-2</v>
      </c>
      <c r="AA7" s="193">
        <f t="shared" si="3"/>
        <v>4.5215220582418336E-2</v>
      </c>
    </row>
    <row r="8" spans="1:35">
      <c r="P8" s="58"/>
    </row>
    <row r="10" spans="1:35">
      <c r="I10" s="224"/>
      <c r="J10" s="224"/>
      <c r="K10" s="224"/>
      <c r="L10" s="224"/>
      <c r="M10" s="224"/>
      <c r="N10" s="224"/>
      <c r="O10" s="224"/>
      <c r="P10" s="224"/>
    </row>
    <row r="11" spans="1:35">
      <c r="I11" s="224"/>
      <c r="J11" s="224"/>
      <c r="K11" s="224"/>
      <c r="L11" s="224"/>
      <c r="M11" s="224"/>
      <c r="N11" s="224"/>
      <c r="O11" s="224"/>
      <c r="P11" s="224"/>
    </row>
    <row r="39" spans="1:27">
      <c r="A39" s="1" t="s">
        <v>24</v>
      </c>
      <c r="B39" s="32" t="s">
        <v>19</v>
      </c>
      <c r="C39" s="32"/>
      <c r="D39" s="210">
        <f>Link!D14</f>
        <v>12.502000000000002</v>
      </c>
      <c r="E39" s="210">
        <f>Link!E14</f>
        <v>14.751000000000003</v>
      </c>
      <c r="F39" s="210">
        <f>Link!F14</f>
        <v>13.390999999999996</v>
      </c>
      <c r="G39" s="210">
        <f>Link!G14</f>
        <v>14.686</v>
      </c>
      <c r="H39" s="210">
        <f>Link!H14</f>
        <v>16.757999999999996</v>
      </c>
      <c r="I39" s="210">
        <f>Link!I14</f>
        <v>17.690000000000001</v>
      </c>
      <c r="J39" s="210">
        <f>Link!J14</f>
        <v>19.694000000000006</v>
      </c>
      <c r="K39" s="210">
        <f>Link!K14</f>
        <v>21.228000000000002</v>
      </c>
      <c r="L39" s="210">
        <f>Link!L14</f>
        <v>21.635000000000005</v>
      </c>
      <c r="M39" s="210">
        <f>Link!M14</f>
        <v>23.282999999999998</v>
      </c>
      <c r="N39" s="210">
        <f>Link!N14</f>
        <v>26.079000000000004</v>
      </c>
      <c r="O39" s="210">
        <f>Link!O14</f>
        <v>29.027999999999995</v>
      </c>
      <c r="P39" s="210">
        <f>Link!P14</f>
        <v>28.034000000000002</v>
      </c>
      <c r="Q39" s="210">
        <f>Link!Q14</f>
        <v>31.828000000000007</v>
      </c>
      <c r="R39" s="210">
        <f>Link!R14</f>
        <v>39.131</v>
      </c>
      <c r="S39" s="210">
        <f>Link!S14</f>
        <v>41.047000000000004</v>
      </c>
      <c r="T39" s="210">
        <f>QTS!T113</f>
        <v>43.010999999999996</v>
      </c>
      <c r="U39" s="210">
        <f>QTS!U113</f>
        <v>45.613000000000014</v>
      </c>
      <c r="V39" s="210">
        <f>QTS!V113</f>
        <v>47.30599999999999</v>
      </c>
      <c r="W39" s="210">
        <f>QTS!W113</f>
        <v>48.404000000000003</v>
      </c>
      <c r="X39" s="210">
        <f>QTS!X113</f>
        <v>48.281000000000013</v>
      </c>
      <c r="Y39" s="210">
        <f>QTS!Y113</f>
        <v>49.245999999999995</v>
      </c>
      <c r="Z39" s="210">
        <f>QTS!Z113</f>
        <v>52.948999999999984</v>
      </c>
      <c r="AA39" s="210">
        <f>QTS!AA113</f>
        <v>57.49799999999999</v>
      </c>
    </row>
    <row r="40" spans="1:27">
      <c r="B40" s="104" t="s">
        <v>269</v>
      </c>
      <c r="C40" s="32"/>
      <c r="D40" s="32"/>
      <c r="E40" s="213">
        <f>Link!E15</f>
        <v>0.40205511188639648</v>
      </c>
      <c r="F40" s="213">
        <f>Link!F15</f>
        <v>0.36936613890880998</v>
      </c>
      <c r="G40" s="213">
        <f>Link!G15</f>
        <v>0.38472218583815793</v>
      </c>
      <c r="H40" s="213">
        <f>Link!H15</f>
        <v>0.40382669044291281</v>
      </c>
      <c r="I40" s="213">
        <f>Link!I15</f>
        <v>0.41197019096413601</v>
      </c>
      <c r="J40" s="213">
        <f>Link!J15</f>
        <v>0.42794437201216873</v>
      </c>
      <c r="K40" s="213">
        <f>Link!K15</f>
        <v>0.44757426890720869</v>
      </c>
      <c r="L40" s="213">
        <f>Link!L15</f>
        <v>0.44204482765666187</v>
      </c>
      <c r="M40" s="213">
        <f>Link!M15</f>
        <v>0.45352370563714989</v>
      </c>
      <c r="N40" s="213">
        <f>Link!N15</f>
        <v>0.45006471654154812</v>
      </c>
      <c r="O40" s="213">
        <f>Link!O15</f>
        <v>0.48734952907006024</v>
      </c>
      <c r="P40" s="213">
        <f>Link!P15</f>
        <v>0.45668393444759392</v>
      </c>
      <c r="Q40" s="213">
        <f>Link!Q15</f>
        <v>0.46725487029669543</v>
      </c>
      <c r="R40" s="213">
        <f>Link!R15</f>
        <v>0.44021824727190911</v>
      </c>
      <c r="S40" s="213">
        <f>Link!S15</f>
        <v>0.44284173049951447</v>
      </c>
      <c r="T40" s="213">
        <f>QTS!T114</f>
        <v>0.45385573189262196</v>
      </c>
      <c r="U40" s="213">
        <f>QTS!U114</f>
        <v>0.46219866851763663</v>
      </c>
      <c r="V40" s="213">
        <f>QTS!V114</f>
        <v>0.45721741651766296</v>
      </c>
      <c r="W40" s="213">
        <f>QTS!W114</f>
        <v>0.45905370674203122</v>
      </c>
      <c r="X40" s="213">
        <f>QTS!X114</f>
        <v>0.45563587633535924</v>
      </c>
      <c r="Y40" s="213">
        <f>QTS!Y114</f>
        <v>0.45653947417213631</v>
      </c>
      <c r="Z40" s="213">
        <f>QTS!Z114</f>
        <v>0.46541615758523991</v>
      </c>
      <c r="AA40" s="213">
        <f>QTS!AA114</f>
        <v>0.48353810833312305</v>
      </c>
    </row>
    <row r="57" spans="1:27">
      <c r="A57" s="1" t="s">
        <v>24</v>
      </c>
      <c r="B57" s="32" t="s">
        <v>186</v>
      </c>
      <c r="C57" s="32"/>
      <c r="D57" s="210"/>
      <c r="E57" s="210"/>
      <c r="F57" s="210"/>
      <c r="G57" s="210"/>
      <c r="H57" s="210">
        <f>Link!H31</f>
        <v>41.503999999999998</v>
      </c>
      <c r="I57" s="210">
        <f>Link!I31</f>
        <v>45.022000000000006</v>
      </c>
      <c r="J57" s="210">
        <f>Link!J31</f>
        <v>37.572000000000003</v>
      </c>
      <c r="K57" s="210">
        <f>Link!K31</f>
        <v>44.739999999999981</v>
      </c>
      <c r="L57" s="210">
        <f>Link!L31</f>
        <v>59.164999999999999</v>
      </c>
      <c r="M57" s="210">
        <f>Link!M31</f>
        <v>128.292</v>
      </c>
      <c r="N57" s="210">
        <f>Link!N31</f>
        <v>59.615000000000016</v>
      </c>
      <c r="O57" s="210">
        <f>Link!O31</f>
        <v>45.136999999999993</v>
      </c>
      <c r="P57" s="210">
        <f>Link!P31</f>
        <v>73.399000000000001</v>
      </c>
      <c r="Q57" s="210">
        <f>Link!Q31</f>
        <v>59.615999999999985</v>
      </c>
      <c r="R57" s="210">
        <f>Link!R31</f>
        <v>82.006</v>
      </c>
      <c r="S57" s="210">
        <f>Link!S31</f>
        <v>71.72199999999998</v>
      </c>
      <c r="T57" s="210">
        <f>QTS!T321</f>
        <v>78.052999999999997</v>
      </c>
      <c r="U57" s="210">
        <f>QTS!U321</f>
        <v>194.23099999999999</v>
      </c>
      <c r="V57" s="210">
        <f>QTS!V321</f>
        <v>48.448000000000008</v>
      </c>
      <c r="W57" s="210">
        <f>QTS!W321</f>
        <v>132.23999999999998</v>
      </c>
      <c r="X57" s="210">
        <f>QTS!X321</f>
        <v>66.119</v>
      </c>
      <c r="Y57" s="210">
        <f>QTS!Y321</f>
        <v>78.718000000000018</v>
      </c>
      <c r="Z57" s="210">
        <f>QTS!Z321</f>
        <v>139.14699999999999</v>
      </c>
      <c r="AA57" s="210">
        <f>QTS!AA321</f>
        <v>150.36799999999999</v>
      </c>
    </row>
    <row r="58" spans="1:27">
      <c r="B58" s="104" t="s">
        <v>271</v>
      </c>
      <c r="C58" s="32"/>
      <c r="D58" s="32"/>
      <c r="E58" s="213"/>
      <c r="F58" s="213"/>
      <c r="G58" s="213"/>
      <c r="H58" s="213">
        <f>Link!H32</f>
        <v>1.0001445852812183</v>
      </c>
      <c r="I58" s="213">
        <f>Link!I32</f>
        <v>1.0484862598975315</v>
      </c>
      <c r="J58" s="213">
        <f>Link!J32</f>
        <v>0.81642764015645375</v>
      </c>
      <c r="K58" s="213">
        <f>Link!K32</f>
        <v>0.94330472917413355</v>
      </c>
      <c r="L58" s="213">
        <f>Link!L32</f>
        <v>1.2088551989048484</v>
      </c>
      <c r="M58" s="213">
        <f>Link!M32</f>
        <v>2.4989676263196854</v>
      </c>
      <c r="N58" s="213">
        <f>Link!N32</f>
        <v>1.0288204331693851</v>
      </c>
      <c r="O58" s="213">
        <f>Link!O32</f>
        <v>0.75780266272686059</v>
      </c>
      <c r="P58" s="213">
        <f>Link!P32</f>
        <v>1.1956960870556803</v>
      </c>
      <c r="Q58" s="213">
        <f>Link!Q32</f>
        <v>0.87520002348899661</v>
      </c>
      <c r="R58" s="213">
        <f>Link!R32</f>
        <v>0.92255596805039941</v>
      </c>
      <c r="S58" s="213">
        <f>Link!S32</f>
        <v>0.77378357967418243</v>
      </c>
      <c r="T58" s="213">
        <f>QTS!T322</f>
        <v>0.82362189768698291</v>
      </c>
      <c r="U58" s="213">
        <f>QTS!U322</f>
        <v>1.9681518335748374</v>
      </c>
      <c r="V58" s="213">
        <f>QTS!V322</f>
        <v>0.46825496544725281</v>
      </c>
      <c r="W58" s="213">
        <f>QTS!W322</f>
        <v>1.2541373064119947</v>
      </c>
      <c r="X58" s="213">
        <f>QTS!X322</f>
        <v>0.6239760673436261</v>
      </c>
      <c r="Y58" s="213">
        <f>QTS!Y322</f>
        <v>0.72976230207290416</v>
      </c>
      <c r="Z58" s="213">
        <f>QTS!Z322</f>
        <v>1.223087538565665</v>
      </c>
      <c r="AA58" s="213">
        <f>QTS!AA322</f>
        <v>1.264542388845439</v>
      </c>
    </row>
    <row r="75" spans="1:27">
      <c r="A75" s="1" t="s">
        <v>24</v>
      </c>
      <c r="B75" s="32" t="s">
        <v>312</v>
      </c>
      <c r="C75" s="32"/>
      <c r="D75" s="210">
        <f>QTS!D27</f>
        <v>10.738333333333332</v>
      </c>
      <c r="E75" s="210">
        <f>QTS!E27</f>
        <v>11.394666666666668</v>
      </c>
      <c r="F75" s="210">
        <f>QTS!F27</f>
        <v>11.292999999999999</v>
      </c>
      <c r="G75" s="210">
        <f>QTS!G27</f>
        <v>11.658999999999999</v>
      </c>
      <c r="H75" s="210">
        <f>QTS!H27</f>
        <v>12.638666666666666</v>
      </c>
      <c r="I75" s="210">
        <f>QTS!I27</f>
        <v>13.036000000000001</v>
      </c>
      <c r="J75" s="210">
        <f>QTS!J27</f>
        <v>13.996</v>
      </c>
      <c r="K75" s="210">
        <f>QTS!K27</f>
        <v>14.608333333333334</v>
      </c>
      <c r="L75" s="210">
        <f>QTS!L27</f>
        <v>14.936666666666667</v>
      </c>
      <c r="M75" s="210">
        <f>QTS!M27</f>
        <v>15.645333333333333</v>
      </c>
      <c r="N75" s="210">
        <f>QTS!N27</f>
        <v>16.896666666666665</v>
      </c>
      <c r="O75" s="210">
        <f>QTS!O27</f>
        <v>17.814666666666668</v>
      </c>
      <c r="P75" s="210">
        <f>QTS!P27</f>
        <v>18.376000000000001</v>
      </c>
      <c r="Q75" s="210">
        <f>QTS!Q27</f>
        <v>20.137666666666664</v>
      </c>
      <c r="R75" s="210">
        <f>QTS!R27</f>
        <v>27.105666666666668</v>
      </c>
      <c r="S75" s="210">
        <f>QTS!S27</f>
        <v>28.548666666666662</v>
      </c>
      <c r="T75" s="210">
        <f>QTS!T27</f>
        <v>29.105333333333334</v>
      </c>
      <c r="U75" s="210">
        <f>QTS!U27</f>
        <v>29.561666666666667</v>
      </c>
      <c r="V75" s="210">
        <f>QTS!V27</f>
        <v>31.082666666666665</v>
      </c>
      <c r="W75" s="210">
        <f>QTS!W27</f>
        <v>31.654</v>
      </c>
      <c r="X75" s="210">
        <f>QTS!X27</f>
        <v>32.027333333333338</v>
      </c>
      <c r="Y75" s="210">
        <f>QTS!Y27</f>
        <v>32.549666666666667</v>
      </c>
      <c r="Z75" s="210">
        <f>QTS!Z27</f>
        <v>34.018333333333338</v>
      </c>
      <c r="AA75" s="210">
        <f>QTS!AA27</f>
        <v>35.166333333333334</v>
      </c>
    </row>
    <row r="76" spans="1:27">
      <c r="A76" s="1"/>
      <c r="B76" s="32" t="s">
        <v>8</v>
      </c>
      <c r="C76" s="32"/>
      <c r="D76" s="210">
        <f>QTS!D18</f>
        <v>34.643000000000001</v>
      </c>
      <c r="E76" s="210">
        <f>QTS!E18</f>
        <v>36.689000000000007</v>
      </c>
      <c r="F76" s="210">
        <f>QTS!F18</f>
        <v>36.253999999999998</v>
      </c>
      <c r="G76" s="210">
        <f>QTS!G18</f>
        <v>38.172999999999995</v>
      </c>
      <c r="H76" s="210">
        <f>QTS!H18</f>
        <v>41.497999999999998</v>
      </c>
      <c r="I76" s="210">
        <f>QTS!I18</f>
        <v>42.940000000000005</v>
      </c>
      <c r="J76" s="210">
        <f>QTS!J18</f>
        <v>46.02</v>
      </c>
      <c r="K76" s="210">
        <f>QTS!K18</f>
        <v>47.429000000000002</v>
      </c>
      <c r="L76" s="210">
        <f>QTS!L18</f>
        <v>48.943000000000005</v>
      </c>
      <c r="M76" s="210">
        <f>QTS!M18</f>
        <v>51.337999999999994</v>
      </c>
      <c r="N76" s="210">
        <f>QTS!N18</f>
        <v>57.945</v>
      </c>
      <c r="O76" s="210">
        <f>QTS!O18</f>
        <v>59.562999999999995</v>
      </c>
      <c r="P76" s="210">
        <f>QTS!P18</f>
        <v>61.386000000000003</v>
      </c>
      <c r="Q76" s="210">
        <f>QTS!Q18</f>
        <v>68.117000000000004</v>
      </c>
      <c r="R76" s="210">
        <f>QTS!R18</f>
        <v>88.89</v>
      </c>
      <c r="S76" s="210">
        <f>QTS!S18</f>
        <v>92.690000000000012</v>
      </c>
      <c r="T76" s="210">
        <f>QTS!T18</f>
        <v>94.768000000000001</v>
      </c>
      <c r="U76" s="210">
        <f>QTS!U18</f>
        <v>98.687000000000012</v>
      </c>
      <c r="V76" s="210">
        <f>QTS!V18</f>
        <v>103.46499999999999</v>
      </c>
      <c r="W76" s="210">
        <f>QTS!W18</f>
        <v>105.44300000000001</v>
      </c>
      <c r="X76" s="210">
        <f>QTS!X18</f>
        <v>105.96400000000001</v>
      </c>
      <c r="Y76" s="210">
        <f>QTS!Y18</f>
        <v>107.86799999999999</v>
      </c>
      <c r="Z76" s="210">
        <f>QTS!Z18</f>
        <v>113.767</v>
      </c>
      <c r="AA76" s="210">
        <f>QTS!AA18</f>
        <v>118.91099999999999</v>
      </c>
    </row>
    <row r="77" spans="1:27">
      <c r="B77" s="104" t="s">
        <v>291</v>
      </c>
      <c r="C77" s="32"/>
      <c r="D77" s="32"/>
      <c r="E77" s="193">
        <f>+E75/D75-1</f>
        <v>6.1120595995654448E-2</v>
      </c>
      <c r="F77" s="193">
        <f t="shared" ref="F77:S77" si="4">+F75/E75-1</f>
        <v>-8.9223028317343411E-3</v>
      </c>
      <c r="G77" s="193">
        <f t="shared" si="4"/>
        <v>3.2409457185867296E-2</v>
      </c>
      <c r="H77" s="193">
        <f t="shared" si="4"/>
        <v>8.4026646081710954E-2</v>
      </c>
      <c r="I77" s="193">
        <f t="shared" si="4"/>
        <v>3.1437915391919091E-2</v>
      </c>
      <c r="J77" s="193">
        <f t="shared" si="4"/>
        <v>7.3642221540349828E-2</v>
      </c>
      <c r="K77" s="193">
        <f t="shared" si="4"/>
        <v>4.3750595408211801E-2</v>
      </c>
      <c r="L77" s="193">
        <f t="shared" si="4"/>
        <v>2.2475755847119139E-2</v>
      </c>
      <c r="M77" s="193">
        <f t="shared" si="4"/>
        <v>4.7444766793126369E-2</v>
      </c>
      <c r="N77" s="193">
        <f t="shared" si="4"/>
        <v>7.9981251065280201E-2</v>
      </c>
      <c r="O77" s="193">
        <f t="shared" si="4"/>
        <v>5.4330242651410732E-2</v>
      </c>
      <c r="P77" s="193">
        <f t="shared" si="4"/>
        <v>3.1509617543597157E-2</v>
      </c>
      <c r="Q77" s="193">
        <f t="shared" si="4"/>
        <v>9.5867798577854879E-2</v>
      </c>
      <c r="R77" s="193">
        <f t="shared" si="4"/>
        <v>0.34601824110704671</v>
      </c>
      <c r="S77" s="193">
        <f t="shared" si="4"/>
        <v>5.3236100692351851E-2</v>
      </c>
      <c r="T77" s="193">
        <f t="shared" ref="T77:AA77" si="5">+T75/S75-1</f>
        <v>1.9498867431053668E-2</v>
      </c>
      <c r="U77" s="193">
        <f t="shared" si="5"/>
        <v>1.5678684319025082E-2</v>
      </c>
      <c r="V77" s="193">
        <f t="shared" si="5"/>
        <v>5.1451767491683897E-2</v>
      </c>
      <c r="W77" s="193">
        <f t="shared" si="5"/>
        <v>1.8381091283459217E-2</v>
      </c>
      <c r="X77" s="193">
        <f t="shared" si="5"/>
        <v>1.179419136075488E-2</v>
      </c>
      <c r="Y77" s="193">
        <f t="shared" si="5"/>
        <v>1.6308986074394571E-2</v>
      </c>
      <c r="Z77" s="193">
        <f t="shared" si="5"/>
        <v>4.512078976743239E-2</v>
      </c>
      <c r="AA77" s="193">
        <f t="shared" si="5"/>
        <v>3.3746509235216271E-2</v>
      </c>
    </row>
    <row r="78" spans="1:27">
      <c r="B78" s="104" t="s">
        <v>16</v>
      </c>
      <c r="C78" s="32"/>
      <c r="D78" s="193">
        <f>+(D75*3)/D76</f>
        <v>0.92991369107756239</v>
      </c>
      <c r="E78" s="193">
        <f t="shared" ref="E78:S78" si="6">+(E75*3)/E76</f>
        <v>0.93172340483523663</v>
      </c>
      <c r="F78" s="193">
        <f t="shared" si="6"/>
        <v>0.93448998731174493</v>
      </c>
      <c r="G78" s="193">
        <f t="shared" si="6"/>
        <v>0.91627590181541929</v>
      </c>
      <c r="H78" s="193">
        <f t="shared" si="6"/>
        <v>0.91368258711263195</v>
      </c>
      <c r="I78" s="193">
        <f t="shared" si="6"/>
        <v>0.91075919888216117</v>
      </c>
      <c r="J78" s="193">
        <f t="shared" si="6"/>
        <v>0.91238591916558009</v>
      </c>
      <c r="K78" s="193">
        <f t="shared" si="6"/>
        <v>0.92401273482468538</v>
      </c>
      <c r="L78" s="193">
        <f t="shared" si="6"/>
        <v>0.915554829086897</v>
      </c>
      <c r="M78" s="193">
        <f t="shared" si="6"/>
        <v>0.91425454828781805</v>
      </c>
      <c r="N78" s="193">
        <f t="shared" si="6"/>
        <v>0.8747950642850979</v>
      </c>
      <c r="O78" s="193">
        <f t="shared" si="6"/>
        <v>0.89726843846011795</v>
      </c>
      <c r="P78" s="193">
        <f t="shared" si="6"/>
        <v>0.89805493109177981</v>
      </c>
      <c r="Q78" s="193">
        <f t="shared" si="6"/>
        <v>0.88690048005637345</v>
      </c>
      <c r="R78" s="193">
        <f t="shared" si="6"/>
        <v>0.91480481493981336</v>
      </c>
      <c r="S78" s="193">
        <f t="shared" si="6"/>
        <v>0.92400474700614932</v>
      </c>
      <c r="T78" s="193">
        <f t="shared" ref="T78:AA78" si="7">+(T75*3)/T76</f>
        <v>0.92136586189431036</v>
      </c>
      <c r="U78" s="193">
        <f t="shared" si="7"/>
        <v>0.89864926484744689</v>
      </c>
      <c r="V78" s="193">
        <f t="shared" si="7"/>
        <v>0.90125163098632388</v>
      </c>
      <c r="W78" s="193">
        <f t="shared" si="7"/>
        <v>0.90060032434585502</v>
      </c>
      <c r="X78" s="193">
        <f t="shared" si="7"/>
        <v>0.90674191234758983</v>
      </c>
      <c r="Y78" s="193">
        <f t="shared" si="7"/>
        <v>0.90526384099084067</v>
      </c>
      <c r="Z78" s="193">
        <f t="shared" si="7"/>
        <v>0.89705274816071456</v>
      </c>
      <c r="AA78" s="193">
        <f t="shared" si="7"/>
        <v>0.88720976192278267</v>
      </c>
    </row>
    <row r="109" spans="1:27">
      <c r="A109" s="1" t="s">
        <v>24</v>
      </c>
      <c r="B109" s="32" t="s">
        <v>201</v>
      </c>
      <c r="C109" s="32"/>
      <c r="D109" s="210"/>
      <c r="E109" s="210"/>
      <c r="F109" s="210"/>
      <c r="G109" s="210"/>
      <c r="H109" s="210"/>
      <c r="I109" s="218">
        <f>Link!I52</f>
        <v>522965</v>
      </c>
      <c r="J109" s="218">
        <f>Link!J52</f>
        <v>548545</v>
      </c>
      <c r="K109" s="218">
        <f>Link!K52</f>
        <v>485546</v>
      </c>
      <c r="L109" s="218">
        <f>Link!L52</f>
        <v>501534</v>
      </c>
      <c r="M109" s="218">
        <f>Link!M52</f>
        <v>557212</v>
      </c>
      <c r="N109" s="218">
        <f>Link!N52</f>
        <v>686862</v>
      </c>
      <c r="O109" s="218">
        <f>Link!O52</f>
        <v>698232</v>
      </c>
      <c r="P109" s="218">
        <f>Link!P52</f>
        <v>726558</v>
      </c>
      <c r="Q109" s="218">
        <f>Link!Q52</f>
        <v>823526</v>
      </c>
      <c r="R109" s="218">
        <f>Link!R52</f>
        <v>844410</v>
      </c>
      <c r="S109" s="218">
        <f>Link!S52</f>
        <v>839356</v>
      </c>
      <c r="T109" s="218">
        <f>QTS!T340</f>
        <v>895511</v>
      </c>
      <c r="U109" s="218">
        <f>QTS!U340</f>
        <v>1012203</v>
      </c>
      <c r="V109" s="218">
        <f>QTS!V340</f>
        <v>1020901</v>
      </c>
      <c r="W109" s="218">
        <f>QTS!W340</f>
        <v>1083708</v>
      </c>
      <c r="X109" s="218">
        <f>QTS!X340</f>
        <v>1084001</v>
      </c>
      <c r="Y109" s="218">
        <f>QTS!Y340</f>
        <v>1112994</v>
      </c>
      <c r="Z109" s="218">
        <f>QTS!Z340</f>
        <v>1111462</v>
      </c>
      <c r="AA109" s="218">
        <f>QTS!AA340</f>
        <v>1116584</v>
      </c>
    </row>
    <row r="110" spans="1:27">
      <c r="B110" s="32" t="s">
        <v>276</v>
      </c>
      <c r="C110" s="32"/>
      <c r="D110" s="32"/>
      <c r="E110" s="213"/>
      <c r="F110" s="213"/>
      <c r="G110" s="213"/>
      <c r="H110" s="213"/>
      <c r="I110" s="213">
        <f>Link!I50</f>
        <v>0.81</v>
      </c>
      <c r="J110" s="213">
        <f>Link!J50</f>
        <v>0.89600000000000002</v>
      </c>
      <c r="K110" s="213">
        <f>Link!K50</f>
        <v>0.91500000000000004</v>
      </c>
      <c r="L110" s="213">
        <f>Link!L50</f>
        <v>0.92600000000000005</v>
      </c>
      <c r="M110" s="213">
        <f>Link!M50</f>
        <v>0.90400000000000003</v>
      </c>
      <c r="N110" s="213">
        <f>Link!N50</f>
        <v>0.83888175499590889</v>
      </c>
      <c r="O110" s="213">
        <f>Link!O50</f>
        <v>0.85</v>
      </c>
      <c r="P110" s="213">
        <f>Link!P50</f>
        <v>0.83048428342954039</v>
      </c>
      <c r="Q110" s="213">
        <f>Link!Q50</f>
        <v>0.84180220175197873</v>
      </c>
      <c r="R110" s="213">
        <f>Link!R50</f>
        <v>0.87111000580286824</v>
      </c>
      <c r="S110" s="213">
        <f>Link!S50</f>
        <v>0.90684524802348465</v>
      </c>
      <c r="T110" s="213">
        <f>QTS!T338</f>
        <v>0.8761790754105756</v>
      </c>
      <c r="U110" s="213">
        <f>QTS!U338</f>
        <v>0.87974151430098513</v>
      </c>
      <c r="V110" s="213">
        <f>QTS!V338</f>
        <v>0.88628378265865149</v>
      </c>
      <c r="W110" s="213">
        <f>QTS!W338</f>
        <v>0.88201249783151914</v>
      </c>
      <c r="X110" s="213">
        <f>QTS!X338</f>
        <v>0.87578793746500239</v>
      </c>
      <c r="Y110" s="213">
        <f>QTS!Y338</f>
        <v>0.86999121289063552</v>
      </c>
      <c r="Z110" s="213">
        <f>QTS!Z338</f>
        <v>0.87373567427406429</v>
      </c>
      <c r="AA110" s="213">
        <f>QTS!AA338</f>
        <v>0.86852131142842814</v>
      </c>
    </row>
    <row r="126" spans="1:27">
      <c r="A126" s="1" t="s">
        <v>24</v>
      </c>
      <c r="B126" s="32" t="s">
        <v>4</v>
      </c>
      <c r="C126" s="32"/>
      <c r="D126" s="219">
        <f>+QTS!D14/QTS!D$18</f>
        <v>0.83107698524954521</v>
      </c>
      <c r="E126" s="219">
        <f>+QTS!E14/QTS!E$18</f>
        <v>0.83744446564365327</v>
      </c>
      <c r="F126" s="219">
        <f>+QTS!F14/QTS!F$18</f>
        <v>0.82851547415457605</v>
      </c>
      <c r="G126" s="219">
        <f>+QTS!G14/QTS!G$18</f>
        <v>0.81746260445864882</v>
      </c>
      <c r="H126" s="219">
        <f>+QTS!H14/QTS!H$18</f>
        <v>0.81464166947804717</v>
      </c>
      <c r="I126" s="219">
        <f>+QTS!I14/QTS!I$18</f>
        <v>0.81003726129482989</v>
      </c>
      <c r="J126" s="219">
        <f>+QTS!J14/QTS!J$18</f>
        <v>0.81692742285962616</v>
      </c>
      <c r="K126" s="219">
        <f>+QTS!K14/QTS!K$18</f>
        <v>0.82485399228320222</v>
      </c>
      <c r="L126" s="219">
        <f>+QTS!L14/QTS!L$18</f>
        <v>0.82910732893365746</v>
      </c>
      <c r="M126" s="219">
        <f>+QTS!M14/QTS!M$18</f>
        <v>0.81744516732245132</v>
      </c>
      <c r="N126" s="219">
        <f>+QTS!N14/QTS!N$18</f>
        <v>0.78432996807317279</v>
      </c>
      <c r="O126" s="219">
        <f>+QTS!O14/QTS!O$18</f>
        <v>0.80009401809848402</v>
      </c>
      <c r="P126" s="219">
        <f>+QTS!P14/QTS!P$18</f>
        <v>0.80365229856970644</v>
      </c>
      <c r="Q126" s="219">
        <f>+QTS!Q14/QTS!Q$18</f>
        <v>0.7662257586211958</v>
      </c>
      <c r="R126" s="219">
        <f>+QTS!R14/QTS!R$18</f>
        <v>0.70586117673529081</v>
      </c>
      <c r="S126" s="219">
        <f>+QTS!S14/QTS!S$18</f>
        <v>0.71464019851116611</v>
      </c>
      <c r="T126" s="219">
        <f>+QTS!T14/QTS!T$18</f>
        <v>0.72203697450616244</v>
      </c>
      <c r="U126" s="219">
        <f>+QTS!U14/QTS!U$18</f>
        <v>0.72623547174399861</v>
      </c>
      <c r="V126" s="219">
        <f>+QTS!V14/QTS!V$18</f>
        <v>0.74426134441598613</v>
      </c>
      <c r="W126" s="219">
        <f>+QTS!W14/QTS!W$18</f>
        <v>0.74563508246161425</v>
      </c>
      <c r="X126" s="219">
        <f>+QTS!X14/QTS!X$18</f>
        <v>0.74664036842701287</v>
      </c>
      <c r="Y126" s="219">
        <f>+QTS!Y14/QTS!Y$18</f>
        <v>0.74899877628212264</v>
      </c>
      <c r="Z126" s="219">
        <f>+QTS!Z14/QTS!Z$18</f>
        <v>0.75444548946531076</v>
      </c>
      <c r="AA126" s="219">
        <f>+QTS!AA14/QTS!AA$18</f>
        <v>0.75752453515654572</v>
      </c>
    </row>
    <row r="127" spans="1:27">
      <c r="A127" s="1"/>
      <c r="B127" s="32" t="s">
        <v>5</v>
      </c>
      <c r="C127" s="32"/>
      <c r="D127" s="219">
        <f>+QTS!D15/QTS!D$18</f>
        <v>6.3678087925410617E-2</v>
      </c>
      <c r="E127" s="219">
        <f>+QTS!E15/QTS!E$18</f>
        <v>6.2225735233993829E-2</v>
      </c>
      <c r="F127" s="219">
        <f>+QTS!F15/QTS!F$18</f>
        <v>6.333094279251944E-2</v>
      </c>
      <c r="G127" s="219">
        <f>+QTS!G15/QTS!G$18</f>
        <v>6.5727084588583604E-2</v>
      </c>
      <c r="H127" s="219">
        <f>+QTS!H15/QTS!H$18</f>
        <v>6.9063569328642355E-2</v>
      </c>
      <c r="I127" s="219">
        <f>+QTS!I15/QTS!I$18</f>
        <v>8.0484396832789934E-2</v>
      </c>
      <c r="J127" s="219">
        <f>+QTS!J15/QTS!J$18</f>
        <v>7.8292046936114731E-2</v>
      </c>
      <c r="K127" s="219">
        <f>+QTS!K15/QTS!K$18</f>
        <v>6.6899997891585308E-2</v>
      </c>
      <c r="L127" s="219">
        <f>+QTS!L15/QTS!L$18</f>
        <v>7.5414257401466997E-2</v>
      </c>
      <c r="M127" s="219">
        <f>+QTS!M15/QTS!M$18</f>
        <v>7.5032139935330561E-2</v>
      </c>
      <c r="N127" s="219">
        <f>+QTS!N15/QTS!N$18</f>
        <v>0.10580723099490896</v>
      </c>
      <c r="O127" s="219">
        <f>+QTS!O15/QTS!O$18</f>
        <v>9.2674982791330185E-2</v>
      </c>
      <c r="P127" s="219">
        <f>+QTS!P15/QTS!P$18</f>
        <v>9.2268595445215512E-2</v>
      </c>
      <c r="Q127" s="219">
        <f>+QTS!Q15/QTS!Q$18</f>
        <v>8.1947237840773957E-2</v>
      </c>
      <c r="R127" s="219">
        <f>+QTS!R15/QTS!R$18</f>
        <v>6.9276634042074473E-2</v>
      </c>
      <c r="S127" s="219">
        <f>+QTS!S15/QTS!S$18</f>
        <v>5.585284280936454E-2</v>
      </c>
      <c r="T127" s="219">
        <f>+QTS!T15/QTS!T$18</f>
        <v>5.7350582475097077E-2</v>
      </c>
      <c r="U127" s="219">
        <f>+QTS!U15/QTS!U$18</f>
        <v>6.2500633315431611E-2</v>
      </c>
      <c r="V127" s="219">
        <f>+QTS!V15/QTS!V$18</f>
        <v>8.4115401343449483E-2</v>
      </c>
      <c r="W127" s="219">
        <f>+QTS!W15/QTS!W$18</f>
        <v>8.5022239503807731E-2</v>
      </c>
      <c r="X127" s="219">
        <f>+QTS!X15/QTS!X$18</f>
        <v>7.8904156128496467E-2</v>
      </c>
      <c r="Y127" s="219">
        <f>+QTS!Y15/QTS!Y$18</f>
        <v>8.1340156487558865E-2</v>
      </c>
      <c r="Z127" s="219">
        <f>+QTS!Z15/QTS!Z$18</f>
        <v>8.5244403034271804E-2</v>
      </c>
      <c r="AA127" s="219">
        <f>+QTS!AA15/QTS!AA$18</f>
        <v>9.2951871567811234E-2</v>
      </c>
    </row>
    <row r="128" spans="1:27">
      <c r="A128" s="1"/>
      <c r="B128" s="32" t="s">
        <v>6</v>
      </c>
      <c r="C128" s="32"/>
      <c r="D128" s="219">
        <f>+QTS!D16/QTS!D$18</f>
        <v>9.8836705828017193E-2</v>
      </c>
      <c r="E128" s="219">
        <f>+QTS!E16/QTS!E$18</f>
        <v>9.4278939191583297E-2</v>
      </c>
      <c r="F128" s="219">
        <f>+QTS!F16/QTS!F$18</f>
        <v>0.10597451315716887</v>
      </c>
      <c r="G128" s="219">
        <f>+QTS!G16/QTS!G$18</f>
        <v>9.8813297356770524E-2</v>
      </c>
      <c r="H128" s="219">
        <f>+QTS!H16/QTS!H$18</f>
        <v>9.9040917634584807E-2</v>
      </c>
      <c r="I128" s="219">
        <f>+QTS!I16/QTS!I$18</f>
        <v>0.10072193758733115</v>
      </c>
      <c r="J128" s="219">
        <f>+QTS!J16/QTS!J$18</f>
        <v>9.5458496305953919E-2</v>
      </c>
      <c r="K128" s="219">
        <f>+QTS!K16/QTS!K$18</f>
        <v>9.9158742541483061E-2</v>
      </c>
      <c r="L128" s="219">
        <f>+QTS!L16/QTS!L$18</f>
        <v>8.6447500153239473E-2</v>
      </c>
      <c r="M128" s="219">
        <f>+QTS!M16/QTS!M$18</f>
        <v>9.6809380965366787E-2</v>
      </c>
      <c r="N128" s="219">
        <f>+QTS!N16/QTS!N$18</f>
        <v>9.0465096211925097E-2</v>
      </c>
      <c r="O128" s="219">
        <f>+QTS!O16/QTS!O$18</f>
        <v>9.7174420361633915E-2</v>
      </c>
      <c r="P128" s="219">
        <f>+QTS!P16/QTS!P$18</f>
        <v>9.4402632522073426E-2</v>
      </c>
      <c r="Q128" s="219">
        <f>+QTS!Q16/QTS!Q$18</f>
        <v>0.12067472143517771</v>
      </c>
      <c r="R128" s="219">
        <f>+QTS!R16/QTS!R$18</f>
        <v>0.20894363820452244</v>
      </c>
      <c r="S128" s="219">
        <f>+QTS!S16/QTS!S$18</f>
        <v>0.20936454849498323</v>
      </c>
      <c r="T128" s="219">
        <f>+QTS!T16/QTS!T$18</f>
        <v>0.19932888738814791</v>
      </c>
      <c r="U128" s="219">
        <f>+QTS!U16/QTS!U$18</f>
        <v>0.17241379310344826</v>
      </c>
      <c r="V128" s="219">
        <f>+QTS!V16/QTS!V$18</f>
        <v>0.15699028657033781</v>
      </c>
      <c r="W128" s="219">
        <f>+QTS!W16/QTS!W$18</f>
        <v>0.15496524188424077</v>
      </c>
      <c r="X128" s="219">
        <f>+QTS!X16/QTS!X$18</f>
        <v>0.16010154392057677</v>
      </c>
      <c r="Y128" s="219">
        <f>+QTS!Y16/QTS!Y$18</f>
        <v>0.15626506470871809</v>
      </c>
      <c r="Z128" s="219">
        <f>+QTS!Z16/QTS!Z$18</f>
        <v>0.14260725869540378</v>
      </c>
      <c r="AA128" s="219">
        <f>+QTS!AA16/QTS!AA$18</f>
        <v>0.12968522676623695</v>
      </c>
    </row>
    <row r="129" spans="2:27">
      <c r="B129" s="32" t="s">
        <v>7</v>
      </c>
      <c r="C129" s="32"/>
      <c r="D129" s="219">
        <f>+QTS!D17/QTS!D$18</f>
        <v>6.4082209970268162E-3</v>
      </c>
      <c r="E129" s="219">
        <f>+QTS!E17/QTS!E$18</f>
        <v>6.0508599307694394E-3</v>
      </c>
      <c r="F129" s="219">
        <f>+QTS!F17/QTS!F$18</f>
        <v>2.1790698957356433E-3</v>
      </c>
      <c r="G129" s="219">
        <f>+QTS!G17/QTS!G$18</f>
        <v>1.7997013595997174E-2</v>
      </c>
      <c r="H129" s="219">
        <f>+QTS!H17/QTS!H$18</f>
        <v>1.7253843558725723E-2</v>
      </c>
      <c r="I129" s="219">
        <f>+QTS!I17/QTS!I$18</f>
        <v>8.7564042850489052E-3</v>
      </c>
      <c r="J129" s="219">
        <f>+QTS!J17/QTS!J$18</f>
        <v>9.3220338983050835E-3</v>
      </c>
      <c r="K129" s="219">
        <f>+QTS!K17/QTS!K$18</f>
        <v>9.0872672837293642E-3</v>
      </c>
      <c r="L129" s="219">
        <f>+QTS!L17/QTS!L$18</f>
        <v>9.0309135116359834E-3</v>
      </c>
      <c r="M129" s="219">
        <f>+QTS!M17/QTS!M$18</f>
        <v>1.0713311776851458E-2</v>
      </c>
      <c r="N129" s="219">
        <f>+QTS!N17/QTS!N$18</f>
        <v>1.9397704719993098E-2</v>
      </c>
      <c r="O129" s="219">
        <f>+QTS!O17/QTS!O$18</f>
        <v>1.0056578748551953E-2</v>
      </c>
      <c r="P129" s="219">
        <f>+QTS!P17/QTS!P$18</f>
        <v>9.6764734630045927E-3</v>
      </c>
      <c r="Q129" s="219">
        <f>+QTS!Q17/QTS!Q$18</f>
        <v>3.1152282102852442E-2</v>
      </c>
      <c r="R129" s="219">
        <f>+QTS!R17/QTS!R$18</f>
        <v>1.5918551018112275E-2</v>
      </c>
      <c r="S129" s="219">
        <f>+QTS!S17/QTS!S$18</f>
        <v>2.0142410184485919E-2</v>
      </c>
      <c r="T129" s="219">
        <f>+QTS!T17/QTS!T$18</f>
        <v>2.1283555630592605E-2</v>
      </c>
      <c r="U129" s="219">
        <f>+QTS!U17/QTS!U$18</f>
        <v>3.8850101837121398E-2</v>
      </c>
      <c r="V129" s="219">
        <f>+QTS!V17/QTS!V$18</f>
        <v>1.4632967670226649E-2</v>
      </c>
      <c r="W129" s="219">
        <f>+QTS!W17/QTS!W$18</f>
        <v>1.4377436150337148E-2</v>
      </c>
      <c r="X129" s="219">
        <f>+QTS!X17/QTS!X$18</f>
        <v>1.4353931523913779E-2</v>
      </c>
      <c r="Y129" s="219">
        <f>+QTS!Y17/QTS!Y$18</f>
        <v>1.3396002521600475E-2</v>
      </c>
      <c r="Z129" s="219">
        <f>+QTS!Z17/QTS!Z$18</f>
        <v>1.7702848805013754E-2</v>
      </c>
      <c r="AA129" s="219">
        <f>+QTS!AA17/QTS!AA$18</f>
        <v>1.9838366509406197E-2</v>
      </c>
    </row>
    <row r="147" spans="1:27">
      <c r="A147" s="1" t="s">
        <v>24</v>
      </c>
      <c r="B147" s="32" t="s">
        <v>314</v>
      </c>
      <c r="C147" s="32"/>
      <c r="D147" s="210"/>
      <c r="E147" s="210"/>
      <c r="F147" s="210"/>
      <c r="G147" s="210"/>
      <c r="H147" s="210"/>
      <c r="I147" s="210"/>
      <c r="J147" s="210"/>
      <c r="K147" s="210">
        <f>QTS!K185</f>
        <v>8.8306115999999992</v>
      </c>
      <c r="L147" s="210">
        <f>QTS!L185</f>
        <v>10.700322560000002</v>
      </c>
      <c r="M147" s="210">
        <f>QTS!M185</f>
        <v>10.78134421</v>
      </c>
      <c r="N147" s="210">
        <f>QTS!N185</f>
        <v>10.807352569999999</v>
      </c>
      <c r="O147" s="210">
        <f>QTS!O185</f>
        <v>10.76886</v>
      </c>
      <c r="P147" s="210">
        <f>QTS!P185</f>
        <v>13.2994848</v>
      </c>
      <c r="Q147" s="210">
        <f>QTS!Q185</f>
        <v>14.403484800000001</v>
      </c>
      <c r="R147" s="210">
        <f>QTS!R185</f>
        <v>15.594693440000002</v>
      </c>
      <c r="S147" s="210">
        <f>QTS!S185</f>
        <v>17.57870136</v>
      </c>
      <c r="T147" s="210">
        <f>QTS!T185</f>
        <v>17.630586359999999</v>
      </c>
      <c r="U147" s="210">
        <f>QTS!U185</f>
        <v>20.006836199999999</v>
      </c>
      <c r="V147" s="210">
        <f>QTS!V185</f>
        <v>20.047559400000001</v>
      </c>
      <c r="W147" s="210">
        <f>QTS!W185</f>
        <v>21.673099499999999</v>
      </c>
      <c r="X147" s="210">
        <f>QTS!X185</f>
        <v>21.691901400000003</v>
      </c>
      <c r="Y147" s="210">
        <f>QTS!Y185</f>
        <v>21.628787310000003</v>
      </c>
      <c r="Z147" s="210">
        <f>QTS!Z185</f>
        <v>22.16481306</v>
      </c>
      <c r="AA147" s="210">
        <f>QTS!AA185</f>
        <v>22.535872319999999</v>
      </c>
    </row>
    <row r="148" spans="1:27">
      <c r="B148" s="104" t="s">
        <v>313</v>
      </c>
      <c r="C148" s="32"/>
      <c r="D148" s="32"/>
      <c r="E148" s="213"/>
      <c r="F148" s="213"/>
      <c r="G148" s="213"/>
      <c r="H148" s="213"/>
      <c r="I148" s="213"/>
      <c r="J148" s="213"/>
      <c r="K148" s="213">
        <f>QTS!K186</f>
        <v>0.54202133562484656</v>
      </c>
      <c r="L148" s="213">
        <f>QTS!L186</f>
        <v>0.60344702007669748</v>
      </c>
      <c r="M148" s="213">
        <f>QTS!M186</f>
        <v>0.57611115795661028</v>
      </c>
      <c r="N148" s="213">
        <f>QTS!N186</f>
        <v>0.83908016847826083</v>
      </c>
      <c r="O148" s="213">
        <f>QTS!O186</f>
        <v>0.54655940719687357</v>
      </c>
      <c r="P148" s="213">
        <f>QTS!P186</f>
        <v>0.6624899028642588</v>
      </c>
      <c r="Q148" s="213">
        <f>QTS!Q186</f>
        <v>0.64769695116467307</v>
      </c>
      <c r="R148" s="213">
        <f>QTS!R186</f>
        <v>0.52560476710481963</v>
      </c>
      <c r="S148" s="213">
        <f>QTS!S186</f>
        <v>0.63135083719426777</v>
      </c>
      <c r="T148" s="213">
        <f>QTS!T186</f>
        <v>0.58466544055712144</v>
      </c>
      <c r="U148" s="213">
        <f>QTS!U186</f>
        <v>0.5781153003727566</v>
      </c>
      <c r="V148" s="213">
        <f>QTS!V186</f>
        <v>0.57414896468768817</v>
      </c>
      <c r="W148" s="213">
        <f>QTS!W186</f>
        <v>0.62930021777003486</v>
      </c>
      <c r="X148" s="213">
        <f>QTS!X186</f>
        <v>0.59757304132231392</v>
      </c>
      <c r="Y148" s="213">
        <f>QTS!Y186</f>
        <v>0.58921181513566534</v>
      </c>
      <c r="Z148" s="213">
        <f>QTS!Z186</f>
        <v>0.59722504405464416</v>
      </c>
      <c r="AA148" s="213">
        <f>QTS!AA186</f>
        <v>0.54733259629863529</v>
      </c>
    </row>
    <row r="164" spans="1:27">
      <c r="A164" s="1" t="s">
        <v>24</v>
      </c>
      <c r="B164" s="32" t="s">
        <v>490</v>
      </c>
      <c r="C164" s="32"/>
      <c r="D164" s="210"/>
      <c r="E164" s="210"/>
      <c r="F164" s="210"/>
      <c r="G164" s="210"/>
      <c r="H164" s="225">
        <f>QTS!H35</f>
        <v>7.0000000000000001E-3</v>
      </c>
      <c r="I164" s="225">
        <f>QTS!I35</f>
        <v>8.0000000000000002E-3</v>
      </c>
      <c r="J164" s="225">
        <f>QTS!J35</f>
        <v>1.2999999999999999E-2</v>
      </c>
      <c r="K164" s="225">
        <f>QTS!K35</f>
        <v>2.3E-2</v>
      </c>
      <c r="L164" s="225">
        <f>QTS!L35</f>
        <v>1.4E-2</v>
      </c>
      <c r="M164" s="225">
        <f>QTS!M35</f>
        <v>1.9E-2</v>
      </c>
      <c r="N164" s="225">
        <f>QTS!N35</f>
        <v>1.0999999999999999E-2</v>
      </c>
      <c r="O164" s="225">
        <f>QTS!O35</f>
        <v>1.0999999999999999E-2</v>
      </c>
      <c r="P164" s="225">
        <f>QTS!P35</f>
        <v>4.0000000000000001E-3</v>
      </c>
      <c r="Q164" s="225">
        <f>QTS!Q35</f>
        <v>4.0000000000000001E-3</v>
      </c>
      <c r="R164" s="225">
        <f>QTS!R35</f>
        <v>8.0000000000000002E-3</v>
      </c>
      <c r="S164" s="225">
        <f>QTS!S35</f>
        <v>2.1999999999999999E-2</v>
      </c>
      <c r="T164" s="225">
        <f>QTS!T35</f>
        <v>2.3E-2</v>
      </c>
      <c r="U164" s="225">
        <f>QTS!U35</f>
        <v>1.2999999999999999E-2</v>
      </c>
      <c r="V164" s="225">
        <f>QTS!V35</f>
        <v>1.0999999999999999E-2</v>
      </c>
      <c r="W164" s="225">
        <f>QTS!W35</f>
        <v>7.0000000000000001E-3</v>
      </c>
      <c r="X164" s="225">
        <f>QTS!X35</f>
        <v>3.3000000000000002E-2</v>
      </c>
      <c r="Y164" s="225">
        <f>QTS!Y35</f>
        <v>0.01</v>
      </c>
      <c r="Z164" s="225">
        <f>QTS!Z35</f>
        <v>1.2999999999999999E-2</v>
      </c>
      <c r="AA164" s="225">
        <f>QTS!AA35</f>
        <v>2.8000000000000001E-2</v>
      </c>
    </row>
    <row r="165" spans="1:27">
      <c r="A165" s="1"/>
      <c r="B165" s="32"/>
      <c r="C165" s="32"/>
      <c r="D165" s="210"/>
      <c r="E165" s="210"/>
      <c r="F165" s="210"/>
      <c r="G165" s="210"/>
      <c r="H165" s="225"/>
      <c r="I165" s="225"/>
      <c r="J165" s="225"/>
      <c r="K165" s="225"/>
      <c r="L165" s="225"/>
      <c r="M165" s="225"/>
      <c r="N165" s="225"/>
      <c r="O165" s="225"/>
      <c r="P165" s="225"/>
      <c r="Q165" s="225"/>
      <c r="R165" s="225"/>
      <c r="S165" s="225"/>
      <c r="T165" s="225"/>
      <c r="U165" s="225"/>
      <c r="V165" s="225"/>
      <c r="W165" s="225"/>
      <c r="X165" s="225"/>
      <c r="Y165" s="225"/>
      <c r="Z165" s="225"/>
      <c r="AA165" s="225"/>
    </row>
    <row r="182" spans="1:27">
      <c r="A182" s="1" t="s">
        <v>24</v>
      </c>
      <c r="B182" s="243" t="s">
        <v>337</v>
      </c>
      <c r="C182" s="32"/>
      <c r="D182" s="219"/>
      <c r="E182" s="219"/>
      <c r="F182" s="219"/>
      <c r="G182" s="219"/>
      <c r="H182" s="219"/>
      <c r="I182" s="219"/>
      <c r="J182" s="219"/>
      <c r="K182" s="219"/>
      <c r="L182" s="219"/>
      <c r="M182" s="219"/>
      <c r="N182" s="219"/>
      <c r="O182" s="219"/>
      <c r="P182" s="219"/>
      <c r="Q182" s="219"/>
      <c r="R182" s="219"/>
      <c r="S182" s="219"/>
      <c r="T182" s="219"/>
      <c r="U182" s="219"/>
      <c r="V182" s="219"/>
      <c r="W182" s="219"/>
      <c r="X182" s="219"/>
      <c r="Y182" s="219"/>
      <c r="Z182" s="219"/>
      <c r="AA182" s="219"/>
    </row>
    <row r="183" spans="1:27">
      <c r="A183" s="1"/>
      <c r="B183" s="32" t="s">
        <v>334</v>
      </c>
      <c r="C183" s="32"/>
      <c r="D183" s="219"/>
      <c r="E183" s="219"/>
      <c r="F183" s="219"/>
      <c r="G183" s="219"/>
      <c r="H183" s="219"/>
      <c r="I183" s="219"/>
      <c r="J183" s="219">
        <v>0.4</v>
      </c>
      <c r="K183" s="219"/>
      <c r="L183" s="219"/>
      <c r="M183" s="219"/>
      <c r="N183" s="219"/>
      <c r="O183" s="219"/>
      <c r="P183" s="219"/>
      <c r="Q183" s="219"/>
      <c r="R183" s="219"/>
      <c r="S183" s="219"/>
      <c r="T183" s="219"/>
      <c r="U183" s="219"/>
      <c r="V183" s="219"/>
      <c r="W183" s="219"/>
      <c r="X183" s="219"/>
      <c r="Y183" s="219"/>
      <c r="Z183" s="219"/>
      <c r="AA183" s="219"/>
    </row>
    <row r="184" spans="1:27">
      <c r="A184" s="1"/>
      <c r="B184" s="32" t="s">
        <v>335</v>
      </c>
      <c r="C184" s="32"/>
      <c r="D184" s="219"/>
      <c r="E184" s="219"/>
      <c r="F184" s="219"/>
      <c r="G184" s="219"/>
      <c r="H184" s="219"/>
      <c r="I184" s="219"/>
      <c r="J184" s="219">
        <v>0.52</v>
      </c>
      <c r="K184" s="219"/>
      <c r="L184" s="219"/>
      <c r="M184" s="219"/>
      <c r="N184" s="219"/>
      <c r="O184" s="219"/>
      <c r="P184" s="219"/>
      <c r="Q184" s="219"/>
      <c r="R184" s="219"/>
      <c r="S184" s="219"/>
      <c r="T184" s="219"/>
      <c r="U184" s="219"/>
      <c r="V184" s="219"/>
      <c r="W184" s="219"/>
      <c r="X184" s="219"/>
      <c r="Y184" s="219"/>
      <c r="Z184" s="219"/>
      <c r="AA184" s="219"/>
    </row>
    <row r="185" spans="1:27">
      <c r="B185" s="32" t="s">
        <v>336</v>
      </c>
      <c r="C185" s="32"/>
      <c r="D185" s="219"/>
      <c r="E185" s="219"/>
      <c r="F185" s="219"/>
      <c r="G185" s="219"/>
      <c r="H185" s="219"/>
      <c r="I185" s="219"/>
      <c r="J185" s="219">
        <v>0.08</v>
      </c>
      <c r="K185" s="219"/>
      <c r="L185" s="219"/>
      <c r="M185" s="219"/>
      <c r="N185" s="219"/>
      <c r="O185" s="219"/>
      <c r="P185" s="219"/>
      <c r="Q185" s="219"/>
      <c r="R185" s="219"/>
      <c r="S185" s="219"/>
      <c r="T185" s="219"/>
      <c r="U185" s="219"/>
      <c r="V185" s="219"/>
      <c r="W185" s="219"/>
      <c r="X185" s="219"/>
      <c r="Y185" s="219"/>
      <c r="Z185" s="219"/>
      <c r="AA185" s="219"/>
    </row>
    <row r="201" spans="1:27">
      <c r="A201" s="1" t="s">
        <v>24</v>
      </c>
      <c r="B201" s="32" t="s">
        <v>338</v>
      </c>
      <c r="C201" s="32"/>
      <c r="D201" s="210"/>
      <c r="E201" s="210"/>
      <c r="F201" s="210"/>
      <c r="G201" s="210"/>
      <c r="H201" s="225"/>
      <c r="I201" s="225"/>
      <c r="J201" s="244">
        <f>QTS!J402</f>
        <v>7.6783157306793921</v>
      </c>
      <c r="K201" s="244">
        <f>QTS!K402</f>
        <v>4.0355544563783683</v>
      </c>
      <c r="L201" s="244">
        <f>QTS!L402</f>
        <v>4.5943378784377158</v>
      </c>
      <c r="M201" s="244">
        <f>QTS!M402</f>
        <v>5.6231048404415249</v>
      </c>
      <c r="N201" s="244">
        <f>QTS!N402</f>
        <v>5.6160416427010222</v>
      </c>
      <c r="O201" s="244">
        <f>QTS!O402</f>
        <v>5.3951443433925874</v>
      </c>
      <c r="P201" s="244">
        <f>QTS!P402</f>
        <v>4.7392452022544056</v>
      </c>
      <c r="Q201" s="244">
        <f>QTS!Q402</f>
        <v>5.8385619580243793</v>
      </c>
      <c r="R201" s="244">
        <f>QTS!R402</f>
        <v>5.1762477319772051</v>
      </c>
      <c r="S201" s="244">
        <f>QTS!S402</f>
        <v>5.2557738689794613</v>
      </c>
      <c r="T201" s="244">
        <f>QTS!T402</f>
        <v>5.4358943061077394</v>
      </c>
      <c r="U201" s="244">
        <f>QTS!U402</f>
        <v>4.4693398811742258</v>
      </c>
      <c r="V201" s="244">
        <f>QTS!V402</f>
        <v>4.4988637804929619</v>
      </c>
      <c r="W201" s="244">
        <f>QTS!W402</f>
        <v>4.9388790182629529</v>
      </c>
      <c r="X201" s="244">
        <f>QTS!X402</f>
        <v>5.2491197365423234</v>
      </c>
      <c r="Y201" s="244">
        <f>QTS!Y402</f>
        <v>5.2218454290703811</v>
      </c>
      <c r="Z201" s="244">
        <f>QTS!Z402</f>
        <v>5.1466694366277004</v>
      </c>
      <c r="AA201" s="244">
        <f>QTS!AA402</f>
        <v>5.3118630213224822</v>
      </c>
    </row>
    <row r="218" spans="1:27">
      <c r="A218" s="1" t="s">
        <v>24</v>
      </c>
      <c r="B218" s="32" t="s">
        <v>340</v>
      </c>
      <c r="C218" s="32"/>
      <c r="D218" s="210"/>
      <c r="E218" s="210"/>
      <c r="F218" s="210"/>
      <c r="G218" s="210"/>
      <c r="H218" s="245">
        <f>QTS!H254</f>
        <v>-31.952500000000001</v>
      </c>
      <c r="I218" s="245">
        <f>QTS!I254</f>
        <v>-34.583500000000001</v>
      </c>
      <c r="J218" s="245">
        <f>QTS!J254</f>
        <v>-25.416999999999994</v>
      </c>
      <c r="K218" s="245">
        <f>QTS!K254</f>
        <v>-16.738999999999976</v>
      </c>
      <c r="L218" s="245">
        <f>QTS!L254</f>
        <v>-45.230999999999995</v>
      </c>
      <c r="M218" s="245">
        <f>QTS!M254</f>
        <v>-112.57599999999999</v>
      </c>
      <c r="N218" s="245">
        <f>QTS!N254</f>
        <v>-37.910000000000018</v>
      </c>
      <c r="O218" s="245">
        <f>QTS!O254</f>
        <v>-22.735000000000003</v>
      </c>
      <c r="P218" s="245">
        <f>QTS!P254</f>
        <v>-59.459999999999994</v>
      </c>
      <c r="Q218" s="245">
        <f>QTS!Q254</f>
        <v>-358.39400000000001</v>
      </c>
      <c r="R218" s="245">
        <f>QTS!R254</f>
        <v>-50.847999999999999</v>
      </c>
      <c r="S218" s="245">
        <f>QTS!S254</f>
        <v>-34.78299999999998</v>
      </c>
      <c r="T218" s="245">
        <f>QTS!T254</f>
        <v>-66.073999999999998</v>
      </c>
      <c r="U218" s="245">
        <f>QTS!U254</f>
        <v>-137.70799999999997</v>
      </c>
      <c r="V218" s="245">
        <f>QTS!V254</f>
        <v>-13.455000000000013</v>
      </c>
      <c r="W218" s="245">
        <f>QTS!W254</f>
        <v>-81.940999999999974</v>
      </c>
      <c r="X218" s="245">
        <f>QTS!X254</f>
        <v>-35.583999999999989</v>
      </c>
      <c r="Y218" s="245">
        <f>QTS!Y254</f>
        <v>-31.869000000000028</v>
      </c>
      <c r="Z218" s="245">
        <f>QTS!Z254</f>
        <v>-96.272000000000006</v>
      </c>
      <c r="AA218" s="245">
        <f>QTS!AA254</f>
        <v>-100.30400000000003</v>
      </c>
    </row>
  </sheetData>
  <phoneticPr fontId="2" type="noConversion"/>
  <pageMargins left="0.75" right="0.75" top="1" bottom="1" header="0.5" footer="0.5"/>
  <pageSetup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D33"/>
  <sheetViews>
    <sheetView workbookViewId="0"/>
  </sheetViews>
  <sheetFormatPr defaultRowHeight="12.75"/>
  <cols>
    <col min="2" max="2" width="3" customWidth="1"/>
    <col min="3" max="3" width="26.140625" style="289" customWidth="1"/>
    <col min="4" max="4" width="55.28515625" customWidth="1"/>
  </cols>
  <sheetData>
    <row r="3" spans="1:4">
      <c r="A3" t="s">
        <v>24</v>
      </c>
      <c r="B3" t="s">
        <v>364</v>
      </c>
    </row>
    <row r="4" spans="1:4">
      <c r="C4" s="289">
        <v>2014</v>
      </c>
      <c r="D4" t="s">
        <v>366</v>
      </c>
    </row>
    <row r="5" spans="1:4">
      <c r="C5" s="289" t="s">
        <v>4</v>
      </c>
    </row>
    <row r="6" spans="1:4">
      <c r="C6" s="289" t="s">
        <v>5</v>
      </c>
    </row>
    <row r="7" spans="1:4">
      <c r="C7" s="289" t="s">
        <v>6</v>
      </c>
    </row>
    <row r="8" spans="1:4">
      <c r="C8" s="289" t="s">
        <v>7</v>
      </c>
    </row>
    <row r="9" spans="1:4">
      <c r="C9" s="289" t="s">
        <v>370</v>
      </c>
    </row>
    <row r="10" spans="1:4">
      <c r="C10" s="289" t="s">
        <v>371</v>
      </c>
    </row>
    <row r="12" spans="1:4">
      <c r="B12" t="s">
        <v>365</v>
      </c>
    </row>
    <row r="14" spans="1:4">
      <c r="B14" t="s">
        <v>111</v>
      </c>
    </row>
    <row r="16" spans="1:4">
      <c r="B16" t="s">
        <v>19</v>
      </c>
    </row>
    <row r="17" spans="2:4">
      <c r="C17" s="289">
        <v>2014</v>
      </c>
      <c r="D17" t="s">
        <v>367</v>
      </c>
    </row>
    <row r="20" spans="2:4">
      <c r="B20" t="s">
        <v>20</v>
      </c>
    </row>
    <row r="22" spans="2:4">
      <c r="B22" t="s">
        <v>369</v>
      </c>
    </row>
    <row r="24" spans="2:4">
      <c r="B24" t="s">
        <v>368</v>
      </c>
    </row>
    <row r="26" spans="2:4">
      <c r="B26" t="s">
        <v>186</v>
      </c>
    </row>
    <row r="27" spans="2:4">
      <c r="C27" s="289">
        <v>2014</v>
      </c>
    </row>
    <row r="29" spans="2:4">
      <c r="B29" t="s">
        <v>372</v>
      </c>
    </row>
    <row r="30" spans="2:4">
      <c r="C30" s="289" t="s">
        <v>373</v>
      </c>
    </row>
    <row r="31" spans="2:4">
      <c r="C31" s="289" t="s">
        <v>374</v>
      </c>
    </row>
    <row r="33" spans="2:2">
      <c r="B33" t="s">
        <v>163</v>
      </c>
    </row>
  </sheetData>
  <phoneticPr fontId="2"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10E11D46-5455-4339-8E2F-2E4E9F20750D}">
  <ds:schemaRefs>
    <ds:schemaRef ds:uri="thomsonreuters.linking.metadata"/>
  </ds:schemaRefs>
</ds:datastoreItem>
</file>

<file path=customXml/itemProps2.xml><?xml version="1.0" encoding="utf-8"?>
<ds:datastoreItem xmlns:ds="http://schemas.openxmlformats.org/officeDocument/2006/customXml" ds:itemID="{3B7B17F9-B089-4064-B4B6-3744C2469FC7}">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144</vt:i4>
      </vt:variant>
    </vt:vector>
  </HeadingPairs>
  <TitlesOfParts>
    <vt:vector size="156" baseType="lpstr">
      <vt:lpstr>Estimates</vt:lpstr>
      <vt:lpstr>Q</vt:lpstr>
      <vt:lpstr>Changes</vt:lpstr>
      <vt:lpstr>ImportantDisclosures</vt:lpstr>
      <vt:lpstr>CircularReferenceAlert</vt:lpstr>
      <vt:lpstr>QTS</vt:lpstr>
      <vt:lpstr>Link</vt:lpstr>
      <vt:lpstr>Valuation</vt:lpstr>
      <vt:lpstr>IndexInformation</vt:lpstr>
      <vt:lpstr>ModPubIndex</vt:lpstr>
      <vt:lpstr>Charts</vt:lpstr>
      <vt:lpstr>Assumptions</vt:lpstr>
      <vt:lpstr>AdditionalInstructions</vt:lpstr>
      <vt:lpstr>ImportantDisclosures!Address</vt:lpstr>
      <vt:lpstr>ModPubIndex!ANA</vt:lpstr>
      <vt:lpstr>ImportantDisclosures!Authors</vt:lpstr>
      <vt:lpstr>IndexInformation!Authors</vt:lpstr>
      <vt:lpstr>ModPubIndex!BRO</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Linking_11</vt:lpstr>
      <vt:lpstr>Linking_12</vt:lpstr>
      <vt:lpstr>Linking_13</vt:lpstr>
      <vt:lpstr>Linking_14</vt:lpstr>
      <vt:lpstr>Linking_15</vt:lpstr>
      <vt:lpstr>Linking_16</vt:lpstr>
      <vt:lpstr>Linking_17</vt:lpstr>
      <vt:lpstr>Linking_18</vt:lpstr>
      <vt:lpstr>Linking_19</vt:lpstr>
      <vt:lpstr>Linking_2</vt:lpstr>
      <vt:lpstr>Linking_20</vt:lpstr>
      <vt:lpstr>Linking_21</vt:lpstr>
      <vt:lpstr>Linking_22</vt:lpstr>
      <vt:lpstr>Linking_23</vt:lpstr>
      <vt:lpstr>Linking_24</vt:lpstr>
      <vt:lpstr>Linking_25</vt:lpstr>
      <vt:lpstr>Linking_3</vt:lpstr>
      <vt:lpstr>Linking_4</vt:lpstr>
      <vt:lpstr>Linking_5</vt:lpstr>
      <vt:lpstr>Linking_6</vt:lpstr>
      <vt:lpstr>Linking_7</vt:lpstr>
      <vt:lpstr>Linking_8</vt:lpstr>
      <vt:lpstr>Linking_9</vt:lpstr>
      <vt:lpstr>Linking_Range_00000</vt:lpstr>
      <vt:lpstr>Linking_Range_12</vt:lpstr>
      <vt:lpstr>Linking_Range_13</vt:lpstr>
      <vt:lpstr>Q!Linking_Range_19</vt:lpstr>
      <vt:lpstr>Q!Linking_Range_20</vt:lpstr>
      <vt:lpstr>Linking_Range_21</vt:lpstr>
      <vt:lpstr>Linking_Range_22</vt:lpstr>
      <vt:lpstr>Linking_Range_23</vt:lpstr>
      <vt:lpstr>Linking_Range_25</vt:lpstr>
      <vt:lpstr>Linking_Range_26</vt:lpstr>
      <vt:lpstr>Linking_Range_27</vt:lpstr>
      <vt:lpstr>Linking_Range_28</vt:lpstr>
      <vt:lpstr>Q!Linking_Range_37</vt:lpstr>
      <vt:lpstr>Q!Linking_Range_38</vt:lpstr>
      <vt:lpstr>Linking_Range_42</vt:lpstr>
      <vt:lpstr>Linking_Range_43</vt:lpstr>
      <vt:lpstr>Linking_Range_44</vt:lpstr>
      <vt:lpstr>Linking_Range_45</vt:lpstr>
      <vt:lpstr>Linking_Range_46</vt:lpstr>
      <vt:lpstr>Linking_Range_47</vt:lpstr>
      <vt:lpstr>Linking_Range_48</vt:lpstr>
      <vt:lpstr>Linking_Range_49</vt:lpstr>
      <vt:lpstr>Linking_Range_50</vt:lpstr>
      <vt:lpstr>Linking_Range_51</vt:lpstr>
      <vt:lpstr>Linking_Range_52</vt:lpstr>
      <vt:lpstr>Linking_Range_53</vt:lpstr>
      <vt:lpstr>Linking_Range_54</vt:lpstr>
      <vt:lpstr>Linking_Range_55</vt:lpstr>
      <vt:lpstr>Linking_Range_56</vt:lpstr>
      <vt:lpstr>Linking_Range_57</vt:lpstr>
      <vt:lpstr>Linking_Range_58</vt:lpstr>
      <vt:lpstr>Linking_Range_59</vt:lpstr>
      <vt:lpstr>Linking_Range_60</vt:lpstr>
      <vt:lpstr>Linking_Range_61</vt:lpstr>
      <vt:lpstr>Linking_Range_62</vt:lpstr>
      <vt:lpstr>Linking_Range_63</vt:lpstr>
      <vt:lpstr>Linking_Range_64</vt:lpstr>
      <vt:lpstr>Linking_Range_65</vt:lpstr>
      <vt:lpstr>Linking_Range_66</vt:lpstr>
      <vt:lpstr>Linking_Range_67</vt:lpstr>
      <vt:lpstr>Linking_Range_68</vt:lpstr>
      <vt:lpstr>Linking_Range_69</vt:lpstr>
      <vt:lpstr>Linking_Range_70</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Estimates!Print_Area</vt:lpstr>
      <vt:lpstr>Q!Print_Area</vt:lpstr>
      <vt:lpstr>QTS!Print_Area</vt:lpstr>
      <vt:lpstr>Valuation!Print_Area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2013-08-26T22:32:53Z</dcterms:created>
  <dc:creator>laml</dc:creator>
  <cp:lastModifiedBy>Boyd, Patrice (Research)</cp:lastModifiedBy>
  <cp:lastPrinted>2018-04-20T15:06:18Z</cp:lastPrinted>
  <dcterms:modified xsi:type="dcterms:W3CDTF">2018-04-23T14:05:07Z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70</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763328</vt:lpwstr>
  </property>
  <property fmtid="{D5CDD505-2E9C-101B-9397-08002B2CF9AE}" name="ERModPubCompanyName" pid="6">
    <vt:lpwstr>QTS Realty Trust Inc</vt:lpwstr>
  </property>
  <property fmtid="{D5CDD505-2E9C-101B-9397-08002B2CF9AE}" name="ERModPubMaxIterations" pid="7">
    <vt:i4>100</vt:i4>
  </property>
  <property fmtid="{D5CDD505-2E9C-101B-9397-08002B2CF9AE}" name="ERModPubMaxChange" pid="8">
    <vt:r8>0.001</vt:r8>
  </property>
  <property fmtid="{D5CDD505-2E9C-101B-9397-08002B2CF9AE}" name="MSDH34TAG" pid="9">
    <vt:lpwstr>.TEZUF76X5TAHATHESADREYAK-00-INB160+*94600-06=80056742/-46fa/-11e8/-adef/-6a0a1ce82510,MD=20180423101250/-0400,ZZ=000Z-9ced.</vt:lpwstr>
  </property>
</Properties>
</file>